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TTA\Downloads\"/>
    </mc:Choice>
  </mc:AlternateContent>
  <bookViews>
    <workbookView xWindow="-108" yWindow="-108" windowWidth="23256" windowHeight="12456" tabRatio="859" firstSheet="8" activeTab="8"/>
  </bookViews>
  <sheets>
    <sheet name="Artisan" sheetId="19" r:id="rId1"/>
    <sheet name="ArtP" sheetId="20" r:id="rId2"/>
    <sheet name="Blason" sheetId="21" r:id="rId3"/>
    <sheet name="CarteLieu" sheetId="9" r:id="rId4"/>
    <sheet name="CarteRepLieu" sheetId="11" state="hidden" r:id="rId5"/>
    <sheet name="CarteTerr" sheetId="8" r:id="rId6"/>
    <sheet name="CartGen" sheetId="37" r:id="rId7"/>
    <sheet name="LieuxDétail" sheetId="7" r:id="rId8"/>
    <sheet name="CC" sheetId="6" r:id="rId9"/>
    <sheet name="Dés" sheetId="12" r:id="rId10"/>
    <sheet name="Famille" sheetId="23" r:id="rId11"/>
    <sheet name="Généa" sheetId="22" r:id="rId12"/>
    <sheet name="GenPerso" sheetId="30" r:id="rId13"/>
    <sheet name="GenPNJ" sheetId="33" r:id="rId14"/>
    <sheet name="Maison" sheetId="15" r:id="rId15"/>
    <sheet name="Marché" sheetId="5" state="hidden" r:id="rId16"/>
    <sheet name="Météo" sheetId="32" r:id="rId17"/>
    <sheet name="PaysHisto" sheetId="13" r:id="rId18"/>
    <sheet name="PersoHist" sheetId="4" r:id="rId19"/>
    <sheet name="PNJ" sheetId="17" r:id="rId20"/>
    <sheet name="PNJcrea" sheetId="18" r:id="rId21"/>
    <sheet name="RencHum" sheetId="14" r:id="rId22"/>
    <sheet name="Rencontre" sheetId="24" r:id="rId23"/>
    <sheet name="Traduction" sheetId="28" state="hidden" r:id="rId24"/>
    <sheet name="RencTerr" sheetId="36" r:id="rId25"/>
    <sheet name="TrésParam" sheetId="29" r:id="rId26"/>
    <sheet name="Trésor" sheetId="34" r:id="rId27"/>
    <sheet name="TrésHum" sheetId="35" r:id="rId28"/>
    <sheet name="Ville" sheetId="25" r:id="rId29"/>
    <sheet name="VilP" sheetId="26" r:id="rId30"/>
    <sheet name="VilleMétiers" sheetId="27" r:id="rId31"/>
  </sheets>
  <externalReferences>
    <externalReference r:id="rId32"/>
    <externalReference r:id="rId33"/>
    <externalReference r:id="rId34"/>
    <externalReference r:id="rId35"/>
    <externalReference r:id="rId36"/>
  </externalReferences>
  <definedNames>
    <definedName name="A">PNJcrea!$B$15</definedName>
    <definedName name="aagi">GenPerso!$U$145</definedName>
    <definedName name="aapp">GenPerso!$U$151</definedName>
    <definedName name="Actifs">[1]Profession!$A$5</definedName>
    <definedName name="ActivitéH">Rencontre!$R$2:$R$101</definedName>
    <definedName name="AGE">Généa!$B$113</definedName>
    <definedName name="ageMx">Famille!$G$9</definedName>
    <definedName name="agePx">Famille!$D$9</definedName>
    <definedName name="ageville" localSheetId="30">[1]Ville!$V$1:$V$10</definedName>
    <definedName name="ageville" localSheetId="29">[1]Ville!$V$1:$V$10</definedName>
    <definedName name="ageville">Ville!$V$1:$V$10</definedName>
    <definedName name="ageX">Famille!$D$1</definedName>
    <definedName name="ageY">Famille!$G$1</definedName>
    <definedName name="AGI">PNJcrea!$B$15</definedName>
    <definedName name="alc1hoix">Trésor!$D$4:$D$7</definedName>
    <definedName name="alignement">[2]Sheet1!$N$2:$N$100</definedName>
    <definedName name="AmpleurE">Rencontre!$P$2:$P$11</definedName>
    <definedName name="AN">Généa!$B$103</definedName>
    <definedName name="AnimalA">Rencontre!$W$2:$W$11</definedName>
    <definedName name="AnimalM">Rencontre!$U$2:$U$11</definedName>
    <definedName name="AnimalN">Rencontre!$V$2:$V$11</definedName>
    <definedName name="animalT">Rencontre!$T$2:$T$11</definedName>
    <definedName name="AP">PNJcrea!$B$21</definedName>
    <definedName name="architecture">LieuxDétail!$Q$1:$Q$100</definedName>
    <definedName name="armure">[2]Sheet1!$X$2:$X$20</definedName>
    <definedName name="AttributX">Maison!$M$1:$M$100</definedName>
    <definedName name="AVI">Ville!$C$112</definedName>
    <definedName name="base">[2]Sheet1!$T$2:$T$20</definedName>
    <definedName name="_xlnm.Database">#REF!</definedName>
    <definedName name="car">[3]Perso!$E$28</definedName>
    <definedName name="carac">PersoHist!$M$3:$M$42</definedName>
    <definedName name="caractère">LieuxDétail!$I$1:$I$100</definedName>
    <definedName name="cathedrale">Ville!$J$124</definedName>
    <definedName name="caverne" localSheetId="30">[1]Ville!$D$1:$D$100</definedName>
    <definedName name="caverne" localSheetId="29">[1]Ville!$D$1:$D$100</definedName>
    <definedName name="caverne">Ville!$D$1:$D$100</definedName>
    <definedName name="ccon">GenPerso!$U$150</definedName>
    <definedName name="chapelle">Ville!$D$124</definedName>
    <definedName name="chateau">Ville!$M$120</definedName>
    <definedName name="cheveux">[2]Sheet1!$G$2:$G$20</definedName>
    <definedName name="colline" localSheetId="30">[1]Ville!$E$1:$E$100</definedName>
    <definedName name="colline" localSheetId="29">[1]Ville!$E$1:$E$100</definedName>
    <definedName name="colline">Ville!$E$1:$E$100</definedName>
    <definedName name="com">[3]Perso!$E$34</definedName>
    <definedName name="comba">PersoHist!$P$3:$P$42</definedName>
    <definedName name="commerce">LieuxDétail!$H$1:$H$100</definedName>
    <definedName name="con" localSheetId="23">Traduction!$Q$1</definedName>
    <definedName name="CON">PNJcrea!$B$20</definedName>
    <definedName name="cotelac" localSheetId="30">[1]Ville!$F$1:$F$100</definedName>
    <definedName name="cotelac" localSheetId="29">[1]Ville!$F$1:$F$100</definedName>
    <definedName name="cotelac">Ville!$F$1:$F$100</definedName>
    <definedName name="coursdeau" localSheetId="30">[1]Ville!$G$1:$G$100</definedName>
    <definedName name="coursdeau" localSheetId="29">[1]Ville!$G$1:$G$100</definedName>
    <definedName name="coursdeau">Ville!$G$1:$G$100</definedName>
    <definedName name="CréatureA">Rencontre!$X$2:$X$101</definedName>
    <definedName name="CréatureAD">Rencontre!$Y$2:$Y$101</definedName>
    <definedName name="D">PNJcrea!$B$14</definedName>
    <definedName name="d100bis">PaysHisto!$G$3:$G$9</definedName>
    <definedName name="d100s">CarteTerr!$A$1:$A$40</definedName>
    <definedName name="D10s">CarteTerr!$B$1:$B$4</definedName>
    <definedName name="D10tré">TrésParam!$C$2:$C$11</definedName>
    <definedName name="D10x2">[2]Sheet1!$A$2:$A$20</definedName>
    <definedName name="dAge">GenPerso!$Q$2:$Q$12</definedName>
    <definedName name="danger">LieuxDétail!$G$1:$G$100</definedName>
    <definedName name="DangerANC">Rencontre!$E$2:$E$11</definedName>
    <definedName name="DangerLE">Rencontre!$F$2:$F$11</definedName>
    <definedName name="dArt">GenPerso!$AX$2:$AX$11</definedName>
    <definedName name="dCarriere">GenPerso!$CR$2:$CR$21</definedName>
    <definedName name="dCarrure">GenPerso!$EQ$2:$EQ$6</definedName>
    <definedName name="dChevelure">GenPerso!$AE$2:$AE$7</definedName>
    <definedName name="dCircon">GenPerso!$O$2:$O$11</definedName>
    <definedName name="dCricon">#REF!</definedName>
    <definedName name="dCroyance">GenPerso!$BD$2:$BD$6</definedName>
    <definedName name="ddex">GenPerso!$U$144</definedName>
    <definedName name="dDirection">GenPerso!$BM$2:$BM$11</definedName>
    <definedName name="dDistance">GenPerso!$BO$2:$BO$11</definedName>
    <definedName name="dé10" localSheetId="2">Généa!$A$1:$A$10</definedName>
    <definedName name="dé10" localSheetId="10">Généa!$A$1:$A$10</definedName>
    <definedName name="dé10" localSheetId="11">Généa!$A$1:$A$10</definedName>
    <definedName name="Dé10" localSheetId="17">PaysHisto!$H$3:$H$12</definedName>
    <definedName name="dé10" localSheetId="19">[2]Sheet1!$C$2:$C$11</definedName>
    <definedName name="Dé10" localSheetId="21">PaysHisto!$H$3:$H$12</definedName>
    <definedName name="dé10">CarteTerr!$A$1:$A$4</definedName>
    <definedName name="dé100" localSheetId="2">Généa!$A$1:$A$100</definedName>
    <definedName name="dé100" localSheetId="10">Généa!$A$1:$A$100</definedName>
    <definedName name="dé100" localSheetId="11">Généa!$A$1:$A$100</definedName>
    <definedName name="dé100" localSheetId="19">[2]Sheet1!$B$2:$B$101</definedName>
    <definedName name="dé100" localSheetId="22">Rencontre!$B$2:$B$101</definedName>
    <definedName name="dé100" localSheetId="28">Ville!$A$1:$A$100</definedName>
    <definedName name="dé100" localSheetId="30">[1]Ville!$A$1:$A$100</definedName>
    <definedName name="dé100" localSheetId="29">[1]Ville!$A$1:$A$100</definedName>
    <definedName name="dé100">LieuxDétail!$A$1:$A$100</definedName>
    <definedName name="Dé1000">PNJcrea!$L$1:$L$1011</definedName>
    <definedName name="dé100s">CarteTerr!$A$1:$A$40</definedName>
    <definedName name="de100X" localSheetId="0">Artisan!$A$1:$A$100</definedName>
    <definedName name="de100X" localSheetId="1">[4]Artisan!$A$1:$A$100</definedName>
    <definedName name="de100X">Maison!$A$1:$A$100</definedName>
    <definedName name="dé10s">Rencontre!$C$2:$C$11</definedName>
    <definedName name="de10X" localSheetId="0">Artisan!$C$1:$C$10</definedName>
    <definedName name="de10X" localSheetId="1">[4]Artisan!$C$1:$C$10</definedName>
    <definedName name="de10X">Maison!$C$1:$C$10</definedName>
    <definedName name="dé10x" localSheetId="30">[1]Ville!$C$1:$C$11</definedName>
    <definedName name="dé10x" localSheetId="29">[1]Ville!$C$1:$C$11</definedName>
    <definedName name="dé10x">Ville!$C$1:$C$11</definedName>
    <definedName name="déAGE">Généa!$B$1:$B$45</definedName>
    <definedName name="déBâtard">Généa!$F$1:$F$10</definedName>
    <definedName name="déEnfant">Généa!$D$1:$D$100</definedName>
    <definedName name="déFemme">Généa!$K$1:$K$43</definedName>
    <definedName name="defense" localSheetId="30">[1]Ville!$AJ$1:$AJ$100</definedName>
    <definedName name="defense" localSheetId="29">[1]Ville!$AJ$1:$AJ$100</definedName>
    <definedName name="defense">Ville!$AJ$1:$AJ$100</definedName>
    <definedName name="déFraterie">Généa!$E$1:$E$100</definedName>
    <definedName name="deLETTRES">PNJ!$AW$2:$AW$27</definedName>
    <definedName name="déMariage">Généa!$H$1:$H$10</definedName>
    <definedName name="déMort">Généa!$G$1:$G$10</definedName>
    <definedName name="déNOM">Généa!$C$1:$C$100</definedName>
    <definedName name="déNS">Généa!$L$1:$L$100</definedName>
    <definedName name="déNS1">GenPerso!$CV$2:$CV$36</definedName>
    <definedName name="déNS2">GenPerso!$CX$2:$CX$11</definedName>
    <definedName name="déNS3">GenPerso!$CZ$2:$CZ$20</definedName>
    <definedName name="déNS4">GenPerso!$DB$2:$DB$17</definedName>
    <definedName name="déNS5">GenPerso!$DD$2:$DD$15</definedName>
    <definedName name="déNS6">GenPerso!$DF$2:$DF$15</definedName>
    <definedName name="déNS7">GenPerso!$DH$2:$DH$11</definedName>
    <definedName name="déNS8">GenPerso!$DJ$2:$DJ$21</definedName>
    <definedName name="déNS9">GenPerso!$DL$2:$DL$10</definedName>
    <definedName name="densité" localSheetId="30">[1]Ville!$F$112</definedName>
    <definedName name="densité" localSheetId="29">[1]Ville!$F$112</definedName>
    <definedName name="densité">Ville!$F$112</definedName>
    <definedName name="densitepop" localSheetId="30">[1]Ville!$W$1:$W$100</definedName>
    <definedName name="densitepop" localSheetId="29">[1]Ville!$W$1:$W$100</definedName>
    <definedName name="densitepop">Ville!$W$1:$W$100</definedName>
    <definedName name="deploiement" localSheetId="30">[1]Ville!$Y$1:$Y$10</definedName>
    <definedName name="deploiement" localSheetId="29">[1]Ville!$Y$1:$Y$10</definedName>
    <definedName name="deploiement">Ville!$Y$1:$Y$10</definedName>
    <definedName name="desert" localSheetId="30">[1]Ville!$H$1:$H$100</definedName>
    <definedName name="desert" localSheetId="29">[1]Ville!$H$1:$H$100</definedName>
    <definedName name="desert">Ville!$H$1:$H$100</definedName>
    <definedName name="déTitre">Généa!$I$1:$I$100</definedName>
    <definedName name="déTrait">Généa!$J$1:$J$50</definedName>
    <definedName name="DEvenement" localSheetId="17">PaysHisto!$A$3:$A$42</definedName>
    <definedName name="DEvenement" localSheetId="19">#REF!</definedName>
    <definedName name="DEvenement" localSheetId="21">PaysHisto!$A$3:$A$42</definedName>
    <definedName name="DEvenement">PersoHist!$A$3:$A$42</definedName>
    <definedName name="DEX">PNJcrea!$B$14</definedName>
    <definedName name="dFreSoe">GenPerso!$BT$2:$BT$16</definedName>
    <definedName name="dHistoire">GenPerso!$DR$2:$DR$43</definedName>
    <definedName name="dHumour">GenPerso!$BB$2:$BB$6</definedName>
    <definedName name="DimensionX">Maison!$H$1:$H$5</definedName>
    <definedName name="dIntensite">GenPerso!$CF$2:$CF$6</definedName>
    <definedName name="distanceQ" localSheetId="30">[1]Ville!$AL$1:$AL$10</definedName>
    <definedName name="distanceQ" localSheetId="29">[1]Ville!$AL$1:$AL$10</definedName>
    <definedName name="distanceQ">Ville!$AL$1:$AL$10</definedName>
    <definedName name="dive">CarteLieu!$D$31</definedName>
    <definedName name="dLieu">GenPerso!$BI$2:$BI$10</definedName>
    <definedName name="dLongueur">GenPerso!$AI$2:$AI$11</definedName>
    <definedName name="dLune">GenPerso!$AB$2:$AB$9</definedName>
    <definedName name="DMA" localSheetId="30">[1]Ville!$M$113</definedName>
    <definedName name="DMA" localSheetId="29">[1]Ville!$M$113</definedName>
    <definedName name="DMA">Ville!$M$113</definedName>
    <definedName name="dMarque">GenPerso!$AT$2:$AT$41</definedName>
    <definedName name="dMarque2">GenPerso!$AR$9:$AR$18</definedName>
    <definedName name="dMedical">GenPerso!$CD$2:$CD$22</definedName>
    <definedName name="dNaissance">GenPerso!$L$2:$L$21</definedName>
    <definedName name="dNatif">GenPerso!$EO$2:$EO$20</definedName>
    <definedName name="dNS0">GenPerso!$CT$2:$CT$11</definedName>
    <definedName name="dNSFreSoe">GenPerso!$BV$2:$BV$11</definedName>
    <definedName name="dNSp">GenPerso!$BQ$2:$BQ$11</definedName>
    <definedName name="dnsPerso">GenPerso!$CJ$2:$CJ$11</definedName>
    <definedName name="dOdeur">GenPerso!$AV$2:$AV$6</definedName>
    <definedName name="dOrigine">GenPerso!$BG$2:$BG$9</definedName>
    <definedName name="dph">Ville!$F$113</definedName>
    <definedName name="dPilosite">GenPerso!$AN$2:$AN$9</definedName>
    <definedName name="Dplusmoins" localSheetId="17">PaysHisto!$H$3:$H$7</definedName>
    <definedName name="Dplusmoins" localSheetId="19">#REF!</definedName>
    <definedName name="Dplusmoins" localSheetId="21">PaysHisto!$H$3:$H$7</definedName>
    <definedName name="Dplusmoins">PersoHist!$G$3:$G$7</definedName>
    <definedName name="DPO" localSheetId="30">[1]Ville!$J$113</definedName>
    <definedName name="DPO" localSheetId="29">[1]Ville!$J$113</definedName>
    <definedName name="DPO">Ville!$J$113</definedName>
    <definedName name="dPsycho">#REF!</definedName>
    <definedName name="dPsychologie">GenPerso!$CH$2:$CH$59</definedName>
    <definedName name="dRelation">GenPerso!$BY$2:$BY$6</definedName>
    <definedName name="dSituation">GenPerso!$CA$2:$CA$13</definedName>
    <definedName name="dStyle">GenPerso!$AG$2:$AG$6</definedName>
    <definedName name="dTeinte">GenPerso!$AR$2:$AR$6</definedName>
    <definedName name="dTerrain">GenPerso!$BK$2:$BK$10</definedName>
    <definedName name="dTraitSpe">GenPerso!$DP$2:$DP$28</definedName>
    <definedName name="dTraitsSpe">#REF!</definedName>
    <definedName name="DType" localSheetId="17">PaysHisto!$J$3:$J$7</definedName>
    <definedName name="DType" localSheetId="19">#REF!</definedName>
    <definedName name="DType" localSheetId="21">PaysHisto!$J$3:$J$7</definedName>
    <definedName name="DType">PersoHist!$K$3:$K$7</definedName>
    <definedName name="duree">PaysHisto!$N$3:$N$12</definedName>
    <definedName name="DuréeE">Rencontre!$O$2:$O$11</definedName>
    <definedName name="dYeux">GenPerso!$AL$2:$AL$9</definedName>
    <definedName name="E">PNJcrea!$B$18</definedName>
    <definedName name="eelo">GenPerso!$U$148</definedName>
    <definedName name="eemp">GenPerso!$U$149</definedName>
    <definedName name="eend">GenPerso!$U$143</definedName>
    <definedName name="eglise">Ville!$F$124</definedName>
    <definedName name="EM">PNJcrea!$B$19</definedName>
    <definedName name="émaux">Généa!$N$1:$N$100</definedName>
    <definedName name="EN">PNJcrea!$B$13</definedName>
    <definedName name="END">PNJcrea!$B$13</definedName>
    <definedName name="enjeu">PersoHist!$I$3:$I$12</definedName>
    <definedName name="Enseigne">Artisan!$I$105</definedName>
    <definedName name="EnseigneX" localSheetId="1">[4]Artisan!$R$1:$R$6</definedName>
    <definedName name="EnseigneX">Artisan!$R$1:$R$6</definedName>
    <definedName name="etendue">PaysHisto!$L$3:$L$12</definedName>
    <definedName name="ethniemax" localSheetId="30">[1]Paramètres!$B$23</definedName>
    <definedName name="ethniemax">VilP!$B$23</definedName>
    <definedName name="etran">PersoHist!$Q$3:$Q$42</definedName>
    <definedName name="Evènement">Rencontre!$N$2:$N$101</definedName>
    <definedName name="F">PNJcrea!$B$12</definedName>
    <definedName name="famille">PNJ!$AS$2:$AS$20</definedName>
    <definedName name="favorise" localSheetId="30">[1]Ville!$AB$1:$AB$100</definedName>
    <definedName name="favorise" localSheetId="29">[1]Ville!$AB$1:$AB$100</definedName>
    <definedName name="favorise">Ville!$AB$1:$AB$100</definedName>
    <definedName name="ffor">GenPerso!$U$142</definedName>
    <definedName name="floreQ" localSheetId="30">[1]Ville!$AP$1:$AP$10</definedName>
    <definedName name="floreQ" localSheetId="29">[1]Ville!$AP$1:$AP$10</definedName>
    <definedName name="floreQ">Ville!$AP$1:$AP$10</definedName>
    <definedName name="FOR" localSheetId="28">Ville!$D$121</definedName>
    <definedName name="FOR" localSheetId="30">[1]Ville!$D$121</definedName>
    <definedName name="FOR" localSheetId="29">[1]Ville!$D$121</definedName>
    <definedName name="FOR">PNJcrea!$B$12</definedName>
    <definedName name="foret" localSheetId="30">[1]Ville!$I$1:$I$100</definedName>
    <definedName name="foret" localSheetId="29">[1]Ville!$I$1:$I$100</definedName>
    <definedName name="foret">Ville!$I$1:$I$100</definedName>
    <definedName name="forme">Généa!$M$1:$M$10</definedName>
    <definedName name="FormeX">Maison!$L$1:$L$9</definedName>
    <definedName name="freq">CarteTerr!$D$1:$D$40</definedName>
    <definedName name="frontiere">Ville!$AN$1:$AN$10</definedName>
    <definedName name="frontiereQ" localSheetId="30">[1]Ville!$AN$1:$AN$10</definedName>
    <definedName name="frontiereQ" localSheetId="29">[1]Ville!$AN$1:$AN$10</definedName>
    <definedName name="frontiereQ">Ville!$AN$1:$AN$10</definedName>
    <definedName name="gpA">GenPerso!$F$61</definedName>
    <definedName name="gpAge1">GenPerso!$R$2:$R$12</definedName>
    <definedName name="gpAge2">GenPerso!$S$2:$S$12</definedName>
    <definedName name="gpAnnee1">GenPerso!$T$2:$T$11</definedName>
    <definedName name="gpAnnee2">GenPerso!$U$2:$U$11</definedName>
    <definedName name="gpAnnee3">GenPerso!$V$2:$V$11</definedName>
    <definedName name="gpAp">GenPerso!$F$67</definedName>
    <definedName name="gpArt1">GenPerso!$AY$2:$AY$11</definedName>
    <definedName name="gpArt2">GenPerso!$AZ$2:$AZ$11</definedName>
    <definedName name="gpArt3">GenPerso!$BA$2:$BA$11</definedName>
    <definedName name="gpAttitude">GenPerso!$EE$2:$EE$8</definedName>
    <definedName name="gpBEA">GenPerso!$D$131</definedName>
    <definedName name="gpBenediction">GenPerso!$EK$2:$EK$11</definedName>
    <definedName name="gpBMp">GenPerso!$BS$2:$BS$11</definedName>
    <definedName name="gpC">GenPerso!$F$66</definedName>
    <definedName name="gpCapacite">GenPerso!$EA$2:$EA$24</definedName>
    <definedName name="gpCAR">GenPerso!$D$123</definedName>
    <definedName name="gpCarac">GenPerso!$C$113:$D$132</definedName>
    <definedName name="gpCaractere">GenPerso!$DO$2:$DO$51</definedName>
    <definedName name="gpCarriere">GenPerso!$CS$2:$CS$21</definedName>
    <definedName name="gpCarrure">GenPerso!$ER$2:$ER$6</definedName>
    <definedName name="gpCHA">GenPerso!$D$132</definedName>
    <definedName name="gpChevelure">GenPerso!$AF$2:$AF$7</definedName>
    <definedName name="gpCircon">GenPerso!$P$2:$P$11</definedName>
    <definedName name="gpCOM">GenPerso!$D$127</definedName>
    <definedName name="gpCOO">GenPerso!$D$117</definedName>
    <definedName name="gpCPAMetiers">GenPerso!$ET$2:$ET$160</definedName>
    <definedName name="gpCroyance">GenPerso!$BE$2:$BE$6</definedName>
    <definedName name="gpD">GenPerso!$F$60</definedName>
    <definedName name="gpD100x">GenPerso!$B$2:$B$101</definedName>
    <definedName name="gpD10x">GenPerso!$A$2:$A$11</definedName>
    <definedName name="gpDefaut">GenPerso!$DW$2:$DW$55</definedName>
    <definedName name="gpDirection">GenPerso!$BN$2:$BN$11</definedName>
    <definedName name="gpDispo">GenPerso!$DY$2:$DY$14</definedName>
    <definedName name="gpDistance">GenPerso!$BP$2:$BP$11</definedName>
    <definedName name="gpDon">GenPerso!$DV$2:$DV$68</definedName>
    <definedName name="gpE">GenPerso!$F$64</definedName>
    <definedName name="gpEm">GenPerso!$F$65</definedName>
    <definedName name="gpEn">GenPerso!$F$59</definedName>
    <definedName name="gpEQU">GenPerso!$D$120</definedName>
    <definedName name="gpEtrange">GenPerso!$EM$2:$EM$11</definedName>
    <definedName name="gpF">GenPerso!$F$58</definedName>
    <definedName name="gpFAT">GenPerso!$D$116</definedName>
    <definedName name="gpFoi">GenPerso!$BF$2:$BF$6</definedName>
    <definedName name="gpForce">GenPerso!$E$58</definedName>
    <definedName name="gpFreSoe">GenPerso!$BU$2:$BU$16</definedName>
    <definedName name="gpHistoire">GenPerso!$DS$2:$DS$43</definedName>
    <definedName name="gpHistoireE">GenPerso!$EI$2:$EI$25</definedName>
    <definedName name="gpHistoireR">GenPerso!$EH$2:$EH$21</definedName>
    <definedName name="gpHumour">GenPerso!$BC$2:$BC$6</definedName>
    <definedName name="gpI">GenPerso!$F$62</definedName>
    <definedName name="gpIntensite">GenPerso!$CG$2:$CG$6</definedName>
    <definedName name="gpINU">GenPerso!$D$128</definedName>
    <definedName name="gpJour1">GenPerso!$Y$2:$Y$31</definedName>
    <definedName name="gpJour2">GenPerso!$Z$2:$Z$31</definedName>
    <definedName name="gpJour3">GenPerso!$AA$2:$AA$31</definedName>
    <definedName name="gpLieu">GenPerso!$BJ$2:$BJ$10</definedName>
    <definedName name="gpLongueur1">GenPerso!$AJ$2:$AJ$11</definedName>
    <definedName name="gpLongueur2">GenPerso!$AK$2:$AK$11</definedName>
    <definedName name="gpLune1">GenPerso!$AC$2:$AC$9</definedName>
    <definedName name="gpLune2">GenPerso!$AD$2:$AD$9</definedName>
    <definedName name="gpMalediction">GenPerso!$EL$2:$EL$11</definedName>
    <definedName name="gpMAN">GenPerso!$D$118</definedName>
    <definedName name="gpMarque">GenPerso!$AU$2:$AU$41</definedName>
    <definedName name="gpMarque2">GenPerso!$AS$9:$AS$18</definedName>
    <definedName name="gpMedical">GenPerso!$CE$2:$CE$22</definedName>
    <definedName name="gpMEM">GenPerso!$D$122</definedName>
    <definedName name="gpMetier1">GenPerso!$C$88</definedName>
    <definedName name="gpMetier2">GenPerso!$C$94</definedName>
    <definedName name="gpMetier3">GenPerso!$C$100</definedName>
    <definedName name="gpMetiers">GenPerso!$ES$2:$ES$160</definedName>
    <definedName name="gpMois1">GenPerso!$W$2:$W$13</definedName>
    <definedName name="gpMois2">GenPerso!$X$2:$X$13</definedName>
    <definedName name="gpMort">#REF!</definedName>
    <definedName name="gpNaissance1">GenPerso!$M$2:$M$21</definedName>
    <definedName name="gpNaissance2">GenPerso!$N$2:$N$21</definedName>
    <definedName name="gpNatif">GenPerso!$EP$2:$EP$20</definedName>
    <definedName name="gpNEC">GenPerso!$D$73</definedName>
    <definedName name="gpNS0">GenPerso!$CU$2:$CU$11</definedName>
    <definedName name="gpNS1">GenPerso!$CW$2:$CW$36</definedName>
    <definedName name="gpNS2">GenPerso!$CY$2:$CY$11</definedName>
    <definedName name="gpNS3">GenPerso!$DA$2:$DA$20</definedName>
    <definedName name="gpNS4">GenPerso!$DC$2:$DC$17</definedName>
    <definedName name="gpNS5">GenPerso!$DE$2:$DE$15</definedName>
    <definedName name="gpNS6">GenPerso!$DG$2:$DG$15</definedName>
    <definedName name="gpNS7">GenPerso!$DI$2:$DI$11</definedName>
    <definedName name="gpNS8">GenPerso!$DK$2:$DK$21</definedName>
    <definedName name="gpNS9">GenPerso!$DM$2:$DM$10</definedName>
    <definedName name="gpNSfreSoe">GenPerso!$BW$2:$BW$11</definedName>
    <definedName name="gpNSp">GenPerso!$BR$2:$BR$11</definedName>
    <definedName name="gpNSPerso1">GenPerso!$CK$2:$CK$11</definedName>
    <definedName name="gpNSPerso2">GenPerso!$CL$2:$CL$11</definedName>
    <definedName name="gpNSPerso3">GenPerso!$CM$2:$CM$11</definedName>
    <definedName name="gpNSPerso4">#REF!</definedName>
    <definedName name="gpNSPerso5">#REF!</definedName>
    <definedName name="gpNSPerso6">#REF!</definedName>
    <definedName name="gpNSPerso7">#REF!</definedName>
    <definedName name="gpObjet">GenPerso!$EB$2:$EB$11</definedName>
    <definedName name="gpOdeur">GenPerso!$AW$2:$AW$6</definedName>
    <definedName name="gpOption">GenPerso!$DZ$2:$DZ$7</definedName>
    <definedName name="gpOrigine">GenPerso!$BH$2:$BH$9</definedName>
    <definedName name="gpPDC">GenPerso!$N$155</definedName>
    <definedName name="gpPilosite1">GenPerso!$AO$2:$AO$9</definedName>
    <definedName name="gpPilosite2">GenPerso!$AP$2:$AP$9</definedName>
    <definedName name="gpPilosite3">GenPerso!$AQ$2:$AQ$9</definedName>
    <definedName name="gpPOU">GenPerso!$D$114</definedName>
    <definedName name="gpPrincipe">GenPerso!$DX$2:$DX$11</definedName>
    <definedName name="gpPsycho">#REF!</definedName>
    <definedName name="gpPsychologie">GenPerso!$CI$2:$CI$59</definedName>
    <definedName name="gpPUI">GenPerso!$D$113</definedName>
    <definedName name="gpRAI">GenPerso!$D$121</definedName>
    <definedName name="gpRAP">GenPerso!$D$126</definedName>
    <definedName name="gpRelation">GenPerso!$BZ$2:$BZ$6</definedName>
    <definedName name="gpRES">GenPerso!$D$124</definedName>
    <definedName name="gpRichesse">GenPerso!$ED$2:$ED$11</definedName>
    <definedName name="gpRM">GenPerso!$N$156</definedName>
    <definedName name="gpROB">GenPerso!$D$130</definedName>
    <definedName name="gpSAN">GenPerso!$D$129</definedName>
    <definedName name="gpSituation1">GenPerso!$CB$2:$CB$13</definedName>
    <definedName name="gpSituation2">GenPerso!$CC$2:$CC$13</definedName>
    <definedName name="gpSOP">GenPerso!$D$119</definedName>
    <definedName name="gpSOU">GenPerso!$D$115</definedName>
    <definedName name="gpStatut">GenPerso!$EC$2:$EC$12</definedName>
    <definedName name="gpStyle">GenPerso!$AH$2:$AH$6</definedName>
    <definedName name="gpTal1">GenPerso!$EU$2:$EU$160</definedName>
    <definedName name="gpTal2">GenPerso!$EW$2:$EW$160</definedName>
    <definedName name="gpTal3">GenPerso!$EY$2:$EY$160</definedName>
    <definedName name="gpTal4">GenPerso!$FA$2:$FA$160</definedName>
    <definedName name="gpTal5">GenPerso!$FC$2:$FC$160</definedName>
    <definedName name="gpTal6">GenPerso!$FE$2:$FE$160</definedName>
    <definedName name="gpTalentA">GenPerso!$EF$2:$EF$15</definedName>
    <definedName name="gpTalentM">GenPerso!$EG$2:$EG$18</definedName>
    <definedName name="gpTalentNiveau">GenPerso!$C$134:$J$225</definedName>
    <definedName name="gpTeinte">GenPerso!$AS$2:$AS$6</definedName>
    <definedName name="gpTerrain">GenPerso!$BL$2:$BL$10</definedName>
    <definedName name="gpTic">GenPerso!$DN$2:$DN$11</definedName>
    <definedName name="gpTraitMa">GenPerso!$DU$2:$DU$13</definedName>
    <definedName name="gpTraitmi">GenPerso!$DT$2:$DT$15</definedName>
    <definedName name="gpTraitSpe">GenPerso!$DQ$2:$DQ$28</definedName>
    <definedName name="gpV">GenPerso!$F$63</definedName>
    <definedName name="gpVOI">GenPerso!$D$125</definedName>
    <definedName name="gpYeux">GenPerso!$AM$2:$AM$9</definedName>
    <definedName name="groupe" localSheetId="17">PaysHisto!$C$3:$C$42</definedName>
    <definedName name="groupe" localSheetId="19">#REF!</definedName>
    <definedName name="groupe" localSheetId="21">PaysHisto!$C$3:$C$42</definedName>
    <definedName name="groupe">PersoHist!$C$3:$C$42</definedName>
    <definedName name="Humains">Rencontre!$Q$2:$Q$101</definedName>
    <definedName name="I">PNJcrea!$B$16</definedName>
    <definedName name="iint">GenPerso!$U$146</definedName>
    <definedName name="INT">PNJcrea!$B$16</definedName>
    <definedName name="Intel">[2]Sheet1!$F$2:$F$20</definedName>
    <definedName name="IRE">Ville!$C$123</definedName>
    <definedName name="isolé">CarteLieu!$D$16</definedName>
    <definedName name="jungle" localSheetId="30">[1]Ville!$J$1:$J$100</definedName>
    <definedName name="jungle" localSheetId="29">[1]Ville!$J$1:$J$100</definedName>
    <definedName name="jungle">Ville!$J$1:$J$100</definedName>
    <definedName name="LETTRES">PNJ!$AV$2:$AV$27</definedName>
    <definedName name="LettreX" localSheetId="0">Artisan!$B$1:$B$26</definedName>
    <definedName name="LettreX" localSheetId="1">[4]Artisan!$B$1:$B$26</definedName>
    <definedName name="LettreX">Maison!$B$1:$B$26</definedName>
    <definedName name="lieu" localSheetId="17">PaysHisto!$D$3:$D$42</definedName>
    <definedName name="lieu" localSheetId="19">#REF!</definedName>
    <definedName name="lieu" localSheetId="21">PaysHisto!$D$3:$D$42</definedName>
    <definedName name="lieu">PersoHist!$D$3:$D$42</definedName>
    <definedName name="LieuN">Rencontre!$K$2:$K$101</definedName>
    <definedName name="LieuT">Rencontre!$J$2:$J$101</definedName>
    <definedName name="ListePrincipale" localSheetId="30">[1]Ville!$AX$1:$AX$11</definedName>
    <definedName name="ListePrincipale" localSheetId="29">[1]Ville!$AX$1:$AX$11</definedName>
    <definedName name="ListePrincipale">Ville!$AX$1:$AX$11</definedName>
    <definedName name="ListeRessources">Ville!$AV$1:$AV$60</definedName>
    <definedName name="ListeSecondaire" localSheetId="30">[1]Ville!$AY$1:$AY$21</definedName>
    <definedName name="ListeSecondaire" localSheetId="29">[1]Ville!$AY$1:$AY$21</definedName>
    <definedName name="ListeSecondaire">Ville!$AY$1:$AY$21</definedName>
    <definedName name="ListeTerrain" localSheetId="30">[1]Ville!$C$31:$C$43</definedName>
    <definedName name="ListeTerrain" localSheetId="29">[1]Ville!$C$31:$C$43</definedName>
    <definedName name="ListeTerrain">Ville!$C$31:$C$43</definedName>
    <definedName name="ListeTertiaire" localSheetId="30">[1]Ville!$AZ$1:$AZ$31</definedName>
    <definedName name="ListeTertiaire" localSheetId="29">[1]Ville!$AZ$1:$AZ$31</definedName>
    <definedName name="ListeTertiaire">Ville!$AZ$1:$AZ$31</definedName>
    <definedName name="longueurX">Maison!$I$1:$I$19</definedName>
    <definedName name="marais" localSheetId="30">[1]Ville!$K$1:$K$100</definedName>
    <definedName name="marais" localSheetId="29">[1]Ville!$K$1:$K$100</definedName>
    <definedName name="marais">Ville!$K$1:$K$100</definedName>
    <definedName name="marche" localSheetId="30">[1]Ville!$AC$1:$AC$100</definedName>
    <definedName name="marche" localSheetId="29">[1]Ville!$AC$1:$AC$100</definedName>
    <definedName name="marche">Ville!$AC$1:$AC$100</definedName>
    <definedName name="marcheFixe" localSheetId="30">[1]Paramètres!$B$18</definedName>
    <definedName name="marcheFixe">VilP!$B$18</definedName>
    <definedName name="marcheNote" localSheetId="30">[1]Ville!$AS$1:$AS$10</definedName>
    <definedName name="marcheNote" localSheetId="29">[1]Ville!$AS$1:$AS$10</definedName>
    <definedName name="marcheNote">Ville!$AS$1:$AS$10</definedName>
    <definedName name="MARd100">Ville!$AD$125</definedName>
    <definedName name="MatériauxL">Rencontre!$M$2:$M$11</definedName>
    <definedName name="MatièreX">Maison!$K$1:$K$19</definedName>
    <definedName name="mem">[3]Perso!$E$26</definedName>
    <definedName name="metautT">Météo!$I$2:$I$15</definedName>
    <definedName name="metd10">Météo!$A$2:$A$15</definedName>
    <definedName name="meteteT">Météo!$H$2:$H$15</definedName>
    <definedName name="methivT">Météo!$J$2:$J$15</definedName>
    <definedName name="metmodT">Météo!$D$2:$D$15</definedName>
    <definedName name="metnua">Météo!$B$2:$B$15</definedName>
    <definedName name="metplu">Météo!$K$2:$K$15</definedName>
    <definedName name="metpriT">Météo!$G$2:$G$15</definedName>
    <definedName name="metven">Météo!$L$2:$L$15</definedName>
    <definedName name="metvenDir">Météo!$M$4:$M$13</definedName>
    <definedName name="meuble">Généa!$P$1:$P$100</definedName>
    <definedName name="mFR" localSheetId="30">[1]Ville!$AF$1:$AF$100</definedName>
    <definedName name="mFR" localSheetId="29">[1]Ville!$AF$1:$AF$100</definedName>
    <definedName name="mFR">Ville!$AF$1:$AF$100</definedName>
    <definedName name="mili">CarteLieu!$D$25</definedName>
    <definedName name="mNE" localSheetId="30">[1]Ville!$AE$1:$AE$100</definedName>
    <definedName name="mNE" localSheetId="29">[1]Ville!$AE$1:$AE$100</definedName>
    <definedName name="mNE">Ville!$AE$1:$AE$100</definedName>
    <definedName name="Moment">Rencontre!$D$2:$D$11</definedName>
    <definedName name="Monnaie">[2]Sheet1!$S$2:$S$20</definedName>
    <definedName name="montagne" localSheetId="30">[1]Ville!$L$1:$L$100</definedName>
    <definedName name="montagne" localSheetId="29">[1]Ville!$L$1:$L$100</definedName>
    <definedName name="montagne">Ville!$L$1:$L$100</definedName>
    <definedName name="mort">Généa!$D$103</definedName>
    <definedName name="mQT" localSheetId="30">[1]Ville!$AD$1:$AD$100</definedName>
    <definedName name="mQT" localSheetId="29">[1]Ville!$AD$1:$AD$100</definedName>
    <definedName name="mQT">Ville!$AD$1:$AD$100</definedName>
    <definedName name="multimax" localSheetId="17">#REF!</definedName>
    <definedName name="multimax" localSheetId="19">PNJ!$O$13</definedName>
    <definedName name="multimax" localSheetId="21">#REF!</definedName>
    <definedName name="multimax">#REF!</definedName>
    <definedName name="multimin" localSheetId="17">#REF!</definedName>
    <definedName name="multimin" localSheetId="19">PNJ!$O$12</definedName>
    <definedName name="multimin" localSheetId="21">#REF!</definedName>
    <definedName name="multimin">#REF!</definedName>
    <definedName name="muraille" localSheetId="30">[1]Ville!$AI$1:$AI$100</definedName>
    <definedName name="muraille" localSheetId="29">[1]Ville!$AI$1:$AI$100</definedName>
    <definedName name="muraille">Ville!$AI$1:$AI$100</definedName>
    <definedName name="nbmeuble">Généa!$Q$1:$Q$10</definedName>
    <definedName name="nbTanteOncle">Famille!$B$10</definedName>
    <definedName name="nc">PNJcrea!$B$26</definedName>
    <definedName name="NE" localSheetId="1">[4]Artisan!$F$105</definedName>
    <definedName name="NE">Artisan!$F$105</definedName>
    <definedName name="NEC" localSheetId="20">PNJcrea!$B$22</definedName>
    <definedName name="NEC">[2]Sheet1!$M$2:$M$20</definedName>
    <definedName name="NEcbt">PNJcrea!$B$23</definedName>
    <definedName name="NEM">PNJcrea!$B$24</definedName>
    <definedName name="NEmagie">PNJcrea!$B$25</definedName>
    <definedName name="nEnfants">Famille!$B$4</definedName>
    <definedName name="nEns">Artisan!$A$104</definedName>
    <definedName name="nEnseigne">Artisan!$A$104</definedName>
    <definedName name="NFS">Généa!$B$115</definedName>
    <definedName name="NFSgp">Généa!$B$147</definedName>
    <definedName name="NFSpère">Généa!$B$131</definedName>
    <definedName name="NMA" localSheetId="30">[1]Ville!$C$129</definedName>
    <definedName name="NMA" localSheetId="29">[1]Ville!$C$129</definedName>
    <definedName name="NMA">Ville!$C$129</definedName>
    <definedName name="nMatière">Maison!$A$105</definedName>
    <definedName name="Nom" localSheetId="0">Artisan!$G$105</definedName>
    <definedName name="Nom">Maison!#REF!</definedName>
    <definedName name="NPA" localSheetId="30">[1]Ville!$F$115</definedName>
    <definedName name="NPA" localSheetId="29">[1]Ville!$F$115</definedName>
    <definedName name="NPA">Ville!$F$115</definedName>
    <definedName name="NQU" localSheetId="30">[1]Ville!$Q$104</definedName>
    <definedName name="NQU" localSheetId="29">[1]Ville!$Q$104</definedName>
    <definedName name="NQU">Ville!$Q$104</definedName>
    <definedName name="nRPR">Ville!$B$107</definedName>
    <definedName name="nRSE">Ville!$B$108</definedName>
    <definedName name="nRTE">Ville!$B$109</definedName>
    <definedName name="NS" localSheetId="0">Artisan!$B$105</definedName>
    <definedName name="NS" localSheetId="10">Famille!$J$1</definedName>
    <definedName name="NS" localSheetId="19">[2]Sheet1!$O$2:$O$100</definedName>
    <definedName name="NS" localSheetId="28">Ville!$AM$1:$AM$100</definedName>
    <definedName name="NS" localSheetId="30">[1]Ville!$AM$1:$AM$100</definedName>
    <definedName name="NS" localSheetId="29">[1]Ville!$AM$1:$AM$100</definedName>
    <definedName name="NS">Maison!$B$105</definedName>
    <definedName name="NS0">GenPerso!$CU$2:$CU$11</definedName>
    <definedName name="NS0x" localSheetId="1">[4]Artisan!$G$1:$G$10</definedName>
    <definedName name="NS0x">Artisan!$G$1:$G$10</definedName>
    <definedName name="NS1x" localSheetId="1">[4]Artisan!$H$1:$H$100</definedName>
    <definedName name="NS1x">Artisan!$H$1:$H$100</definedName>
    <definedName name="NS2x" localSheetId="1">[4]Artisan!$I$1:$I$10</definedName>
    <definedName name="NS2x">Artisan!$I$1:$I$10</definedName>
    <definedName name="NS3x" localSheetId="1">[4]Artisan!$J$1:$J$20</definedName>
    <definedName name="NS3x">Artisan!$J$1:$J$20</definedName>
    <definedName name="NS4x" localSheetId="1">[4]Artisan!$K$1:$K$20</definedName>
    <definedName name="NS4x">Artisan!$K$1:$K$20</definedName>
    <definedName name="NS5x" localSheetId="1">[4]Artisan!$L$1:$L$20</definedName>
    <definedName name="NS5x">Artisan!$L$1:$L$20</definedName>
    <definedName name="NS6x" localSheetId="1">[4]Artisan!$M$1:$M$20</definedName>
    <definedName name="NS6x">Artisan!$M$1:$M$20</definedName>
    <definedName name="NS7x" localSheetId="1">[4]Artisan!$N$1:$N$10</definedName>
    <definedName name="NS7x">Artisan!$N$1:$N$10</definedName>
    <definedName name="NS8x" localSheetId="1">[4]Artisan!$O$1:$O$20</definedName>
    <definedName name="NS8x">Artisan!$O$1:$O$20</definedName>
    <definedName name="NS9x" localSheetId="1">[4]Artisan!$P$1:$P$10</definedName>
    <definedName name="NS9x">Artisan!$P$1:$P$10</definedName>
    <definedName name="NSdé">Artisan!$X$1:$X$10</definedName>
    <definedName name="nSpe">Artisan!$A$105</definedName>
    <definedName name="NSX" localSheetId="0">Artisan!$E$1:$E$100</definedName>
    <definedName name="NSX" localSheetId="1">[4]Artisan!$E$1:$E$100</definedName>
    <definedName name="NSX">Maison!$E$1:$E$100</definedName>
    <definedName name="NSXX">Artisan!$Y$1:$Y$10</definedName>
    <definedName name="nTaille">Maison!$A$106</definedName>
    <definedName name="NTR" localSheetId="28">Ville!$B$110</definedName>
    <definedName name="NTR" localSheetId="30">[1]Ville!$B$110</definedName>
    <definedName name="NTR" localSheetId="29">[1]Ville!$B$110</definedName>
    <definedName name="NTR">Artisan!$D$105</definedName>
    <definedName name="nTrait">Artisan!$A$106</definedName>
    <definedName name="ocean" localSheetId="30">[1]Ville!$M$1:$M$100</definedName>
    <definedName name="ocean" localSheetId="29">[1]Ville!$M$1:$M$100</definedName>
    <definedName name="ocean">Ville!$M$1:$M$100</definedName>
    <definedName name="origine">[2]Sheet1!$L$2:$L$11</definedName>
    <definedName name="OrigineH">Rencontre!$S$2:$S$11</definedName>
    <definedName name="partieFixee" localSheetId="30">[1]Paramètres!$B$12</definedName>
    <definedName name="partieFixee">VilP!$B$12</definedName>
    <definedName name="partieville" localSheetId="30">[1]Ville!$X$1:$X$100</definedName>
    <definedName name="partieville" localSheetId="29">[1]Ville!$X$1:$X$100</definedName>
    <definedName name="partieville">Ville!$X$1:$X$100</definedName>
    <definedName name="partition">Généa!$O$1:$O$100</definedName>
    <definedName name="pelerinage">Ville!$M$124</definedName>
    <definedName name="persoAge">GenPerso!$H$4</definedName>
    <definedName name="persoBM">GenPerso!$J$40</definedName>
    <definedName name="persoBMpere">GenPerso!$I$25</definedName>
    <definedName name="persoFoi">GenPerso!$I$19</definedName>
    <definedName name="persoFreSoe">GenPerso!$I$27</definedName>
    <definedName name="Personne" localSheetId="17">PaysHisto!$B$3:$B$42</definedName>
    <definedName name="Personne" localSheetId="19">#REF!</definedName>
    <definedName name="Personne" localSheetId="21">PaysHisto!$B$3:$B$42</definedName>
    <definedName name="Personne">PersoHist!$B$3:$B$42</definedName>
    <definedName name="persoNS">GenPerso!$I$40</definedName>
    <definedName name="persoNS2">GenPerso!$G$86</definedName>
    <definedName name="persoNS3">GenPerso!$G$87</definedName>
    <definedName name="persoNSpere">GenPerso!$H$25</definedName>
    <definedName name="Phys">[2]Sheet1!$E$2:$E$20</definedName>
    <definedName name="plaine" localSheetId="30">[1]Ville!$N$1:$N$100</definedName>
    <definedName name="plaine" localSheetId="29">[1]Ville!$N$1:$N$100</definedName>
    <definedName name="plaine">Ville!$N$1:$N$100</definedName>
    <definedName name="PLMO">PaysHisto!$O$3:$O$42</definedName>
    <definedName name="plumoi">PaysHisto!$I$3:$I$9</definedName>
    <definedName name="plusmoins" localSheetId="5">CarteTerr!$B$1:$B$40</definedName>
    <definedName name="plusmoins" localSheetId="7">CarteTerr!$B$1:$B$40</definedName>
    <definedName name="PlusMoins" localSheetId="17">PaysHisto!$I$3:$I$7</definedName>
    <definedName name="PlusMoins" localSheetId="19">#REF!</definedName>
    <definedName name="PlusMoins" localSheetId="21">PaysHisto!$I$3:$I$7</definedName>
    <definedName name="PlusMoins" localSheetId="28">Ville!$C$12:$C$21</definedName>
    <definedName name="PlusMoins" localSheetId="30">[1]Ville!$C$12:$C$21</definedName>
    <definedName name="PlusMoins" localSheetId="29">[1]Ville!$C$12:$C$21</definedName>
    <definedName name="PlusMoins">PersoHist!$H$3:$H$7</definedName>
    <definedName name="PlusMoinsX" localSheetId="0">Artisan!$D$1:$D$10</definedName>
    <definedName name="PlusMoinsX">Maison!$D$1:$D$10</definedName>
    <definedName name="pNS">ArtP!$B$14</definedName>
    <definedName name="pNTR">ArtP!$B$18</definedName>
    <definedName name="poids">[2]Sheet1!$K$2:$K$20</definedName>
    <definedName name="politique">LieuxDétail!$J$1:$J$100</definedName>
    <definedName name="pop" localSheetId="4">CarteRepLieu!$J$1</definedName>
    <definedName name="pop">CarteLieu!$H$2</definedName>
    <definedName name="popactive" localSheetId="30">[1]Ville!$C$114</definedName>
    <definedName name="popactive" localSheetId="29">[1]Ville!$C$114</definedName>
    <definedName name="popactive">Ville!$C$114</definedName>
    <definedName name="popcarte">CarteLieu!$A$8</definedName>
    <definedName name="POPfixee">VilP!$B$9</definedName>
    <definedName name="POPfixee2">VilP!$B$10</definedName>
    <definedName name="poptest">[1]Profession!#REF!</definedName>
    <definedName name="Population" localSheetId="28">[1]Profession!$A$2</definedName>
    <definedName name="Population" localSheetId="30">[1]Profession!$A$2</definedName>
    <definedName name="Population" localSheetId="29">[1]Profession!$A$2</definedName>
    <definedName name="population">PaysHisto!$M$3:$M$12</definedName>
    <definedName name="PorteX">Maison!$N$1:$N$10</definedName>
    <definedName name="possessions">[2]Sheet1!$R$2:$R$20</definedName>
    <definedName name="prénom">Artisan!$H$105</definedName>
    <definedName name="Prenom1000">PNJcrea!$M$1:$M$1011</definedName>
    <definedName name="Prénoms">PNJcrea!$L$1:$M$1011</definedName>
    <definedName name="pRIC">ArtP!$B$16</definedName>
    <definedName name="primaire">LieuxDétail!$M$1:$M$100</definedName>
    <definedName name="princ">[1]Profession!$AU$15:$AU$24</definedName>
    <definedName name="princ10">[1]Profession!$AT$15:$AT$24</definedName>
    <definedName name="principaleFixee" localSheetId="30">[1]Paramètres!$B$4</definedName>
    <definedName name="principaleFixee">VilP!$B$4</definedName>
    <definedName name="proba">PNJ!$B$2:$B$20</definedName>
    <definedName name="prof">[2]Sheet1!$U$2:$U$20</definedName>
    <definedName name="profe">PersoHist!$N$3:$N$42</definedName>
    <definedName name="Profession" localSheetId="0">Artisan!$E$106</definedName>
    <definedName name="Profession">Maison!#REF!</definedName>
    <definedName name="PVI" localSheetId="30">[1]Ville!$C$113</definedName>
    <definedName name="PVI" localSheetId="29">[1]Ville!$C$113</definedName>
    <definedName name="PVI">Ville!$C$113</definedName>
    <definedName name="QMM" localSheetId="30">[1]Ville!$AR$1:$AR$25</definedName>
    <definedName name="QMM" localSheetId="29">[1]Ville!$AR$1:$AR$25</definedName>
    <definedName name="QMM">Ville!$AR$1:$AR$25</definedName>
    <definedName name="quartierFixe" localSheetId="30">[1]Paramètres!$B$21</definedName>
    <definedName name="quartierFixe">VilP!$B$21</definedName>
    <definedName name="QuartierNS">[1]Profession!$BA$15:$BA$75</definedName>
    <definedName name="rap">[3]Perso!$E$32</definedName>
    <definedName name="région" localSheetId="17">PaysHisto!$E$3:$E$42</definedName>
    <definedName name="région" localSheetId="19">#REF!</definedName>
    <definedName name="région" localSheetId="21">PaysHisto!$E$3:$E$42</definedName>
    <definedName name="région">PersoHist!$E$3:$E$42</definedName>
    <definedName name="relD100" localSheetId="30">[1]Ville!$AD$119</definedName>
    <definedName name="relD100" localSheetId="29">[1]Ville!$AD$119</definedName>
    <definedName name="relD100">Ville!$AD$119</definedName>
    <definedName name="reli">CarteLieu!$D$21</definedName>
    <definedName name="religieux">CarteLieu!$D$22</definedName>
    <definedName name="religion" localSheetId="28">Ville!$AG$1:$AG$100</definedName>
    <definedName name="religion" localSheetId="30">[1]Ville!$AG$1:$AG$100</definedName>
    <definedName name="religion" localSheetId="29">[1]Ville!$AG$1:$AG$100</definedName>
    <definedName name="religion">LieuxDétail!$K$1:$K$100</definedName>
    <definedName name="religionFixe" localSheetId="30">[1]Paramètres!$B$14</definedName>
    <definedName name="religionFixe">VilP!$B$14</definedName>
    <definedName name="religionx" localSheetId="30">[1]Ville!$AH$1:$AH$100</definedName>
    <definedName name="religionx" localSheetId="29">[1]Ville!$AH$1:$AH$100</definedName>
    <definedName name="religionx">Ville!$AH$1:$AH$100</definedName>
    <definedName name="relINF" localSheetId="30">[1]Ville!$D$123</definedName>
    <definedName name="relINF" localSheetId="29">[1]Ville!$D$123</definedName>
    <definedName name="relINF">Ville!$D$123</definedName>
    <definedName name="RencColl">RencTerr!$C$19:$C$24</definedName>
    <definedName name="RencCour">RencTerr!$D$19:$D$24</definedName>
    <definedName name="RencDese">RencTerr!$E$19:$E$24</definedName>
    <definedName name="RencDivi">RencTerr!$J$19:$J$24</definedName>
    <definedName name="RencElde">RencTerr!$H$19:$H$24</definedName>
    <definedName name="RencFore">RencTerr!$F$19:$F$24</definedName>
    <definedName name="RencKoth">RencTerr!$I$19:$I$24</definedName>
    <definedName name="RencMara">RencTerr!$G$19:$G$24</definedName>
    <definedName name="RencMont">RencTerr!$K$19:$K$24</definedName>
    <definedName name="RencOcea">RencTerr!$L$19:$L$24</definedName>
    <definedName name="RencPlai">RencTerr!$M$19:$M$24</definedName>
    <definedName name="RencRuin">RencTerr!$N$19:$N$24</definedName>
    <definedName name="RencSout">RencTerr!$O$19:$O$24</definedName>
    <definedName name="RencStep">RencTerr!$P$19:$P$24</definedName>
    <definedName name="RencType">RencTerr!$A$19:$A$24</definedName>
    <definedName name="RencVill">RencTerr!$Q$19:$Q$24</definedName>
    <definedName name="ressnum">[1]Profession!$E$2:$E$13</definedName>
    <definedName name="ressource" localSheetId="30">[1]Ville!$AG$103:$AG$114</definedName>
    <definedName name="ressource" localSheetId="29">[1]Ville!$AG$103:$AG$114</definedName>
    <definedName name="ressource">Ville!$AG$103:$AG$114</definedName>
    <definedName name="ressourceAlea" localSheetId="30">[1]Ville!$AH$103:$AH$114</definedName>
    <definedName name="ressourceAlea" localSheetId="29">[1]Ville!$AH$103:$AH$114</definedName>
    <definedName name="ressourceAlea">Ville!$AH$103:$AH$114</definedName>
    <definedName name="RIC" localSheetId="0">Artisan!$C$105</definedName>
    <definedName name="RIC" localSheetId="28">Ville!$D$127</definedName>
    <definedName name="RIC" localSheetId="30">[1]Ville!$D$127</definedName>
    <definedName name="RIC" localSheetId="29">[1]Ville!$D$127</definedName>
    <definedName name="RIC">Maison!$C$105</definedName>
    <definedName name="RICd100" localSheetId="30">[1]Ville!$AD$122</definedName>
    <definedName name="RICd100" localSheetId="29">[1]Ville!$AD$122</definedName>
    <definedName name="RICd100">Ville!$AD$122</definedName>
    <definedName name="richesse">LieuxDétail!$E$1:$E$100</definedName>
    <definedName name="RichesseAC">Rencontre!$H$2:$H$11</definedName>
    <definedName name="RichesseFixe" localSheetId="30">[1]Paramètres!$B$16</definedName>
    <definedName name="RichesseFixe">VilP!$B$16</definedName>
    <definedName name="RichesseHC">Rencontre!$G$2:$G$11</definedName>
    <definedName name="RichesseL">Rencontre!$I$2:$I$11</definedName>
    <definedName name="richesseT" localSheetId="30">[1]Ville!$Z$1:$Z$100</definedName>
    <definedName name="richesseT" localSheetId="29">[1]Ville!$Z$1:$Z$100</definedName>
    <definedName name="richesseT">Ville!$Z$1:$Z$100</definedName>
    <definedName name="richesseX" localSheetId="1">[4]Artisan!$F$1:$F$100</definedName>
    <definedName name="richesseX" localSheetId="28">Ville!$AA$1:$AA$100</definedName>
    <definedName name="richesseX" localSheetId="30">[1]Ville!$AA$1:$AA$100</definedName>
    <definedName name="richesseX" localSheetId="29">[1]Ville!$AA$1:$AA$100</definedName>
    <definedName name="richesseX">Artisan!$F$1:$F$100</definedName>
    <definedName name="RICx">Maison!$F$1:$F$100</definedName>
    <definedName name="rNEC">[2]Sheet1!$B$105</definedName>
    <definedName name="rNS">[2]Sheet1!$F$105</definedName>
    <definedName name="ROUd" localSheetId="30">[1]Ville!$AD$115</definedName>
    <definedName name="ROUd" localSheetId="29">[1]Ville!$AD$115</definedName>
    <definedName name="ROUd">Ville!$AD$115</definedName>
    <definedName name="ROUq" localSheetId="30">[1]Ville!$AF$115</definedName>
    <definedName name="ROUq" localSheetId="29">[1]Ville!$AF$115</definedName>
    <definedName name="ROUq">Ville!$AF$115</definedName>
    <definedName name="royaume" localSheetId="17">PaysHisto!$F$3:$F$42</definedName>
    <definedName name="royaume" localSheetId="19">#REF!</definedName>
    <definedName name="royaume" localSheetId="21">PaysHisto!$F$3:$F$42</definedName>
    <definedName name="royaume">PersoHist!$F$3:$F$42</definedName>
    <definedName name="RRI">Ville!$F$127</definedName>
    <definedName name="rural">CarteLieu!$D$9</definedName>
    <definedName name="RVI">Ville!$C$127</definedName>
    <definedName name="seco">[1]Profession!$AW$15:$AW$34</definedName>
    <definedName name="seco10">[1]Profession!$AV$15:$AV$34</definedName>
    <definedName name="secondaire">LieuxDétail!$N$1:$N$100</definedName>
    <definedName name="secondaire1" localSheetId="30">[1]Ville!$Q$1:$Q$100</definedName>
    <definedName name="secondaire1" localSheetId="29">[1]Ville!$Q$1:$Q$100</definedName>
    <definedName name="secondaire1">Ville!$Q$1:$Q$100</definedName>
    <definedName name="secondaire2" localSheetId="30">[1]Ville!$R$1:$R$100</definedName>
    <definedName name="secondaire2" localSheetId="29">[1]Ville!$R$1:$R$100</definedName>
    <definedName name="secondaire2">Ville!$R$1:$R$100</definedName>
    <definedName name="secondaireFixee" localSheetId="30">[1]Paramètres!$B$5</definedName>
    <definedName name="secondaireFixee">VilP!$B$5</definedName>
    <definedName name="secret">LieuxDétail!$P$1:$P$100</definedName>
    <definedName name="securiteQ" localSheetId="30">[1]Ville!$AQ$1:$AQ$10</definedName>
    <definedName name="securiteQ" localSheetId="29">[1]Ville!$AQ$1:$AQ$10</definedName>
    <definedName name="securiteQ">Ville!$AQ$1:$AQ$10</definedName>
    <definedName name="situationQ" localSheetId="30">[1]Ville!$AK$1:$AK$10</definedName>
    <definedName name="situationQ" localSheetId="29">[1]Ville!$AK$1:$AK$10</definedName>
    <definedName name="situationQ">Ville!$AK$1:$AK$10</definedName>
    <definedName name="SituationX">Maison!$J$1:$J$10</definedName>
    <definedName name="souterrain" localSheetId="30">[1]Ville!$O$1:$O$100</definedName>
    <definedName name="souterrain" localSheetId="29">[1]Ville!$O$1:$O$100</definedName>
    <definedName name="souterrain">Ville!$O$1:$O$100</definedName>
    <definedName name="spécial">[2]Sheet1!$V$2:$V$20</definedName>
    <definedName name="Spécialité">Artisan!$B$107</definedName>
    <definedName name="steppe" localSheetId="30">[1]Ville!$P$1:$P$100</definedName>
    <definedName name="steppe" localSheetId="29">[1]Ville!$P$1:$P$100</definedName>
    <definedName name="steppe">Ville!$P$1:$P$100</definedName>
    <definedName name="styleQ" localSheetId="30">[1]Ville!$AO$1:$AO$10</definedName>
    <definedName name="styleQ" localSheetId="29">[1]Ville!$AO$1:$AO$10</definedName>
    <definedName name="styleQ">Ville!$AO$1:$AO$10</definedName>
    <definedName name="SVI" localSheetId="30">[1]Ville!$C$115</definedName>
    <definedName name="SVI" localSheetId="29">[1]Ville!$C$115</definedName>
    <definedName name="SVI">Ville!$C$115</definedName>
    <definedName name="TableSpe">GenPerso!$EN$2:$EN$21</definedName>
    <definedName name="taille">[2]Sheet1!$J$2:$J$20</definedName>
    <definedName name="TailleL">Rencontre!$L$2:$L$11</definedName>
    <definedName name="tailleX">Maison!$G$1:$G$19</definedName>
    <definedName name="TDO" localSheetId="30">[1]Ville!$C$104</definedName>
    <definedName name="TDO" localSheetId="29">[1]Ville!$C$104</definedName>
    <definedName name="TDO">Ville!$C$104</definedName>
    <definedName name="TDOd100" localSheetId="30">[1]Ville!$AD$103</definedName>
    <definedName name="TDOd100" localSheetId="29">[1]Ville!$AD$103</definedName>
    <definedName name="TDOd100">Ville!$AD$103</definedName>
    <definedName name="TDOfixe" localSheetId="30">[1]Paramètres!$B$1</definedName>
    <definedName name="TDOfixe">VilP!$B$1</definedName>
    <definedName name="TDOfixe2" localSheetId="30">[1]Paramètres!$B$2</definedName>
    <definedName name="TDOfixe2">VilP!$B$2</definedName>
    <definedName name="technique">[2]Sheet1!$W$2:$W$20</definedName>
    <definedName name="temple">Ville!$H$124</definedName>
    <definedName name="terrain" localSheetId="30">[1]Ville!$B$1:$B$100</definedName>
    <definedName name="terrain" localSheetId="29">[1]Ville!$B$1:$B$100</definedName>
    <definedName name="terrain">Ville!$B$1:$B$100</definedName>
    <definedName name="tert">[1]Profession!$AY$15:$AY$44</definedName>
    <definedName name="tert10">[1]Profession!$AX$15:$AX$44</definedName>
    <definedName name="tertiaire">LieuxDétail!$O$1:$O$100</definedName>
    <definedName name="tertiaire1" localSheetId="30">[1]Ville!$S$1:$S$100</definedName>
    <definedName name="tertiaire1" localSheetId="29">[1]Ville!$S$1:$S$100</definedName>
    <definedName name="tertiaire1">Ville!$S$1:$S$100</definedName>
    <definedName name="tertiaire2" localSheetId="30">[1]Ville!$T$1:$T$100</definedName>
    <definedName name="tertiaire2" localSheetId="29">[1]Ville!$T$1:$T$100</definedName>
    <definedName name="tertiaire2">Ville!$T$1:$T$100</definedName>
    <definedName name="tertiaire3" localSheetId="30">[1]Ville!$U$1:$U$100</definedName>
    <definedName name="tertiaire3" localSheetId="29">[1]Ville!$U$1:$U$100</definedName>
    <definedName name="tertiaire3">Ville!$U$1:$U$100</definedName>
    <definedName name="tertiaireFixee" localSheetId="30">[1]Paramètres!$B$6</definedName>
    <definedName name="tertiaireFixee">VilP!$B$6</definedName>
    <definedName name="test">LieuxDétail!$B$1:$B$100</definedName>
    <definedName name="TNE">PNJ!$AT$2:$AT$20</definedName>
    <definedName name="TOTALgen">[1]Profession!$V$13</definedName>
    <definedName name="totgen">[1]Profession!$U$13</definedName>
    <definedName name="trait">[2]Sheet1!$I$2:$I$20</definedName>
    <definedName name="TraitX" localSheetId="1">[4]Artisan!$S$1:$S$10</definedName>
    <definedName name="TraitX">Artisan!$S$1:$S$10</definedName>
    <definedName name="treAlc1">Trésor!$CU$4:$CU$43</definedName>
    <definedName name="treAlc23">Trésor!$CV$4:$CV$43</definedName>
    <definedName name="treAlc4">Trésor!$CW$4:$CW$43</definedName>
    <definedName name="treAlcD">Trésor!$CT$4:$CT$43</definedName>
    <definedName name="treAlcMetfor">Trésor!$CX$4:$CX$13</definedName>
    <definedName name="TréAncienneté">TrésParam!$I$2:$I$11</definedName>
    <definedName name="TREARME">Trésor!$H$4:$H$7</definedName>
    <definedName name="treArmeCommune">Trésor!$I$4:$I$103</definedName>
    <definedName name="treArmeRare">Trésor!$J$4:$J$103</definedName>
    <definedName name="treArmure">Trésor!$O$4:$O$103</definedName>
    <definedName name="treArt">Trésor!$V$4:$V$12</definedName>
    <definedName name="treCre1">Trésor!$CZ$4:$CZ$43</definedName>
    <definedName name="treCre1D">Trésor!$CY$4:$CY$43</definedName>
    <definedName name="treCre2">Trésor!$DB$4:$DB$43</definedName>
    <definedName name="treCre3">Trésor!$DD$4:$DD$43</definedName>
    <definedName name="treCre4">Trésor!$DF$4:$DF$43</definedName>
    <definedName name="tred10">Trésor!$E$4:$E$13</definedName>
    <definedName name="TRED100">Trésor!$F$4:$F$103</definedName>
    <definedName name="TRED10S">Trésor!$G$4:$G$7</definedName>
    <definedName name="treDeArt">Trésor!$U$4:$U$12</definedName>
    <definedName name="trediv">Trésor!$BB$4:$BB$13</definedName>
    <definedName name="treDivCou">Trésor!$BD$4:$BD$13</definedName>
    <definedName name="treDivCoutei">Trésor!$BG$4:$BG$8</definedName>
    <definedName name="treDivCouTeiD">Trésor!$BF$4:$BF$8</definedName>
    <definedName name="treDivCouV">Trésor!$BE$4:$BE$13</definedName>
    <definedName name="treDivDet">Trésor!$BC$4:$BC$93</definedName>
    <definedName name="treDivFor">Trésor!$BH$4:$BH$13</definedName>
    <definedName name="treDNS">Trésor!$W$4:$W$13</definedName>
    <definedName name="treDVet">Trésor!$AD$4:$AD$13</definedName>
    <definedName name="treEcrD">Trésor!$BL$4:$BL$22</definedName>
    <definedName name="treEcrDet">Trésor!$BM$4:$BM$22</definedName>
    <definedName name="treEcrDet2">Trésor!$BN$4:$BN$22</definedName>
    <definedName name="treEcrDet3">Trésor!$BO$4:$BO$22</definedName>
    <definedName name="treEcrPag">Trésor!$BK$4:$BK$7</definedName>
    <definedName name="treEcrSpe">Trésor!$BP$4:$BP$7</definedName>
    <definedName name="treEcrSpeV">Trésor!$BQ$4:$BQ$7</definedName>
    <definedName name="treEcrV">Trésor!$BJ$4:$BJ$7</definedName>
    <definedName name="treEquipement">Trésor!$K$4:$K$13</definedName>
    <definedName name="treErc">Trésor!$BI$4:$BI$7</definedName>
    <definedName name="TréEtat">TrésParam!$F$2:$F$11</definedName>
    <definedName name="TréForme">TrésParam!$E$2:$E$11</definedName>
    <definedName name="treFouD">Trésor!$AK$4:$AK$19</definedName>
    <definedName name="treFourrure">Trésor!$AL$4:$AL$19</definedName>
    <definedName name="treFouVB">Trésor!$AM$4:$AM$103</definedName>
    <definedName name="treGem">Trésor!$BS$4:$BS$43</definedName>
    <definedName name="treGemD">Trésor!$BR$4:$BR$43</definedName>
    <definedName name="treHumD">TrésHum!$A$2:$A$51</definedName>
    <definedName name="treHumNE">TrésHum!$C$2:$C$51</definedName>
    <definedName name="treHumNEC">TrésHum!$D$2:$D$51</definedName>
    <definedName name="treHumNem">TrésHum!$E$2:$E$51</definedName>
    <definedName name="treHumNS">TrésHum!$B$2:$B$51</definedName>
    <definedName name="treMag">Trésor!$DH$4:$DH$19</definedName>
    <definedName name="treMagAli">Trésor!$DM$4:$DM$103</definedName>
    <definedName name="treMagAmuBagBat">Trésor!$DJ$4:$DJ$7</definedName>
    <definedName name="treMagCat">Trésor!$EF$4:$EF$17</definedName>
    <definedName name="treMagCatD">Trésor!$EE$4:$EE$17</definedName>
    <definedName name="treMagDie">Trésor!$DL$4:$DL$103</definedName>
    <definedName name="treMagP1">Trésor!$DO$4:$DO$19</definedName>
    <definedName name="treMagP2">Trésor!$DP$4:$DP$19</definedName>
    <definedName name="treMagP3">Trésor!$DQ$4:$DQ$19</definedName>
    <definedName name="treMagP4">Trésor!$DR$4:$DR$19</definedName>
    <definedName name="treMagPotEli">Trésor!$DI$4:$DI$7</definedName>
    <definedName name="treMagPou">Trésor!$EC$4:$EC$16</definedName>
    <definedName name="treMagPouD">Trésor!$EA$4:$EA$16</definedName>
    <definedName name="treMagPouTex">Trésor!$ED$4:$ED$16</definedName>
    <definedName name="treMagPro">Trésor!$DT$4:$DT$104</definedName>
    <definedName name="treMagProD">Trésor!$DS$4:$DS$104</definedName>
    <definedName name="treMagProSpe">Trésor!$DX$4:$DX$35</definedName>
    <definedName name="treMagProSpeD">Trésor!$DW$4:$DW$35</definedName>
    <definedName name="treMagProSpeTex">Trésor!$DZ$4:$DZ$35</definedName>
    <definedName name="treMagProTex">Trésor!$DU$4:$DU$104</definedName>
    <definedName name="treMatPou">Trésor!$DK$4:$DK$7</definedName>
    <definedName name="treMet">Trésor!$CM$4:$CM$10</definedName>
    <definedName name="treMetD">Trésor!$CL$4:$CL$10</definedName>
    <definedName name="treMob">Trésor!$BU$4:$BU$43</definedName>
    <definedName name="treMobMat">Trésor!$BV$4:$BV$13</definedName>
    <definedName name="treMobMatV">Trésor!$BW$4:$BW$13</definedName>
    <definedName name="treMobSpe">Trésor!$BX$4:$BX$7</definedName>
    <definedName name="treMus">Trésor!$AV$4:$AV$13</definedName>
    <definedName name="treMusVB">Trésor!$AW$4:$AW$13</definedName>
    <definedName name="treNE">Trésor!$D$170</definedName>
    <definedName name="treNEM">Trésor!$D$169</definedName>
    <definedName name="treNS">Trésor!$X$4:$X$13</definedName>
    <definedName name="treNSnom">Trésor!$Y$4:$Y$13</definedName>
    <definedName name="TréOrigine">TrésParam!$J$2:$J$11</definedName>
    <definedName name="treOutil">Trésor!$AA$4:$AA$10</definedName>
    <definedName name="trePartieAniCre">Trésor!$Q$4:$Q$14</definedName>
    <definedName name="trePartieHum">Trésor!$P$4:$P$14</definedName>
    <definedName name="trePie">Trésor!$BZ$4:$BZ$7</definedName>
    <definedName name="trePieCon">Trésor!$CC$4:$CC$13</definedName>
    <definedName name="trePieConV">Trésor!$CD$4:$CD$13</definedName>
    <definedName name="trePieN">Trésor!$CA$4:$CA$7</definedName>
    <definedName name="trePieSpe">Trésor!$CE$4:$CE$7</definedName>
    <definedName name="trePieV">Trésor!$CB$4:$CB$7</definedName>
    <definedName name="trePN">Trésor!$CG$4:$CG$10</definedName>
    <definedName name="trePNAni">Trésor!$CO$4:$CO$51</definedName>
    <definedName name="trePNAniD">Trésor!$CN$4:$CN$51</definedName>
    <definedName name="trePNCon">Trésor!$CJ$4:$CJ$13</definedName>
    <definedName name="trePNConV">Trésor!$CK$4:$CK$13</definedName>
    <definedName name="trePND">Trésor!$CF$4:$CF$10</definedName>
    <definedName name="trePNEta">Trésor!$CH$4:$CH$8</definedName>
    <definedName name="trePNEta2">Trésor!$CI$4:$CI$8</definedName>
    <definedName name="trePNMin">Trésor!$CQ$4:$CQ$51</definedName>
    <definedName name="trePNMinD">Trésor!$CP$4:$CP$51</definedName>
    <definedName name="trePNPla">Trésor!$CS$4:$CS$53</definedName>
    <definedName name="trePNPlaD">Trésor!$CR$4:$CR$53</definedName>
    <definedName name="trePre">Trésor!$AY$4:$AY$11</definedName>
    <definedName name="trePreD">Trésor!$AX$4:$AX$11</definedName>
    <definedName name="trePreMat">Trésor!$BA$4:$BA$15</definedName>
    <definedName name="trePreMatD">Trésor!$AZ$4:$AZ$15</definedName>
    <definedName name="trePro">Trésor!$Z$4:$Z$10</definedName>
    <definedName name="TréQT">TrésParam!$D$2:$D$11</definedName>
    <definedName name="TréQualité">TrésParam!$H$2:$H$11</definedName>
    <definedName name="treReg1">Trésor!$EG$4:$EG$7</definedName>
    <definedName name="treReg2">Trésor!$EH$4:$EH$7</definedName>
    <definedName name="treReg3">Trésor!$EI$4:$EI$7</definedName>
    <definedName name="treRelProB">Trésor!$DN$4:$DN$19</definedName>
    <definedName name="treRMa">Trésor!$D$168</definedName>
    <definedName name="treSta">Trésor!$AR$4:$AR$13</definedName>
    <definedName name="treStaMat">Trésor!$AT$4:$AT$13</definedName>
    <definedName name="treStaMatV">Trésor!$AU$4:$AU$13</definedName>
    <definedName name="treStaV">Trésor!$AS$4:$AS$13</definedName>
    <definedName name="TréTaille">TrésParam!$G$2:$G$11</definedName>
    <definedName name="treTap">Trésor!$AP$4:$AP$13</definedName>
    <definedName name="treTapVB">Trésor!$AQ$4:$AQ$13</definedName>
    <definedName name="treVaiMat">Trésor!$AI$4:$AI$13</definedName>
    <definedName name="treVaiMatVB">Trésor!$AJ$4:$AJ$13</definedName>
    <definedName name="treVaisselle">Trésor!$AG$4:$AG$13</definedName>
    <definedName name="treVaiV">Trésor!$AH$4:$AH$13</definedName>
    <definedName name="treVet">Trésor!$AB$4:$AB$13</definedName>
    <definedName name="treVetMat">Trésor!$AE$4:$AE$13</definedName>
    <definedName name="treVetV">Trésor!$AF$4:$AF$13</definedName>
    <definedName name="treVetVB">Trésor!$AC$4:$AC$13</definedName>
    <definedName name="Type" localSheetId="17">PaysHisto!$K$3:$K$12</definedName>
    <definedName name="Type" localSheetId="19">#REF!</definedName>
    <definedName name="Type" localSheetId="21">PaysHisto!$K$3:$K$12</definedName>
    <definedName name="Type">PersoHist!$L$3:$L$12</definedName>
    <definedName name="urbain">CarteLieu!$D$13</definedName>
    <definedName name="V">PNJcrea!$B$17</definedName>
    <definedName name="ValeurRessource">Ville!$AW$1:$AW$60</definedName>
    <definedName name="vêtements">[2]Sheet1!$Q$2:$Q$20</definedName>
    <definedName name="VisionX">Maison!$O$1:$O$10</definedName>
    <definedName name="voy">Traduction!$P$1</definedName>
    <definedName name="voyag">PersoHist!$O$3:$O$42</definedName>
    <definedName name="VoyelleX" localSheetId="0">Artisan!$Q$1:$Q$14</definedName>
    <definedName name="VoyelleX" localSheetId="1">[4]Artisan!$Q$1:$Q$14</definedName>
    <definedName name="VoyelleX">Maison!$Q$1:$Q$14</definedName>
    <definedName name="vvol">GenPerso!$U$147</definedName>
    <definedName name="xENF">[5]test!$E$3</definedName>
    <definedName name="yeux">[2]Sheet1!$H$2:$H$20</definedName>
    <definedName name="_xlnm.Print_Area" localSheetId="27">TrésHum!$A$53:$F$156</definedName>
    <definedName name="_xlnm.Print_Area" localSheetId="26">Trésor!$D$105:$K$179</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2" i="32" l="1"/>
  <c r="R22" i="32"/>
  <c r="Q23" i="32"/>
  <c r="R23" i="32"/>
  <c r="Q24" i="32"/>
  <c r="R24" i="32"/>
  <c r="Q25" i="32"/>
  <c r="R25" i="32"/>
  <c r="Q26" i="32"/>
  <c r="R26" i="32"/>
  <c r="Q27" i="32"/>
  <c r="R27" i="32"/>
  <c r="Q28" i="32"/>
  <c r="R28" i="32"/>
  <c r="Q29" i="32"/>
  <c r="R29" i="32"/>
  <c r="Q30" i="32"/>
  <c r="R30" i="32"/>
  <c r="Q31" i="32"/>
  <c r="R31" i="32"/>
  <c r="Q32" i="32"/>
  <c r="R32" i="32"/>
  <c r="Q33" i="32"/>
  <c r="R33" i="32"/>
  <c r="Q34" i="32"/>
  <c r="R34" i="32"/>
  <c r="Q35" i="32"/>
  <c r="R35" i="32"/>
  <c r="Q36" i="32"/>
  <c r="R36" i="32"/>
  <c r="Q37" i="32"/>
  <c r="R37" i="32"/>
  <c r="Q38" i="32"/>
  <c r="R38" i="32"/>
  <c r="Q39" i="32"/>
  <c r="R39" i="32"/>
  <c r="Q40" i="32"/>
  <c r="R40" i="32"/>
  <c r="Q41" i="32"/>
  <c r="R41" i="32"/>
  <c r="Q42" i="32"/>
  <c r="R42" i="32"/>
  <c r="Q43" i="32"/>
  <c r="R43" i="32"/>
  <c r="Q44" i="32"/>
  <c r="R44" i="32"/>
  <c r="Q45" i="32"/>
  <c r="R45" i="32"/>
  <c r="Q46" i="32"/>
  <c r="R46" i="32"/>
  <c r="Q47" i="32"/>
  <c r="R47" i="32"/>
  <c r="Q48" i="32"/>
  <c r="R48" i="32"/>
  <c r="Q49" i="32"/>
  <c r="R49" i="32"/>
  <c r="Q50" i="32"/>
  <c r="R50" i="32"/>
  <c r="Q51" i="32"/>
  <c r="R51" i="32"/>
  <c r="Q52" i="32"/>
  <c r="R52" i="32"/>
  <c r="Q53" i="32"/>
  <c r="R53" i="32"/>
  <c r="Q54" i="32"/>
  <c r="R54" i="32"/>
  <c r="Q55" i="32"/>
  <c r="R55" i="32"/>
  <c r="Q56" i="32"/>
  <c r="R56" i="32"/>
  <c r="Q57" i="32"/>
  <c r="R57" i="32"/>
  <c r="Q58" i="32"/>
  <c r="R58" i="32"/>
  <c r="Q59" i="32"/>
  <c r="R59" i="32"/>
  <c r="Q60" i="32"/>
  <c r="R60" i="32"/>
  <c r="R21" i="32"/>
  <c r="Q21" i="32"/>
  <c r="K31" i="32"/>
  <c r="B31" i="32" s="1"/>
  <c r="L31" i="32"/>
  <c r="M31" i="32"/>
  <c r="G31" i="32" s="1"/>
  <c r="N31" i="32"/>
  <c r="O31" i="32"/>
  <c r="J31" i="32" s="1"/>
  <c r="P31" i="32"/>
  <c r="K32" i="32"/>
  <c r="B32" i="32" s="1"/>
  <c r="L32" i="32"/>
  <c r="M32" i="32"/>
  <c r="G32" i="32" s="1"/>
  <c r="N32" i="32"/>
  <c r="O32" i="32"/>
  <c r="J32" i="32" s="1"/>
  <c r="P32" i="32"/>
  <c r="K33" i="32"/>
  <c r="B33" i="32" s="1"/>
  <c r="L33" i="32"/>
  <c r="M33" i="32"/>
  <c r="I33" i="32" s="1"/>
  <c r="N33" i="32"/>
  <c r="O33" i="32"/>
  <c r="J33" i="32" s="1"/>
  <c r="P33" i="32"/>
  <c r="K34" i="32"/>
  <c r="B34" i="32" s="1"/>
  <c r="L34" i="32"/>
  <c r="M34" i="32"/>
  <c r="G34" i="32" s="1"/>
  <c r="N34" i="32"/>
  <c r="O34" i="32"/>
  <c r="J34" i="32" s="1"/>
  <c r="P34" i="32"/>
  <c r="K35" i="32"/>
  <c r="B35" i="32" s="1"/>
  <c r="L35" i="32"/>
  <c r="M35" i="32"/>
  <c r="G35" i="32" s="1"/>
  <c r="N35" i="32"/>
  <c r="O35" i="32"/>
  <c r="J35" i="32" s="1"/>
  <c r="P35" i="32"/>
  <c r="K36" i="32"/>
  <c r="B36" i="32" s="1"/>
  <c r="L36" i="32"/>
  <c r="M36" i="32"/>
  <c r="G36" i="32" s="1"/>
  <c r="N36" i="32"/>
  <c r="O36" i="32"/>
  <c r="J36" i="32" s="1"/>
  <c r="P36" i="32"/>
  <c r="K37" i="32"/>
  <c r="C37" i="32" s="1"/>
  <c r="L37" i="32"/>
  <c r="M37" i="32"/>
  <c r="G37" i="32" s="1"/>
  <c r="N37" i="32"/>
  <c r="O37" i="32"/>
  <c r="J37" i="32" s="1"/>
  <c r="P37" i="32"/>
  <c r="K38" i="32"/>
  <c r="B38" i="32" s="1"/>
  <c r="L38" i="32"/>
  <c r="M38" i="32"/>
  <c r="G38" i="32" s="1"/>
  <c r="N38" i="32"/>
  <c r="O38" i="32"/>
  <c r="J38" i="32" s="1"/>
  <c r="P38" i="32"/>
  <c r="K39" i="32"/>
  <c r="B39" i="32" s="1"/>
  <c r="L39" i="32"/>
  <c r="M39" i="32"/>
  <c r="G39" i="32" s="1"/>
  <c r="N39" i="32"/>
  <c r="O39" i="32"/>
  <c r="J39" i="32" s="1"/>
  <c r="P39" i="32"/>
  <c r="K40" i="32"/>
  <c r="C40" i="32" s="1"/>
  <c r="L40" i="32"/>
  <c r="M40" i="32"/>
  <c r="I40" i="32" s="1"/>
  <c r="N40" i="32"/>
  <c r="O40" i="32"/>
  <c r="J40" i="32" s="1"/>
  <c r="P40" i="32"/>
  <c r="K41" i="32"/>
  <c r="B41" i="32" s="1"/>
  <c r="L41" i="32"/>
  <c r="M41" i="32"/>
  <c r="I41" i="32" s="1"/>
  <c r="N41" i="32"/>
  <c r="O41" i="32"/>
  <c r="J41" i="32" s="1"/>
  <c r="P41" i="32"/>
  <c r="K42" i="32"/>
  <c r="B42" i="32" s="1"/>
  <c r="L42" i="32"/>
  <c r="M42" i="32"/>
  <c r="G42" i="32" s="1"/>
  <c r="N42" i="32"/>
  <c r="O42" i="32"/>
  <c r="J42" i="32" s="1"/>
  <c r="P42" i="32"/>
  <c r="K43" i="32"/>
  <c r="B43" i="32" s="1"/>
  <c r="L43" i="32"/>
  <c r="M43" i="32"/>
  <c r="I43" i="32" s="1"/>
  <c r="N43" i="32"/>
  <c r="O43" i="32"/>
  <c r="J43" i="32" s="1"/>
  <c r="P43" i="32"/>
  <c r="K44" i="32"/>
  <c r="B44" i="32" s="1"/>
  <c r="L44" i="32"/>
  <c r="M44" i="32"/>
  <c r="G44" i="32" s="1"/>
  <c r="N44" i="32"/>
  <c r="O44" i="32"/>
  <c r="J44" i="32" s="1"/>
  <c r="P44" i="32"/>
  <c r="K45" i="32"/>
  <c r="B45" i="32" s="1"/>
  <c r="L45" i="32"/>
  <c r="M45" i="32"/>
  <c r="G45" i="32" s="1"/>
  <c r="N45" i="32"/>
  <c r="O45" i="32"/>
  <c r="J45" i="32" s="1"/>
  <c r="P45" i="32"/>
  <c r="K46" i="32"/>
  <c r="B46" i="32" s="1"/>
  <c r="L46" i="32"/>
  <c r="M46" i="32"/>
  <c r="G46" i="32" s="1"/>
  <c r="N46" i="32"/>
  <c r="O46" i="32"/>
  <c r="J46" i="32" s="1"/>
  <c r="P46" i="32"/>
  <c r="K47" i="32"/>
  <c r="C47" i="32" s="1"/>
  <c r="L47" i="32"/>
  <c r="M47" i="32"/>
  <c r="G47" i="32" s="1"/>
  <c r="N47" i="32"/>
  <c r="O47" i="32"/>
  <c r="J47" i="32" s="1"/>
  <c r="P47" i="32"/>
  <c r="K48" i="32"/>
  <c r="B48" i="32" s="1"/>
  <c r="L48" i="32"/>
  <c r="M48" i="32"/>
  <c r="I48" i="32" s="1"/>
  <c r="N48" i="32"/>
  <c r="O48" i="32"/>
  <c r="J48" i="32" s="1"/>
  <c r="P48" i="32"/>
  <c r="K49" i="32"/>
  <c r="B49" i="32" s="1"/>
  <c r="L49" i="32"/>
  <c r="M49" i="32"/>
  <c r="G49" i="32" s="1"/>
  <c r="N49" i="32"/>
  <c r="O49" i="32"/>
  <c r="J49" i="32" s="1"/>
  <c r="P49" i="32"/>
  <c r="K50" i="32"/>
  <c r="C50" i="32" s="1"/>
  <c r="L50" i="32"/>
  <c r="M50" i="32"/>
  <c r="I50" i="32" s="1"/>
  <c r="N50" i="32"/>
  <c r="O50" i="32"/>
  <c r="J50" i="32" s="1"/>
  <c r="P50" i="32"/>
  <c r="K51" i="32"/>
  <c r="B51" i="32" s="1"/>
  <c r="L51" i="32"/>
  <c r="M51" i="32"/>
  <c r="G51" i="32" s="1"/>
  <c r="N51" i="32"/>
  <c r="O51" i="32"/>
  <c r="J51" i="32" s="1"/>
  <c r="P51" i="32"/>
  <c r="K52" i="32"/>
  <c r="B52" i="32" s="1"/>
  <c r="L52" i="32"/>
  <c r="M52" i="32"/>
  <c r="G52" i="32" s="1"/>
  <c r="N52" i="32"/>
  <c r="O52" i="32"/>
  <c r="J52" i="32" s="1"/>
  <c r="P52" i="32"/>
  <c r="K53" i="32"/>
  <c r="B53" i="32" s="1"/>
  <c r="L53" i="32"/>
  <c r="M53" i="32"/>
  <c r="I53" i="32" s="1"/>
  <c r="N53" i="32"/>
  <c r="O53" i="32"/>
  <c r="J53" i="32" s="1"/>
  <c r="P53" i="32"/>
  <c r="K54" i="32"/>
  <c r="B54" i="32" s="1"/>
  <c r="L54" i="32"/>
  <c r="M54" i="32"/>
  <c r="G54" i="32" s="1"/>
  <c r="N54" i="32"/>
  <c r="O54" i="32"/>
  <c r="J54" i="32" s="1"/>
  <c r="P54" i="32"/>
  <c r="K55" i="32"/>
  <c r="B55" i="32" s="1"/>
  <c r="L55" i="32"/>
  <c r="M55" i="32"/>
  <c r="G55" i="32" s="1"/>
  <c r="N55" i="32"/>
  <c r="O55" i="32"/>
  <c r="J55" i="32" s="1"/>
  <c r="P55" i="32"/>
  <c r="K56" i="32"/>
  <c r="B56" i="32" s="1"/>
  <c r="L56" i="32"/>
  <c r="M56" i="32"/>
  <c r="G56" i="32" s="1"/>
  <c r="N56" i="32"/>
  <c r="O56" i="32"/>
  <c r="J56" i="32" s="1"/>
  <c r="P56" i="32"/>
  <c r="K57" i="32"/>
  <c r="C57" i="32" s="1"/>
  <c r="L57" i="32"/>
  <c r="M57" i="32"/>
  <c r="G57" i="32" s="1"/>
  <c r="N57" i="32"/>
  <c r="O57" i="32"/>
  <c r="J57" i="32" s="1"/>
  <c r="P57" i="32"/>
  <c r="K58" i="32"/>
  <c r="B58" i="32" s="1"/>
  <c r="L58" i="32"/>
  <c r="M58" i="32"/>
  <c r="G58" i="32" s="1"/>
  <c r="N58" i="32"/>
  <c r="O58" i="32"/>
  <c r="J58" i="32" s="1"/>
  <c r="P58" i="32"/>
  <c r="K59" i="32"/>
  <c r="B59" i="32" s="1"/>
  <c r="L59" i="32"/>
  <c r="M59" i="32"/>
  <c r="G59" i="32" s="1"/>
  <c r="N59" i="32"/>
  <c r="O59" i="32"/>
  <c r="J59" i="32" s="1"/>
  <c r="P59" i="32"/>
  <c r="K60" i="32"/>
  <c r="B60" i="32" s="1"/>
  <c r="L60" i="32"/>
  <c r="M60" i="32"/>
  <c r="I60" i="32" s="1"/>
  <c r="N60" i="32"/>
  <c r="O60" i="32"/>
  <c r="J60" i="32" s="1"/>
  <c r="P60" i="32"/>
  <c r="K26" i="32"/>
  <c r="B26" i="32" s="1"/>
  <c r="L26" i="32"/>
  <c r="M26" i="32"/>
  <c r="G26" i="32" s="1"/>
  <c r="N26" i="32"/>
  <c r="O26" i="32"/>
  <c r="J26" i="32" s="1"/>
  <c r="P26" i="32"/>
  <c r="K27" i="32"/>
  <c r="C27" i="32" s="1"/>
  <c r="L27" i="32"/>
  <c r="M27" i="32"/>
  <c r="G27" i="32" s="1"/>
  <c r="N27" i="32"/>
  <c r="O27" i="32"/>
  <c r="J27" i="32" s="1"/>
  <c r="P27" i="32"/>
  <c r="K28" i="32"/>
  <c r="B28" i="32" s="1"/>
  <c r="L28" i="32"/>
  <c r="M28" i="32"/>
  <c r="I28" i="32" s="1"/>
  <c r="N28" i="32"/>
  <c r="O28" i="32"/>
  <c r="J28" i="32" s="1"/>
  <c r="P28" i="32"/>
  <c r="K29" i="32"/>
  <c r="B29" i="32" s="1"/>
  <c r="L29" i="32"/>
  <c r="M29" i="32"/>
  <c r="G29" i="32" s="1"/>
  <c r="N29" i="32"/>
  <c r="O29" i="32"/>
  <c r="J29" i="32" s="1"/>
  <c r="P29" i="32"/>
  <c r="K30" i="32"/>
  <c r="B30" i="32" s="1"/>
  <c r="L30" i="32"/>
  <c r="M30" i="32"/>
  <c r="G30" i="32" s="1"/>
  <c r="N30" i="32"/>
  <c r="O30" i="32"/>
  <c r="J30" i="32" s="1"/>
  <c r="P30" i="32"/>
  <c r="P22" i="32"/>
  <c r="P23" i="32"/>
  <c r="P24" i="32"/>
  <c r="P25" i="32"/>
  <c r="P21" i="32"/>
  <c r="K22" i="32"/>
  <c r="B22" i="32" s="1"/>
  <c r="L22" i="32"/>
  <c r="M22" i="32"/>
  <c r="I22" i="32" s="1"/>
  <c r="N22" i="32"/>
  <c r="O22" i="32"/>
  <c r="J22" i="32" s="1"/>
  <c r="K23" i="32"/>
  <c r="B23" i="32" s="1"/>
  <c r="L23" i="32"/>
  <c r="M23" i="32"/>
  <c r="I23" i="32" s="1"/>
  <c r="N23" i="32"/>
  <c r="O23" i="32"/>
  <c r="J23" i="32" s="1"/>
  <c r="K24" i="32"/>
  <c r="B24" i="32" s="1"/>
  <c r="L24" i="32"/>
  <c r="M24" i="32"/>
  <c r="G24" i="32" s="1"/>
  <c r="N24" i="32"/>
  <c r="O24" i="32"/>
  <c r="J24" i="32" s="1"/>
  <c r="K25" i="32"/>
  <c r="C25" i="32" s="1"/>
  <c r="L25" i="32"/>
  <c r="M25" i="32"/>
  <c r="G25" i="32" s="1"/>
  <c r="N25" i="32"/>
  <c r="O25" i="32"/>
  <c r="J25" i="32" s="1"/>
  <c r="L21" i="32"/>
  <c r="M21" i="32"/>
  <c r="G21" i="32" s="1"/>
  <c r="N21" i="32"/>
  <c r="O21" i="32"/>
  <c r="J21" i="32" s="1"/>
  <c r="K21" i="32"/>
  <c r="B21" i="32" s="1"/>
  <c r="D57" i="32" l="1"/>
  <c r="H57" i="32"/>
  <c r="H55" i="32"/>
  <c r="D47" i="32"/>
  <c r="D50" i="32"/>
  <c r="D40" i="32"/>
  <c r="D37" i="32"/>
  <c r="H58" i="32"/>
  <c r="H56" i="32"/>
  <c r="H54" i="32"/>
  <c r="H52" i="32"/>
  <c r="H59" i="32"/>
  <c r="G60" i="32"/>
  <c r="H60" i="32" s="1"/>
  <c r="I58" i="32"/>
  <c r="B57" i="32"/>
  <c r="C55" i="32"/>
  <c r="D55" i="32" s="1"/>
  <c r="G53" i="32"/>
  <c r="H53" i="32" s="1"/>
  <c r="C60" i="32"/>
  <c r="D60" i="32" s="1"/>
  <c r="I56" i="32"/>
  <c r="C53" i="32"/>
  <c r="D53" i="32" s="1"/>
  <c r="C58" i="32"/>
  <c r="D58" i="32" s="1"/>
  <c r="I54" i="32"/>
  <c r="I59" i="32"/>
  <c r="C56" i="32"/>
  <c r="D56" i="32" s="1"/>
  <c r="I52" i="32"/>
  <c r="I57" i="32"/>
  <c r="C54" i="32"/>
  <c r="D54" i="32" s="1"/>
  <c r="C59" i="32"/>
  <c r="D59" i="32" s="1"/>
  <c r="I55" i="32"/>
  <c r="C52" i="32"/>
  <c r="D52" i="32" s="1"/>
  <c r="I51" i="32"/>
  <c r="H46" i="32"/>
  <c r="H44" i="32"/>
  <c r="H42" i="32"/>
  <c r="H51" i="32"/>
  <c r="G48" i="32"/>
  <c r="H48" i="32" s="1"/>
  <c r="I46" i="32"/>
  <c r="H49" i="32"/>
  <c r="H47" i="32"/>
  <c r="H45" i="32"/>
  <c r="C51" i="32"/>
  <c r="D51" i="32" s="1"/>
  <c r="G50" i="32"/>
  <c r="H50" i="32" s="1"/>
  <c r="B47" i="32"/>
  <c r="C45" i="32"/>
  <c r="D45" i="32" s="1"/>
  <c r="G43" i="32"/>
  <c r="H43" i="32" s="1"/>
  <c r="B50" i="32"/>
  <c r="C43" i="32"/>
  <c r="D43" i="32" s="1"/>
  <c r="C48" i="32"/>
  <c r="D48" i="32" s="1"/>
  <c r="I44" i="32"/>
  <c r="I49" i="32"/>
  <c r="C46" i="32"/>
  <c r="D46" i="32" s="1"/>
  <c r="I42" i="32"/>
  <c r="I47" i="32"/>
  <c r="C44" i="32"/>
  <c r="D44" i="32" s="1"/>
  <c r="C49" i="32"/>
  <c r="D49" i="32" s="1"/>
  <c r="I45" i="32"/>
  <c r="C42" i="32"/>
  <c r="D42" i="32" s="1"/>
  <c r="G41" i="32"/>
  <c r="H41" i="32" s="1"/>
  <c r="C35" i="32"/>
  <c r="D35" i="32" s="1"/>
  <c r="H34" i="32"/>
  <c r="H32" i="32"/>
  <c r="H38" i="32"/>
  <c r="H36" i="32"/>
  <c r="G40" i="32"/>
  <c r="H40" i="32" s="1"/>
  <c r="G33" i="32"/>
  <c r="H33" i="32" s="1"/>
  <c r="I38" i="32"/>
  <c r="B37" i="32"/>
  <c r="I36" i="32"/>
  <c r="C41" i="32"/>
  <c r="D41" i="32" s="1"/>
  <c r="H39" i="32"/>
  <c r="H37" i="32"/>
  <c r="H35" i="32"/>
  <c r="B40" i="32"/>
  <c r="C33" i="32"/>
  <c r="D33" i="32" s="1"/>
  <c r="C38" i="32"/>
  <c r="D38" i="32" s="1"/>
  <c r="I34" i="32"/>
  <c r="I39" i="32"/>
  <c r="C36" i="32"/>
  <c r="D36" i="32" s="1"/>
  <c r="I32" i="32"/>
  <c r="I37" i="32"/>
  <c r="C34" i="32"/>
  <c r="D34" i="32" s="1"/>
  <c r="C39" i="32"/>
  <c r="D39" i="32" s="1"/>
  <c r="I35" i="32"/>
  <c r="C32" i="32"/>
  <c r="D32" i="32" s="1"/>
  <c r="H31" i="32"/>
  <c r="I31" i="32"/>
  <c r="C31" i="32"/>
  <c r="D31" i="32" s="1"/>
  <c r="H30" i="32"/>
  <c r="D25" i="32"/>
  <c r="D27" i="32"/>
  <c r="H29" i="32"/>
  <c r="I29" i="32"/>
  <c r="I30" i="32"/>
  <c r="B25" i="32"/>
  <c r="H25" i="32"/>
  <c r="C24" i="32"/>
  <c r="D24" i="32" s="1"/>
  <c r="H26" i="32"/>
  <c r="H27" i="32"/>
  <c r="I27" i="32"/>
  <c r="G22" i="32"/>
  <c r="H22" i="32" s="1"/>
  <c r="C30" i="32"/>
  <c r="D30" i="32" s="1"/>
  <c r="G28" i="32"/>
  <c r="H28" i="32" s="1"/>
  <c r="I26" i="32"/>
  <c r="C29" i="32"/>
  <c r="D29" i="32" s="1"/>
  <c r="C28" i="32"/>
  <c r="D28" i="32" s="1"/>
  <c r="B27" i="32"/>
  <c r="C26" i="32"/>
  <c r="D26" i="32" s="1"/>
  <c r="H24" i="32"/>
  <c r="G23" i="32"/>
  <c r="H23" i="32" s="1"/>
  <c r="I25" i="32"/>
  <c r="C23" i="32"/>
  <c r="D23" i="32" s="1"/>
  <c r="I24" i="32"/>
  <c r="C22" i="32"/>
  <c r="D22" i="32" s="1"/>
  <c r="H21" i="32"/>
  <c r="I21" i="32"/>
  <c r="C21" i="32"/>
  <c r="D21" i="32" s="1"/>
  <c r="V31" i="37"/>
  <c r="U31" i="37"/>
  <c r="V30" i="37"/>
  <c r="U30" i="37"/>
  <c r="V29" i="37"/>
  <c r="U29" i="37"/>
  <c r="V28" i="37"/>
  <c r="U28" i="37"/>
  <c r="V27" i="37"/>
  <c r="U27" i="37"/>
  <c r="V26" i="37"/>
  <c r="U26" i="37"/>
  <c r="V25" i="37"/>
  <c r="U25" i="37"/>
  <c r="V24" i="37"/>
  <c r="U24" i="37"/>
  <c r="V23" i="37"/>
  <c r="U23" i="37"/>
  <c r="V22" i="37"/>
  <c r="U22" i="37"/>
  <c r="V21" i="37"/>
  <c r="U21" i="37"/>
  <c r="V20" i="37"/>
  <c r="U20" i="37"/>
  <c r="V19" i="37"/>
  <c r="U19" i="37"/>
  <c r="V18" i="37"/>
  <c r="U18" i="37"/>
  <c r="T31" i="37"/>
  <c r="S31" i="37"/>
  <c r="T30" i="37"/>
  <c r="S30" i="37"/>
  <c r="T29" i="37"/>
  <c r="S29" i="37"/>
  <c r="T28" i="37"/>
  <c r="S28" i="37"/>
  <c r="T27" i="37"/>
  <c r="S27" i="37"/>
  <c r="T26" i="37"/>
  <c r="S26" i="37"/>
  <c r="T25" i="37"/>
  <c r="S25" i="37"/>
  <c r="T24" i="37"/>
  <c r="S24" i="37"/>
  <c r="T23" i="37"/>
  <c r="S23" i="37"/>
  <c r="T22" i="37"/>
  <c r="S22" i="37"/>
  <c r="T21" i="37"/>
  <c r="S21" i="37"/>
  <c r="T20" i="37"/>
  <c r="S20" i="37"/>
  <c r="T19" i="37"/>
  <c r="S19" i="37"/>
  <c r="T18" i="37"/>
  <c r="S18" i="37"/>
  <c r="R18" i="37"/>
  <c r="R19" i="37"/>
  <c r="R20" i="37"/>
  <c r="R21" i="37"/>
  <c r="R22" i="37"/>
  <c r="R23" i="37"/>
  <c r="R24" i="37"/>
  <c r="R25" i="37"/>
  <c r="R26" i="37"/>
  <c r="R27" i="37"/>
  <c r="R28" i="37"/>
  <c r="R29" i="37"/>
  <c r="R30" i="37"/>
  <c r="R31" i="37"/>
  <c r="Q19" i="37"/>
  <c r="Q20" i="37"/>
  <c r="Q21" i="37"/>
  <c r="Q22" i="37"/>
  <c r="Q23" i="37"/>
  <c r="Q24" i="37"/>
  <c r="Q25" i="37"/>
  <c r="Q26" i="37"/>
  <c r="Q27" i="37"/>
  <c r="Q28" i="37"/>
  <c r="Q29" i="37"/>
  <c r="Q30" i="37"/>
  <c r="Q31" i="37"/>
  <c r="Q18" i="37"/>
  <c r="A19" i="37"/>
  <c r="C19" i="37" s="1"/>
  <c r="A20" i="37"/>
  <c r="E20" i="37" s="1"/>
  <c r="F20" i="37" s="1"/>
  <c r="A21" i="37"/>
  <c r="C21" i="37" s="1"/>
  <c r="A22" i="37"/>
  <c r="C22" i="37" s="1"/>
  <c r="A23" i="37"/>
  <c r="E23" i="37" s="1"/>
  <c r="F23" i="37" s="1"/>
  <c r="A24" i="37"/>
  <c r="G24" i="37" s="1"/>
  <c r="H24" i="37" s="1"/>
  <c r="A25" i="37"/>
  <c r="E25" i="37" s="1"/>
  <c r="F25" i="37" s="1"/>
  <c r="A26" i="37"/>
  <c r="C26" i="37" s="1"/>
  <c r="A27" i="37"/>
  <c r="C27" i="37" s="1"/>
  <c r="A28" i="37"/>
  <c r="E28" i="37" s="1"/>
  <c r="F28" i="37" s="1"/>
  <c r="A29" i="37"/>
  <c r="C29" i="37" s="1"/>
  <c r="A30" i="37"/>
  <c r="C30" i="37" s="1"/>
  <c r="A31" i="37"/>
  <c r="C31" i="37" s="1"/>
  <c r="A18" i="37"/>
  <c r="C18" i="37" s="1"/>
  <c r="E48" i="32" l="1"/>
  <c r="F48" i="32"/>
  <c r="F39" i="32"/>
  <c r="E39" i="32"/>
  <c r="E32" i="32"/>
  <c r="F32" i="32"/>
  <c r="E26" i="32"/>
  <c r="F26" i="32"/>
  <c r="E41" i="32"/>
  <c r="F41" i="32"/>
  <c r="E29" i="32"/>
  <c r="F29" i="32"/>
  <c r="F45" i="32"/>
  <c r="E45" i="32"/>
  <c r="E53" i="32"/>
  <c r="F53" i="32"/>
  <c r="E28" i="32"/>
  <c r="F28" i="32"/>
  <c r="E58" i="32"/>
  <c r="F58" i="32"/>
  <c r="E49" i="32"/>
  <c r="F49" i="32"/>
  <c r="E37" i="32"/>
  <c r="F37" i="32"/>
  <c r="E56" i="32"/>
  <c r="F56" i="32"/>
  <c r="F27" i="32"/>
  <c r="E27" i="32"/>
  <c r="E36" i="32"/>
  <c r="F36" i="32"/>
  <c r="E44" i="32"/>
  <c r="F44" i="32"/>
  <c r="E52" i="32"/>
  <c r="F52" i="32"/>
  <c r="E60" i="32"/>
  <c r="F60" i="32"/>
  <c r="E40" i="32"/>
  <c r="F40" i="32"/>
  <c r="E35" i="32"/>
  <c r="F35" i="32"/>
  <c r="E34" i="32"/>
  <c r="F34" i="32"/>
  <c r="E22" i="32"/>
  <c r="F22" i="32"/>
  <c r="E30" i="32"/>
  <c r="F30" i="32"/>
  <c r="E25" i="32"/>
  <c r="F25" i="32"/>
  <c r="F51" i="32"/>
  <c r="E51" i="32"/>
  <c r="E50" i="32"/>
  <c r="F50" i="32"/>
  <c r="E43" i="32"/>
  <c r="F43" i="32"/>
  <c r="E42" i="32"/>
  <c r="F42" i="32"/>
  <c r="E59" i="32"/>
  <c r="F59" i="32"/>
  <c r="E55" i="32"/>
  <c r="F55" i="32"/>
  <c r="E47" i="32"/>
  <c r="F47" i="32"/>
  <c r="E24" i="32"/>
  <c r="F24" i="32"/>
  <c r="E23" i="32"/>
  <c r="F23" i="32"/>
  <c r="E31" i="32"/>
  <c r="F31" i="32"/>
  <c r="E38" i="32"/>
  <c r="F38" i="32"/>
  <c r="E46" i="32"/>
  <c r="F46" i="32"/>
  <c r="E54" i="32"/>
  <c r="F54" i="32"/>
  <c r="E33" i="32"/>
  <c r="F33" i="32"/>
  <c r="F57" i="32"/>
  <c r="E57" i="32"/>
  <c r="E21" i="32"/>
  <c r="F21" i="32"/>
  <c r="O20" i="37"/>
  <c r="P20" i="37" s="1"/>
  <c r="I26" i="37"/>
  <c r="J26" i="37" s="1"/>
  <c r="K18" i="37"/>
  <c r="L18" i="37" s="1"/>
  <c r="M20" i="37"/>
  <c r="N20" i="37" s="1"/>
  <c r="O19" i="37"/>
  <c r="P19" i="37" s="1"/>
  <c r="O25" i="37"/>
  <c r="P25" i="37" s="1"/>
  <c r="K26" i="37"/>
  <c r="L26" i="37" s="1"/>
  <c r="M25" i="37"/>
  <c r="N25" i="37" s="1"/>
  <c r="O18" i="37"/>
  <c r="P18" i="37" s="1"/>
  <c r="O31" i="37"/>
  <c r="P31" i="37" s="1"/>
  <c r="K29" i="37"/>
  <c r="L29" i="37" s="1"/>
  <c r="O26" i="37"/>
  <c r="P26" i="37" s="1"/>
  <c r="M18" i="37"/>
  <c r="N18" i="37" s="1"/>
  <c r="O21" i="37"/>
  <c r="P21" i="37" s="1"/>
  <c r="O27" i="37"/>
  <c r="P27" i="37" s="1"/>
  <c r="M22" i="37"/>
  <c r="N22" i="37" s="1"/>
  <c r="O22" i="37"/>
  <c r="P22" i="37" s="1"/>
  <c r="O28" i="37"/>
  <c r="P28" i="37" s="1"/>
  <c r="M26" i="37"/>
  <c r="N26" i="37" s="1"/>
  <c r="M28" i="37"/>
  <c r="N28" i="37" s="1"/>
  <c r="O23" i="37"/>
  <c r="P23" i="37" s="1"/>
  <c r="O29" i="37"/>
  <c r="P29" i="37" s="1"/>
  <c r="M30" i="37"/>
  <c r="N30" i="37" s="1"/>
  <c r="O24" i="37"/>
  <c r="P24" i="37" s="1"/>
  <c r="O30" i="37"/>
  <c r="P30" i="37" s="1"/>
  <c r="K27" i="37"/>
  <c r="L27" i="37" s="1"/>
  <c r="M19" i="37"/>
  <c r="N19" i="37" s="1"/>
  <c r="K19" i="37"/>
  <c r="L19" i="37" s="1"/>
  <c r="K23" i="37"/>
  <c r="L23" i="37" s="1"/>
  <c r="M24" i="37"/>
  <c r="N24" i="37" s="1"/>
  <c r="I23" i="37"/>
  <c r="J23" i="37" s="1"/>
  <c r="M31" i="37"/>
  <c r="N31" i="37" s="1"/>
  <c r="K24" i="37"/>
  <c r="L24" i="37" s="1"/>
  <c r="M21" i="37"/>
  <c r="N21" i="37" s="1"/>
  <c r="M27" i="37"/>
  <c r="N27" i="37" s="1"/>
  <c r="K30" i="37"/>
  <c r="L30" i="37" s="1"/>
  <c r="M23" i="37"/>
  <c r="N23" i="37" s="1"/>
  <c r="M29" i="37"/>
  <c r="N29" i="37" s="1"/>
  <c r="K31" i="37"/>
  <c r="L31" i="37" s="1"/>
  <c r="K25" i="37"/>
  <c r="L25" i="37" s="1"/>
  <c r="G18" i="37"/>
  <c r="H18" i="37" s="1"/>
  <c r="K20" i="37"/>
  <c r="L20" i="37" s="1"/>
  <c r="G20" i="37"/>
  <c r="H20" i="37" s="1"/>
  <c r="G25" i="37"/>
  <c r="H25" i="37" s="1"/>
  <c r="K21" i="37"/>
  <c r="L21" i="37" s="1"/>
  <c r="I20" i="37"/>
  <c r="J20" i="37" s="1"/>
  <c r="I21" i="37"/>
  <c r="J21" i="37" s="1"/>
  <c r="K22" i="37"/>
  <c r="L22" i="37" s="1"/>
  <c r="K28" i="37"/>
  <c r="L28" i="37" s="1"/>
  <c r="I27" i="37"/>
  <c r="J27" i="37" s="1"/>
  <c r="G19" i="37"/>
  <c r="H19" i="37" s="1"/>
  <c r="G27" i="37"/>
  <c r="H27" i="37" s="1"/>
  <c r="I22" i="37"/>
  <c r="J22" i="37" s="1"/>
  <c r="I28" i="37"/>
  <c r="J28" i="37" s="1"/>
  <c r="G29" i="37"/>
  <c r="H29" i="37" s="1"/>
  <c r="G31" i="37"/>
  <c r="H31" i="37" s="1"/>
  <c r="I18" i="37"/>
  <c r="J18" i="37" s="1"/>
  <c r="I24" i="37"/>
  <c r="J24" i="37" s="1"/>
  <c r="I30" i="37"/>
  <c r="J30" i="37" s="1"/>
  <c r="G30" i="37"/>
  <c r="H30" i="37" s="1"/>
  <c r="I29" i="37"/>
  <c r="J29" i="37" s="1"/>
  <c r="I19" i="37"/>
  <c r="J19" i="37" s="1"/>
  <c r="I25" i="37"/>
  <c r="J25" i="37" s="1"/>
  <c r="I31" i="37"/>
  <c r="J31" i="37" s="1"/>
  <c r="G26" i="37"/>
  <c r="H26" i="37" s="1"/>
  <c r="G21" i="37"/>
  <c r="H21" i="37" s="1"/>
  <c r="G22" i="37"/>
  <c r="H22" i="37" s="1"/>
  <c r="G28" i="37"/>
  <c r="H28" i="37" s="1"/>
  <c r="E30" i="37"/>
  <c r="F30" i="37" s="1"/>
  <c r="G23" i="37"/>
  <c r="H23" i="37" s="1"/>
  <c r="E24" i="37"/>
  <c r="F24" i="37" s="1"/>
  <c r="E29" i="37"/>
  <c r="F29" i="37" s="1"/>
  <c r="E22" i="37"/>
  <c r="F22" i="37" s="1"/>
  <c r="E27" i="37"/>
  <c r="F27" i="37" s="1"/>
  <c r="E21" i="37"/>
  <c r="F21" i="37" s="1"/>
  <c r="E26" i="37"/>
  <c r="F26" i="37" s="1"/>
  <c r="E31" i="37"/>
  <c r="F31" i="37" s="1"/>
  <c r="E19" i="37"/>
  <c r="F19" i="37" s="1"/>
  <c r="E18" i="37"/>
  <c r="F18" i="37" s="1"/>
  <c r="C20" i="37"/>
  <c r="D20" i="37" s="1"/>
  <c r="D27" i="37"/>
  <c r="D31" i="37"/>
  <c r="D19" i="37"/>
  <c r="D30" i="37"/>
  <c r="D29" i="37"/>
  <c r="D26" i="37"/>
  <c r="C28" i="37"/>
  <c r="D28" i="37" s="1"/>
  <c r="C25" i="37"/>
  <c r="D25" i="37" s="1"/>
  <c r="D22" i="37"/>
  <c r="C24" i="37"/>
  <c r="D24" i="37" s="1"/>
  <c r="D21" i="37"/>
  <c r="C23" i="37"/>
  <c r="D23" i="37" s="1"/>
  <c r="D18" i="37"/>
  <c r="A78" i="36"/>
  <c r="F78" i="36" s="1"/>
  <c r="A79" i="36"/>
  <c r="C79" i="36" s="1"/>
  <c r="A80" i="36"/>
  <c r="N80" i="36" s="1"/>
  <c r="A81" i="36"/>
  <c r="I81" i="36" s="1"/>
  <c r="A82" i="36"/>
  <c r="H82" i="36" s="1"/>
  <c r="A67" i="36"/>
  <c r="C67" i="36" s="1"/>
  <c r="A68" i="36"/>
  <c r="N68" i="36" s="1"/>
  <c r="A69" i="36"/>
  <c r="K69" i="36" s="1"/>
  <c r="A70" i="36"/>
  <c r="H70" i="36" s="1"/>
  <c r="A71" i="36"/>
  <c r="C71" i="36" s="1"/>
  <c r="A72" i="36"/>
  <c r="N72" i="36" s="1"/>
  <c r="A73" i="36"/>
  <c r="I73" i="36" s="1"/>
  <c r="A74" i="36"/>
  <c r="F74" i="36" s="1"/>
  <c r="A75" i="36"/>
  <c r="C75" i="36" s="1"/>
  <c r="A76" i="36"/>
  <c r="N76" i="36" s="1"/>
  <c r="A77" i="36"/>
  <c r="I77" i="36" s="1"/>
  <c r="A31" i="36"/>
  <c r="C31" i="36" s="1"/>
  <c r="A32" i="36"/>
  <c r="L32" i="36" s="1"/>
  <c r="A33" i="36"/>
  <c r="I33" i="36" s="1"/>
  <c r="A34" i="36"/>
  <c r="F34" i="36" s="1"/>
  <c r="A35" i="36"/>
  <c r="C35" i="36" s="1"/>
  <c r="A36" i="36"/>
  <c r="L36" i="36" s="1"/>
  <c r="A37" i="36"/>
  <c r="I37" i="36" s="1"/>
  <c r="A38" i="36"/>
  <c r="F38" i="36" s="1"/>
  <c r="A39" i="36"/>
  <c r="C39" i="36" s="1"/>
  <c r="A40" i="36"/>
  <c r="L40" i="36" s="1"/>
  <c r="A41" i="36"/>
  <c r="I41" i="36" s="1"/>
  <c r="A42" i="36"/>
  <c r="F42" i="36" s="1"/>
  <c r="A43" i="36"/>
  <c r="C43" i="36" s="1"/>
  <c r="A44" i="36"/>
  <c r="L44" i="36" s="1"/>
  <c r="A45" i="36"/>
  <c r="I45" i="36" s="1"/>
  <c r="A46" i="36"/>
  <c r="F46" i="36" s="1"/>
  <c r="A47" i="36"/>
  <c r="C47" i="36" s="1"/>
  <c r="A48" i="36"/>
  <c r="L48" i="36" s="1"/>
  <c r="A49" i="36"/>
  <c r="I49" i="36" s="1"/>
  <c r="A50" i="36"/>
  <c r="F50" i="36" s="1"/>
  <c r="A51" i="36"/>
  <c r="C51" i="36" s="1"/>
  <c r="A52" i="36"/>
  <c r="L52" i="36" s="1"/>
  <c r="A53" i="36"/>
  <c r="I53" i="36" s="1"/>
  <c r="A54" i="36"/>
  <c r="F54" i="36" s="1"/>
  <c r="A55" i="36"/>
  <c r="C55" i="36" s="1"/>
  <c r="A56" i="36"/>
  <c r="L56" i="36" s="1"/>
  <c r="A57" i="36"/>
  <c r="I57" i="36" s="1"/>
  <c r="A58" i="36"/>
  <c r="F58" i="36" s="1"/>
  <c r="A59" i="36"/>
  <c r="C59" i="36" s="1"/>
  <c r="A60" i="36"/>
  <c r="L60" i="36" s="1"/>
  <c r="A61" i="36"/>
  <c r="I61" i="36" s="1"/>
  <c r="A62" i="36"/>
  <c r="F62" i="36" s="1"/>
  <c r="A63" i="36"/>
  <c r="C63" i="36" s="1"/>
  <c r="A64" i="36"/>
  <c r="L64" i="36" s="1"/>
  <c r="A65" i="36"/>
  <c r="I65" i="36" s="1"/>
  <c r="A66" i="36"/>
  <c r="F66" i="36" s="1"/>
  <c r="A26" i="36"/>
  <c r="C26" i="36" s="1"/>
  <c r="A27" i="36"/>
  <c r="C27" i="36" s="1"/>
  <c r="A28" i="36"/>
  <c r="C28" i="36" s="1"/>
  <c r="A29" i="36"/>
  <c r="C29" i="36" s="1"/>
  <c r="A30" i="36"/>
  <c r="C30" i="36" s="1"/>
  <c r="A25" i="36"/>
  <c r="C25" i="36" s="1"/>
  <c r="I4" i="36"/>
  <c r="J4" i="36" s="1"/>
  <c r="K4" i="36" s="1"/>
  <c r="L4" i="36" s="1"/>
  <c r="M4" i="36" s="1"/>
  <c r="I5" i="36"/>
  <c r="J5" i="36" s="1"/>
  <c r="K5" i="36" s="1"/>
  <c r="L5" i="36" s="1"/>
  <c r="M5" i="36" s="1"/>
  <c r="I6" i="36"/>
  <c r="J6" i="36" s="1"/>
  <c r="K6" i="36" s="1"/>
  <c r="L6" i="36" s="1"/>
  <c r="M6" i="36" s="1"/>
  <c r="I7" i="36"/>
  <c r="J7" i="36" s="1"/>
  <c r="K7" i="36" s="1"/>
  <c r="L7" i="36" s="1"/>
  <c r="M7" i="36" s="1"/>
  <c r="I8" i="36"/>
  <c r="J8" i="36" s="1"/>
  <c r="K8" i="36" s="1"/>
  <c r="L8" i="36" s="1"/>
  <c r="M8" i="36" s="1"/>
  <c r="I9" i="36"/>
  <c r="J9" i="36" s="1"/>
  <c r="K9" i="36" s="1"/>
  <c r="L9" i="36" s="1"/>
  <c r="M9" i="36" s="1"/>
  <c r="I10" i="36"/>
  <c r="J10" i="36" s="1"/>
  <c r="K10" i="36" s="1"/>
  <c r="L10" i="36" s="1"/>
  <c r="M10" i="36" s="1"/>
  <c r="I11" i="36"/>
  <c r="J11" i="36" s="1"/>
  <c r="K11" i="36" s="1"/>
  <c r="L11" i="36" s="1"/>
  <c r="M11" i="36" s="1"/>
  <c r="I12" i="36"/>
  <c r="J12" i="36" s="1"/>
  <c r="K12" i="36" s="1"/>
  <c r="L12" i="36" s="1"/>
  <c r="M12" i="36" s="1"/>
  <c r="I13" i="36"/>
  <c r="J13" i="36" s="1"/>
  <c r="K13" i="36" s="1"/>
  <c r="L13" i="36" s="1"/>
  <c r="M13" i="36" s="1"/>
  <c r="I14" i="36"/>
  <c r="J14" i="36" s="1"/>
  <c r="K14" i="36" s="1"/>
  <c r="L14" i="36" s="1"/>
  <c r="M14" i="36" s="1"/>
  <c r="I15" i="36"/>
  <c r="J15" i="36" s="1"/>
  <c r="K15" i="36" s="1"/>
  <c r="L15" i="36" s="1"/>
  <c r="M15" i="36" s="1"/>
  <c r="I16" i="36"/>
  <c r="J16" i="36" s="1"/>
  <c r="K16" i="36" s="1"/>
  <c r="L16" i="36" s="1"/>
  <c r="M16" i="36" s="1"/>
  <c r="I17" i="36"/>
  <c r="J17" i="36" s="1"/>
  <c r="K17" i="36" s="1"/>
  <c r="L17" i="36" s="1"/>
  <c r="M17" i="36" s="1"/>
  <c r="I3" i="36"/>
  <c r="J3" i="36" s="1"/>
  <c r="K3" i="36" s="1"/>
  <c r="L3" i="36" s="1"/>
  <c r="M3" i="36" s="1"/>
  <c r="S38" i="32" l="1"/>
  <c r="T38" i="32"/>
  <c r="S59" i="32"/>
  <c r="T59" i="32"/>
  <c r="S52" i="32"/>
  <c r="T52" i="32"/>
  <c r="T49" i="32"/>
  <c r="S49" i="32"/>
  <c r="S41" i="32"/>
  <c r="T41" i="32"/>
  <c r="S46" i="32"/>
  <c r="T46" i="32"/>
  <c r="T37" i="32"/>
  <c r="S37" i="32"/>
  <c r="T31" i="32"/>
  <c r="S31" i="32"/>
  <c r="T42" i="32"/>
  <c r="S42" i="32"/>
  <c r="S44" i="32"/>
  <c r="T44" i="32"/>
  <c r="S58" i="32"/>
  <c r="T58" i="32"/>
  <c r="T55" i="32"/>
  <c r="S55" i="32"/>
  <c r="S57" i="32"/>
  <c r="T57" i="32"/>
  <c r="T43" i="32"/>
  <c r="S43" i="32"/>
  <c r="S34" i="32"/>
  <c r="T34" i="32"/>
  <c r="S36" i="32"/>
  <c r="T36" i="32"/>
  <c r="S32" i="32"/>
  <c r="T32" i="32"/>
  <c r="T39" i="32"/>
  <c r="S39" i="32"/>
  <c r="T33" i="32"/>
  <c r="S33" i="32"/>
  <c r="S50" i="32"/>
  <c r="T50" i="32"/>
  <c r="S35" i="32"/>
  <c r="T35" i="32"/>
  <c r="S53" i="32"/>
  <c r="T53" i="32"/>
  <c r="T51" i="32"/>
  <c r="S51" i="32"/>
  <c r="S45" i="32"/>
  <c r="T45" i="32"/>
  <c r="S54" i="32"/>
  <c r="T54" i="32"/>
  <c r="S47" i="32"/>
  <c r="T47" i="32"/>
  <c r="S40" i="32"/>
  <c r="T40" i="32"/>
  <c r="S56" i="32"/>
  <c r="T56" i="32"/>
  <c r="T48" i="32"/>
  <c r="S48" i="32"/>
  <c r="S25" i="32"/>
  <c r="T25" i="32"/>
  <c r="S29" i="32"/>
  <c r="T29" i="32"/>
  <c r="S30" i="32"/>
  <c r="T30" i="32"/>
  <c r="T21" i="32"/>
  <c r="S22" i="32"/>
  <c r="T22" i="32"/>
  <c r="T26" i="32"/>
  <c r="S26" i="32"/>
  <c r="S23" i="32"/>
  <c r="T23" i="32"/>
  <c r="T28" i="32"/>
  <c r="S28" i="32"/>
  <c r="T27" i="32"/>
  <c r="S27" i="32"/>
  <c r="S24" i="32"/>
  <c r="T24" i="32"/>
  <c r="S21" i="32"/>
  <c r="I69" i="36"/>
  <c r="I82" i="36"/>
  <c r="K80" i="36"/>
  <c r="H77" i="36"/>
  <c r="O74" i="36"/>
  <c r="N71" i="36"/>
  <c r="L67" i="36"/>
  <c r="L61" i="36"/>
  <c r="I58" i="36"/>
  <c r="Q54" i="36"/>
  <c r="H37" i="36"/>
  <c r="G82" i="36"/>
  <c r="I80" i="36"/>
  <c r="F77" i="36"/>
  <c r="G74" i="36"/>
  <c r="Q70" i="36"/>
  <c r="H69" i="36"/>
  <c r="Q66" i="36"/>
  <c r="J61" i="36"/>
  <c r="G58" i="36"/>
  <c r="O54" i="36"/>
  <c r="Q46" i="36"/>
  <c r="F37" i="36"/>
  <c r="F82" i="36"/>
  <c r="E80" i="36"/>
  <c r="Q76" i="36"/>
  <c r="E74" i="36"/>
  <c r="O70" i="36"/>
  <c r="F69" i="36"/>
  <c r="O66" i="36"/>
  <c r="H61" i="36"/>
  <c r="E58" i="36"/>
  <c r="E54" i="36"/>
  <c r="O46" i="36"/>
  <c r="N35" i="36"/>
  <c r="E82" i="36"/>
  <c r="C80" i="36"/>
  <c r="O76" i="36"/>
  <c r="C74" i="36"/>
  <c r="K70" i="36"/>
  <c r="Q68" i="36"/>
  <c r="E66" i="36"/>
  <c r="F61" i="36"/>
  <c r="C58" i="36"/>
  <c r="C54" i="36"/>
  <c r="E46" i="36"/>
  <c r="L35" i="36"/>
  <c r="L47" i="36"/>
  <c r="C82" i="36"/>
  <c r="N79" i="36"/>
  <c r="M76" i="36"/>
  <c r="Q72" i="36"/>
  <c r="I70" i="36"/>
  <c r="O68" i="36"/>
  <c r="C66" i="36"/>
  <c r="K60" i="36"/>
  <c r="J57" i="36"/>
  <c r="H53" i="36"/>
  <c r="C46" i="36"/>
  <c r="Q34" i="36"/>
  <c r="J81" i="36"/>
  <c r="L79" i="36"/>
  <c r="L76" i="36"/>
  <c r="O72" i="36"/>
  <c r="G70" i="36"/>
  <c r="M68" i="36"/>
  <c r="L65" i="36"/>
  <c r="P59" i="36"/>
  <c r="H57" i="36"/>
  <c r="F53" i="36"/>
  <c r="H45" i="36"/>
  <c r="O34" i="36"/>
  <c r="H81" i="36"/>
  <c r="Q78" i="36"/>
  <c r="K76" i="36"/>
  <c r="M72" i="36"/>
  <c r="F70" i="36"/>
  <c r="L68" i="36"/>
  <c r="J65" i="36"/>
  <c r="N59" i="36"/>
  <c r="F57" i="36"/>
  <c r="K52" i="36"/>
  <c r="F45" i="36"/>
  <c r="E34" i="36"/>
  <c r="F81" i="36"/>
  <c r="O78" i="36"/>
  <c r="I76" i="36"/>
  <c r="L72" i="36"/>
  <c r="E70" i="36"/>
  <c r="K68" i="36"/>
  <c r="H65" i="36"/>
  <c r="L59" i="36"/>
  <c r="K56" i="36"/>
  <c r="N51" i="36"/>
  <c r="K44" i="36"/>
  <c r="C34" i="36"/>
  <c r="Q80" i="36"/>
  <c r="G78" i="36"/>
  <c r="E76" i="36"/>
  <c r="K72" i="36"/>
  <c r="C70" i="36"/>
  <c r="I68" i="36"/>
  <c r="F65" i="36"/>
  <c r="F59" i="36"/>
  <c r="I56" i="36"/>
  <c r="L51" i="36"/>
  <c r="N43" i="36"/>
  <c r="H33" i="36"/>
  <c r="Q82" i="36"/>
  <c r="O80" i="36"/>
  <c r="E78" i="36"/>
  <c r="C76" i="36"/>
  <c r="I72" i="36"/>
  <c r="N69" i="36"/>
  <c r="E68" i="36"/>
  <c r="K64" i="36"/>
  <c r="D59" i="36"/>
  <c r="P55" i="36"/>
  <c r="H49" i="36"/>
  <c r="L43" i="36"/>
  <c r="F33" i="36"/>
  <c r="O82" i="36"/>
  <c r="M80" i="36"/>
  <c r="C78" i="36"/>
  <c r="N75" i="36"/>
  <c r="E72" i="36"/>
  <c r="L69" i="36"/>
  <c r="C68" i="36"/>
  <c r="N63" i="36"/>
  <c r="Q58" i="36"/>
  <c r="N55" i="36"/>
  <c r="F49" i="36"/>
  <c r="H41" i="36"/>
  <c r="N31" i="36"/>
  <c r="K82" i="36"/>
  <c r="L80" i="36"/>
  <c r="J77" i="36"/>
  <c r="Q74" i="36"/>
  <c r="C72" i="36"/>
  <c r="J69" i="36"/>
  <c r="N67" i="36"/>
  <c r="L63" i="36"/>
  <c r="O58" i="36"/>
  <c r="L55" i="36"/>
  <c r="N47" i="36"/>
  <c r="F41" i="36"/>
  <c r="L31" i="36"/>
  <c r="Q50" i="36"/>
  <c r="E50" i="36"/>
  <c r="K48" i="36"/>
  <c r="Q42" i="36"/>
  <c r="E42" i="36"/>
  <c r="K40" i="36"/>
  <c r="N39" i="36"/>
  <c r="Q38" i="36"/>
  <c r="E38" i="36"/>
  <c r="K36" i="36"/>
  <c r="K32" i="36"/>
  <c r="P82" i="36"/>
  <c r="D82" i="36"/>
  <c r="G81" i="36"/>
  <c r="J80" i="36"/>
  <c r="M79" i="36"/>
  <c r="P78" i="36"/>
  <c r="D78" i="36"/>
  <c r="G77" i="36"/>
  <c r="J76" i="36"/>
  <c r="M75" i="36"/>
  <c r="P74" i="36"/>
  <c r="D74" i="36"/>
  <c r="G73" i="36"/>
  <c r="J72" i="36"/>
  <c r="M71" i="36"/>
  <c r="P70" i="36"/>
  <c r="D70" i="36"/>
  <c r="G69" i="36"/>
  <c r="J68" i="36"/>
  <c r="M67" i="36"/>
  <c r="P66" i="36"/>
  <c r="D66" i="36"/>
  <c r="G65" i="36"/>
  <c r="J64" i="36"/>
  <c r="M63" i="36"/>
  <c r="P62" i="36"/>
  <c r="D62" i="36"/>
  <c r="G61" i="36"/>
  <c r="J60" i="36"/>
  <c r="M59" i="36"/>
  <c r="P58" i="36"/>
  <c r="D58" i="36"/>
  <c r="G57" i="36"/>
  <c r="J56" i="36"/>
  <c r="M55" i="36"/>
  <c r="P54" i="36"/>
  <c r="D54" i="36"/>
  <c r="G53" i="36"/>
  <c r="J52" i="36"/>
  <c r="M51" i="36"/>
  <c r="P50" i="36"/>
  <c r="D50" i="36"/>
  <c r="G49" i="36"/>
  <c r="J48" i="36"/>
  <c r="M47" i="36"/>
  <c r="P46" i="36"/>
  <c r="D46" i="36"/>
  <c r="G45" i="36"/>
  <c r="J44" i="36"/>
  <c r="M43" i="36"/>
  <c r="P42" i="36"/>
  <c r="D42" i="36"/>
  <c r="G41" i="36"/>
  <c r="J40" i="36"/>
  <c r="M39" i="36"/>
  <c r="P38" i="36"/>
  <c r="D38" i="36"/>
  <c r="G37" i="36"/>
  <c r="J36" i="36"/>
  <c r="M35" i="36"/>
  <c r="P34" i="36"/>
  <c r="D34" i="36"/>
  <c r="G33" i="36"/>
  <c r="J32" i="36"/>
  <c r="M31" i="36"/>
  <c r="H73" i="36"/>
  <c r="C42" i="36"/>
  <c r="O38" i="36"/>
  <c r="N82" i="36"/>
  <c r="Q81" i="36"/>
  <c r="E81" i="36"/>
  <c r="H80" i="36"/>
  <c r="K79" i="36"/>
  <c r="N78" i="36"/>
  <c r="Q77" i="36"/>
  <c r="E77" i="36"/>
  <c r="H76" i="36"/>
  <c r="K75" i="36"/>
  <c r="N74" i="36"/>
  <c r="Q73" i="36"/>
  <c r="E73" i="36"/>
  <c r="H72" i="36"/>
  <c r="K71" i="36"/>
  <c r="N70" i="36"/>
  <c r="Q69" i="36"/>
  <c r="E69" i="36"/>
  <c r="H68" i="36"/>
  <c r="K67" i="36"/>
  <c r="N66" i="36"/>
  <c r="Q65" i="36"/>
  <c r="E65" i="36"/>
  <c r="H64" i="36"/>
  <c r="K63" i="36"/>
  <c r="N62" i="36"/>
  <c r="Q61" i="36"/>
  <c r="E61" i="36"/>
  <c r="H60" i="36"/>
  <c r="K59" i="36"/>
  <c r="N58" i="36"/>
  <c r="Q57" i="36"/>
  <c r="E57" i="36"/>
  <c r="H56" i="36"/>
  <c r="K55" i="36"/>
  <c r="N54" i="36"/>
  <c r="Q53" i="36"/>
  <c r="E53" i="36"/>
  <c r="H52" i="36"/>
  <c r="K51" i="36"/>
  <c r="N50" i="36"/>
  <c r="Q49" i="36"/>
  <c r="E49" i="36"/>
  <c r="H48" i="36"/>
  <c r="K47" i="36"/>
  <c r="N46" i="36"/>
  <c r="Q45" i="36"/>
  <c r="E45" i="36"/>
  <c r="H44" i="36"/>
  <c r="K43" i="36"/>
  <c r="N42" i="36"/>
  <c r="Q41" i="36"/>
  <c r="E41" i="36"/>
  <c r="H40" i="36"/>
  <c r="K39" i="36"/>
  <c r="N38" i="36"/>
  <c r="Q37" i="36"/>
  <c r="E37" i="36"/>
  <c r="H36" i="36"/>
  <c r="K35" i="36"/>
  <c r="N34" i="36"/>
  <c r="Q33" i="36"/>
  <c r="E33" i="36"/>
  <c r="H32" i="36"/>
  <c r="K31" i="36"/>
  <c r="C62" i="36"/>
  <c r="I52" i="36"/>
  <c r="O50" i="36"/>
  <c r="I44" i="36"/>
  <c r="O42" i="36"/>
  <c r="I40" i="36"/>
  <c r="I36" i="36"/>
  <c r="I32" i="36"/>
  <c r="M82" i="36"/>
  <c r="P81" i="36"/>
  <c r="D81" i="36"/>
  <c r="G80" i="36"/>
  <c r="J79" i="36"/>
  <c r="M78" i="36"/>
  <c r="P77" i="36"/>
  <c r="D77" i="36"/>
  <c r="G76" i="36"/>
  <c r="J75" i="36"/>
  <c r="M74" i="36"/>
  <c r="P73" i="36"/>
  <c r="D73" i="36"/>
  <c r="G72" i="36"/>
  <c r="J71" i="36"/>
  <c r="M70" i="36"/>
  <c r="P69" i="36"/>
  <c r="D69" i="36"/>
  <c r="G68" i="36"/>
  <c r="J67" i="36"/>
  <c r="M66" i="36"/>
  <c r="P65" i="36"/>
  <c r="D65" i="36"/>
  <c r="G64" i="36"/>
  <c r="J63" i="36"/>
  <c r="M62" i="36"/>
  <c r="P61" i="36"/>
  <c r="D61" i="36"/>
  <c r="G60" i="36"/>
  <c r="J59" i="36"/>
  <c r="M58" i="36"/>
  <c r="P57" i="36"/>
  <c r="D57" i="36"/>
  <c r="G56" i="36"/>
  <c r="J55" i="36"/>
  <c r="M54" i="36"/>
  <c r="P53" i="36"/>
  <c r="D53" i="36"/>
  <c r="G52" i="36"/>
  <c r="J51" i="36"/>
  <c r="M50" i="36"/>
  <c r="P49" i="36"/>
  <c r="D49" i="36"/>
  <c r="G48" i="36"/>
  <c r="J47" i="36"/>
  <c r="M46" i="36"/>
  <c r="P45" i="36"/>
  <c r="D45" i="36"/>
  <c r="G44" i="36"/>
  <c r="J43" i="36"/>
  <c r="M42" i="36"/>
  <c r="P41" i="36"/>
  <c r="D41" i="36"/>
  <c r="G40" i="36"/>
  <c r="J39" i="36"/>
  <c r="M38" i="36"/>
  <c r="P37" i="36"/>
  <c r="D37" i="36"/>
  <c r="G36" i="36"/>
  <c r="J35" i="36"/>
  <c r="M34" i="36"/>
  <c r="P33" i="36"/>
  <c r="D33" i="36"/>
  <c r="G32" i="36"/>
  <c r="J31" i="36"/>
  <c r="Q62" i="36"/>
  <c r="C50" i="36"/>
  <c r="L39" i="36"/>
  <c r="C38" i="36"/>
  <c r="L82" i="36"/>
  <c r="O81" i="36"/>
  <c r="C81" i="36"/>
  <c r="F80" i="36"/>
  <c r="I79" i="36"/>
  <c r="L78" i="36"/>
  <c r="O77" i="36"/>
  <c r="C77" i="36"/>
  <c r="F76" i="36"/>
  <c r="I75" i="36"/>
  <c r="L74" i="36"/>
  <c r="O73" i="36"/>
  <c r="C73" i="36"/>
  <c r="F72" i="36"/>
  <c r="I71" i="36"/>
  <c r="L70" i="36"/>
  <c r="O69" i="36"/>
  <c r="C69" i="36"/>
  <c r="F68" i="36"/>
  <c r="I67" i="36"/>
  <c r="L66" i="36"/>
  <c r="O65" i="36"/>
  <c r="C65" i="36"/>
  <c r="F64" i="36"/>
  <c r="I63" i="36"/>
  <c r="L62" i="36"/>
  <c r="O61" i="36"/>
  <c r="C61" i="36"/>
  <c r="F60" i="36"/>
  <c r="I59" i="36"/>
  <c r="L58" i="36"/>
  <c r="O57" i="36"/>
  <c r="C57" i="36"/>
  <c r="F56" i="36"/>
  <c r="I55" i="36"/>
  <c r="L54" i="36"/>
  <c r="O53" i="36"/>
  <c r="C53" i="36"/>
  <c r="F52" i="36"/>
  <c r="I51" i="36"/>
  <c r="L50" i="36"/>
  <c r="O49" i="36"/>
  <c r="C49" i="36"/>
  <c r="F48" i="36"/>
  <c r="I47" i="36"/>
  <c r="L46" i="36"/>
  <c r="O45" i="36"/>
  <c r="C45" i="36"/>
  <c r="F44" i="36"/>
  <c r="I43" i="36"/>
  <c r="L42" i="36"/>
  <c r="O41" i="36"/>
  <c r="C41" i="36"/>
  <c r="F40" i="36"/>
  <c r="I39" i="36"/>
  <c r="L38" i="36"/>
  <c r="O37" i="36"/>
  <c r="C37" i="36"/>
  <c r="F36" i="36"/>
  <c r="I35" i="36"/>
  <c r="L34" i="36"/>
  <c r="O33" i="36"/>
  <c r="C33" i="36"/>
  <c r="F32" i="36"/>
  <c r="I31" i="36"/>
  <c r="N81" i="36"/>
  <c r="H79" i="36"/>
  <c r="N77" i="36"/>
  <c r="K74" i="36"/>
  <c r="H71" i="36"/>
  <c r="H67" i="36"/>
  <c r="K66" i="36"/>
  <c r="N65" i="36"/>
  <c r="Q64" i="36"/>
  <c r="E64" i="36"/>
  <c r="H63" i="36"/>
  <c r="K62" i="36"/>
  <c r="N61" i="36"/>
  <c r="Q60" i="36"/>
  <c r="E60" i="36"/>
  <c r="H59" i="36"/>
  <c r="K58" i="36"/>
  <c r="N57" i="36"/>
  <c r="Q56" i="36"/>
  <c r="E56" i="36"/>
  <c r="H55" i="36"/>
  <c r="K54" i="36"/>
  <c r="N53" i="36"/>
  <c r="Q52" i="36"/>
  <c r="E52" i="36"/>
  <c r="H51" i="36"/>
  <c r="K50" i="36"/>
  <c r="N49" i="36"/>
  <c r="Q48" i="36"/>
  <c r="E48" i="36"/>
  <c r="H47" i="36"/>
  <c r="K46" i="36"/>
  <c r="N45" i="36"/>
  <c r="Q44" i="36"/>
  <c r="E44" i="36"/>
  <c r="H43" i="36"/>
  <c r="K42" i="36"/>
  <c r="N41" i="36"/>
  <c r="Q40" i="36"/>
  <c r="E40" i="36"/>
  <c r="H39" i="36"/>
  <c r="K38" i="36"/>
  <c r="N37" i="36"/>
  <c r="Q36" i="36"/>
  <c r="E36" i="36"/>
  <c r="H35" i="36"/>
  <c r="K34" i="36"/>
  <c r="N33" i="36"/>
  <c r="Q32" i="36"/>
  <c r="E32" i="36"/>
  <c r="H31" i="36"/>
  <c r="F73" i="36"/>
  <c r="L71" i="36"/>
  <c r="I64" i="36"/>
  <c r="O62" i="36"/>
  <c r="I60" i="36"/>
  <c r="I48" i="36"/>
  <c r="K78" i="36"/>
  <c r="H75" i="36"/>
  <c r="N73" i="36"/>
  <c r="J82" i="36"/>
  <c r="M81" i="36"/>
  <c r="P80" i="36"/>
  <c r="D80" i="36"/>
  <c r="G79" i="36"/>
  <c r="J78" i="36"/>
  <c r="M77" i="36"/>
  <c r="P76" i="36"/>
  <c r="D76" i="36"/>
  <c r="G75" i="36"/>
  <c r="J74" i="36"/>
  <c r="M73" i="36"/>
  <c r="P72" i="36"/>
  <c r="D72" i="36"/>
  <c r="G71" i="36"/>
  <c r="J70" i="36"/>
  <c r="M69" i="36"/>
  <c r="P68" i="36"/>
  <c r="D68" i="36"/>
  <c r="G67" i="36"/>
  <c r="J66" i="36"/>
  <c r="M65" i="36"/>
  <c r="P64" i="36"/>
  <c r="D64" i="36"/>
  <c r="G63" i="36"/>
  <c r="J62" i="36"/>
  <c r="M61" i="36"/>
  <c r="P60" i="36"/>
  <c r="D60" i="36"/>
  <c r="G59" i="36"/>
  <c r="J58" i="36"/>
  <c r="M57" i="36"/>
  <c r="P56" i="36"/>
  <c r="D56" i="36"/>
  <c r="G55" i="36"/>
  <c r="J54" i="36"/>
  <c r="M53" i="36"/>
  <c r="P52" i="36"/>
  <c r="D52" i="36"/>
  <c r="G51" i="36"/>
  <c r="J50" i="36"/>
  <c r="M49" i="36"/>
  <c r="P48" i="36"/>
  <c r="D48" i="36"/>
  <c r="G47" i="36"/>
  <c r="J46" i="36"/>
  <c r="M45" i="36"/>
  <c r="P44" i="36"/>
  <c r="D44" i="36"/>
  <c r="G43" i="36"/>
  <c r="J42" i="36"/>
  <c r="M41" i="36"/>
  <c r="P40" i="36"/>
  <c r="D40" i="36"/>
  <c r="G39" i="36"/>
  <c r="J38" i="36"/>
  <c r="M37" i="36"/>
  <c r="P36" i="36"/>
  <c r="D36" i="36"/>
  <c r="G35" i="36"/>
  <c r="J34" i="36"/>
  <c r="M33" i="36"/>
  <c r="P32" i="36"/>
  <c r="D32" i="36"/>
  <c r="G31" i="36"/>
  <c r="E62" i="36"/>
  <c r="L75" i="36"/>
  <c r="L81" i="36"/>
  <c r="I78" i="36"/>
  <c r="I74" i="36"/>
  <c r="L73" i="36"/>
  <c r="F71" i="36"/>
  <c r="F67" i="36"/>
  <c r="O64" i="36"/>
  <c r="C64" i="36"/>
  <c r="F63" i="36"/>
  <c r="I62" i="36"/>
  <c r="O60" i="36"/>
  <c r="L57" i="36"/>
  <c r="O56" i="36"/>
  <c r="C56" i="36"/>
  <c r="F55" i="36"/>
  <c r="I54" i="36"/>
  <c r="L53" i="36"/>
  <c r="O52" i="36"/>
  <c r="C52" i="36"/>
  <c r="F51" i="36"/>
  <c r="I50" i="36"/>
  <c r="L49" i="36"/>
  <c r="O48" i="36"/>
  <c r="C48" i="36"/>
  <c r="F47" i="36"/>
  <c r="I46" i="36"/>
  <c r="L45" i="36"/>
  <c r="O44" i="36"/>
  <c r="C44" i="36"/>
  <c r="F43" i="36"/>
  <c r="I42" i="36"/>
  <c r="L41" i="36"/>
  <c r="O40" i="36"/>
  <c r="C40" i="36"/>
  <c r="F39" i="36"/>
  <c r="I38" i="36"/>
  <c r="L37" i="36"/>
  <c r="O36" i="36"/>
  <c r="C36" i="36"/>
  <c r="F35" i="36"/>
  <c r="I34" i="36"/>
  <c r="L33" i="36"/>
  <c r="O32" i="36"/>
  <c r="C32" i="36"/>
  <c r="F31" i="36"/>
  <c r="F79" i="36"/>
  <c r="L77" i="36"/>
  <c r="F75" i="36"/>
  <c r="I66" i="36"/>
  <c r="C60" i="36"/>
  <c r="K81" i="36"/>
  <c r="Q79" i="36"/>
  <c r="E79" i="36"/>
  <c r="H78" i="36"/>
  <c r="K77" i="36"/>
  <c r="Q75" i="36"/>
  <c r="E75" i="36"/>
  <c r="H74" i="36"/>
  <c r="K73" i="36"/>
  <c r="Q71" i="36"/>
  <c r="E71" i="36"/>
  <c r="Q67" i="36"/>
  <c r="E67" i="36"/>
  <c r="H66" i="36"/>
  <c r="K65" i="36"/>
  <c r="N64" i="36"/>
  <c r="Q63" i="36"/>
  <c r="E63" i="36"/>
  <c r="H62" i="36"/>
  <c r="K61" i="36"/>
  <c r="N60" i="36"/>
  <c r="Q59" i="36"/>
  <c r="E59" i="36"/>
  <c r="H58" i="36"/>
  <c r="K57" i="36"/>
  <c r="N56" i="36"/>
  <c r="Q55" i="36"/>
  <c r="E55" i="36"/>
  <c r="H54" i="36"/>
  <c r="K53" i="36"/>
  <c r="N52" i="36"/>
  <c r="Q51" i="36"/>
  <c r="E51" i="36"/>
  <c r="H50" i="36"/>
  <c r="K49" i="36"/>
  <c r="N48" i="36"/>
  <c r="Q47" i="36"/>
  <c r="E47" i="36"/>
  <c r="H46" i="36"/>
  <c r="K45" i="36"/>
  <c r="N44" i="36"/>
  <c r="Q43" i="36"/>
  <c r="E43" i="36"/>
  <c r="H42" i="36"/>
  <c r="K41" i="36"/>
  <c r="N40" i="36"/>
  <c r="Q39" i="36"/>
  <c r="E39" i="36"/>
  <c r="H38" i="36"/>
  <c r="K37" i="36"/>
  <c r="N36" i="36"/>
  <c r="Q35" i="36"/>
  <c r="E35" i="36"/>
  <c r="H34" i="36"/>
  <c r="K33" i="36"/>
  <c r="N32" i="36"/>
  <c r="Q31" i="36"/>
  <c r="E31" i="36"/>
  <c r="P75" i="36"/>
  <c r="D75" i="36"/>
  <c r="P71" i="36"/>
  <c r="P67" i="36"/>
  <c r="D67" i="36"/>
  <c r="G66" i="36"/>
  <c r="M64" i="36"/>
  <c r="P63" i="36"/>
  <c r="D63" i="36"/>
  <c r="G62" i="36"/>
  <c r="M60" i="36"/>
  <c r="M56" i="36"/>
  <c r="D55" i="36"/>
  <c r="G54" i="36"/>
  <c r="J53" i="36"/>
  <c r="M52" i="36"/>
  <c r="P51" i="36"/>
  <c r="D51" i="36"/>
  <c r="G50" i="36"/>
  <c r="J49" i="36"/>
  <c r="M48" i="36"/>
  <c r="P47" i="36"/>
  <c r="D47" i="36"/>
  <c r="G46" i="36"/>
  <c r="J45" i="36"/>
  <c r="M44" i="36"/>
  <c r="P43" i="36"/>
  <c r="D43" i="36"/>
  <c r="G42" i="36"/>
  <c r="J41" i="36"/>
  <c r="M40" i="36"/>
  <c r="P39" i="36"/>
  <c r="D39" i="36"/>
  <c r="G38" i="36"/>
  <c r="J37" i="36"/>
  <c r="M36" i="36"/>
  <c r="P35" i="36"/>
  <c r="D35" i="36"/>
  <c r="G34" i="36"/>
  <c r="J33" i="36"/>
  <c r="M32" i="36"/>
  <c r="P31" i="36"/>
  <c r="D31" i="36"/>
  <c r="P79" i="36"/>
  <c r="D79" i="36"/>
  <c r="J73" i="36"/>
  <c r="D71" i="36"/>
  <c r="O79" i="36"/>
  <c r="O75" i="36"/>
  <c r="O71" i="36"/>
  <c r="O67" i="36"/>
  <c r="O63" i="36"/>
  <c r="O59" i="36"/>
  <c r="O55" i="36"/>
  <c r="O51" i="36"/>
  <c r="O47" i="36"/>
  <c r="O43" i="36"/>
  <c r="O39" i="36"/>
  <c r="O35" i="36"/>
  <c r="O31" i="36"/>
  <c r="K30" i="36"/>
  <c r="L30" i="36"/>
  <c r="P29" i="36"/>
  <c r="Q29" i="36"/>
  <c r="O29" i="36"/>
  <c r="J29" i="36"/>
  <c r="I29" i="36"/>
  <c r="O28" i="36"/>
  <c r="N28" i="36"/>
  <c r="M28" i="36"/>
  <c r="H28" i="36"/>
  <c r="Q30" i="36"/>
  <c r="K26" i="36"/>
  <c r="L27" i="36"/>
  <c r="K27" i="36"/>
  <c r="I26" i="36"/>
  <c r="P30" i="36"/>
  <c r="N29" i="36"/>
  <c r="L28" i="36"/>
  <c r="J27" i="36"/>
  <c r="H26" i="36"/>
  <c r="O30" i="36"/>
  <c r="M29" i="36"/>
  <c r="K28" i="36"/>
  <c r="I27" i="36"/>
  <c r="N30" i="36"/>
  <c r="L29" i="36"/>
  <c r="J28" i="36"/>
  <c r="H27" i="36"/>
  <c r="M27" i="36"/>
  <c r="M30" i="36"/>
  <c r="K29" i="36"/>
  <c r="I28" i="36"/>
  <c r="Q26" i="36"/>
  <c r="P26" i="36"/>
  <c r="Q27" i="36"/>
  <c r="O26" i="36"/>
  <c r="J30" i="36"/>
  <c r="H29" i="36"/>
  <c r="P27" i="36"/>
  <c r="N26" i="36"/>
  <c r="I30" i="36"/>
  <c r="Q28" i="36"/>
  <c r="O27" i="36"/>
  <c r="M26" i="36"/>
  <c r="H30" i="36"/>
  <c r="P28" i="36"/>
  <c r="N27" i="36"/>
  <c r="L26" i="36"/>
  <c r="J26" i="36"/>
  <c r="Q25" i="36"/>
  <c r="P25" i="36"/>
  <c r="O25" i="36"/>
  <c r="N25" i="36"/>
  <c r="L25" i="36"/>
  <c r="M25" i="36"/>
  <c r="K25" i="36"/>
  <c r="J25" i="36"/>
  <c r="I25" i="36"/>
  <c r="G28" i="36"/>
  <c r="G27" i="36"/>
  <c r="G29" i="36"/>
  <c r="G26" i="36"/>
  <c r="H25" i="36"/>
  <c r="G30" i="36"/>
  <c r="F26" i="36"/>
  <c r="G25" i="36"/>
  <c r="F25" i="36"/>
  <c r="F30" i="36"/>
  <c r="F29" i="36"/>
  <c r="F28" i="36"/>
  <c r="F27" i="36"/>
  <c r="E27" i="36"/>
  <c r="E26" i="36"/>
  <c r="D26" i="36"/>
  <c r="E30" i="36"/>
  <c r="E29" i="36"/>
  <c r="E28" i="36"/>
  <c r="E25" i="36"/>
  <c r="D30" i="36"/>
  <c r="D29" i="36"/>
  <c r="D28" i="36"/>
  <c r="D27" i="36"/>
  <c r="D25" i="36"/>
  <c r="V116" i="30"/>
  <c r="W116" i="30"/>
  <c r="V117" i="30"/>
  <c r="W117" i="30"/>
  <c r="V118" i="30"/>
  <c r="W118" i="30"/>
  <c r="V119" i="30"/>
  <c r="W119" i="30"/>
  <c r="V120" i="30"/>
  <c r="W120" i="30"/>
  <c r="V121" i="30"/>
  <c r="W121" i="30"/>
  <c r="V122" i="30"/>
  <c r="W122" i="30"/>
  <c r="V123" i="30"/>
  <c r="W123" i="30"/>
  <c r="A92" i="8"/>
  <c r="A90" i="8"/>
  <c r="A88" i="8"/>
  <c r="A86" i="8"/>
  <c r="A84" i="8"/>
  <c r="A82" i="8"/>
  <c r="A80" i="8"/>
  <c r="A78" i="8"/>
  <c r="A76" i="8"/>
  <c r="A74" i="8"/>
  <c r="A72" i="8"/>
  <c r="A70" i="8"/>
  <c r="A68" i="8"/>
  <c r="A66" i="8"/>
  <c r="A64" i="8"/>
  <c r="A62" i="8"/>
  <c r="A60" i="8"/>
  <c r="A58" i="8"/>
  <c r="A56" i="8"/>
  <c r="A54" i="8"/>
  <c r="A52" i="8"/>
  <c r="A50" i="8"/>
  <c r="A48" i="8"/>
  <c r="A46" i="8"/>
  <c r="A44" i="8"/>
  <c r="A42" i="8"/>
  <c r="B126" i="35"/>
  <c r="E126" i="35"/>
  <c r="B113" i="35"/>
  <c r="E113" i="35"/>
  <c r="A101" i="35"/>
  <c r="B101" i="35" s="1"/>
  <c r="E101" i="35"/>
  <c r="A102" i="35"/>
  <c r="B102" i="35" s="1"/>
  <c r="E102" i="35"/>
  <c r="B139" i="35"/>
  <c r="B140" i="35"/>
  <c r="B141" i="35"/>
  <c r="B142" i="35"/>
  <c r="B143" i="35"/>
  <c r="B144" i="35"/>
  <c r="B145" i="35"/>
  <c r="B146" i="35"/>
  <c r="B147" i="35"/>
  <c r="B148" i="35"/>
  <c r="B149" i="35"/>
  <c r="B150" i="35"/>
  <c r="B151" i="35"/>
  <c r="B152" i="35"/>
  <c r="B153" i="35"/>
  <c r="B154" i="35"/>
  <c r="B155" i="35"/>
  <c r="B156" i="35"/>
  <c r="B138" i="35"/>
  <c r="E138" i="35"/>
  <c r="E139" i="35"/>
  <c r="E140" i="35"/>
  <c r="E141" i="35"/>
  <c r="E142" i="35"/>
  <c r="E143" i="35"/>
  <c r="E144" i="35"/>
  <c r="E145" i="35"/>
  <c r="E146" i="35"/>
  <c r="E147" i="35"/>
  <c r="E148" i="35"/>
  <c r="E149" i="35"/>
  <c r="E150" i="35"/>
  <c r="E151" i="35"/>
  <c r="E152" i="35"/>
  <c r="E153" i="35"/>
  <c r="E154" i="35"/>
  <c r="E155" i="35"/>
  <c r="E156" i="35"/>
  <c r="E105" i="35"/>
  <c r="E106" i="35"/>
  <c r="E107" i="35"/>
  <c r="E108" i="35"/>
  <c r="E109" i="35"/>
  <c r="E110" i="35"/>
  <c r="E111" i="35"/>
  <c r="E112" i="35"/>
  <c r="E114" i="35"/>
  <c r="E115" i="35"/>
  <c r="E116" i="35"/>
  <c r="E117" i="35"/>
  <c r="E118" i="35"/>
  <c r="E119" i="35"/>
  <c r="E120" i="35"/>
  <c r="E121" i="35"/>
  <c r="E122" i="35"/>
  <c r="E123" i="35"/>
  <c r="E124" i="35"/>
  <c r="E125" i="35"/>
  <c r="E127" i="35"/>
  <c r="E128" i="35"/>
  <c r="E129" i="35"/>
  <c r="E130" i="35"/>
  <c r="E131" i="35"/>
  <c r="E132" i="35"/>
  <c r="E133" i="35"/>
  <c r="E134" i="35"/>
  <c r="E135" i="35"/>
  <c r="E136" i="35"/>
  <c r="E137" i="35"/>
  <c r="B106" i="35"/>
  <c r="B107" i="35"/>
  <c r="B108" i="35"/>
  <c r="B109" i="35"/>
  <c r="B110" i="35"/>
  <c r="B111" i="35"/>
  <c r="B112" i="35"/>
  <c r="B114" i="35"/>
  <c r="B115" i="35"/>
  <c r="B116" i="35"/>
  <c r="B117" i="35"/>
  <c r="B118" i="35"/>
  <c r="B119" i="35"/>
  <c r="B120" i="35"/>
  <c r="B121" i="35"/>
  <c r="B122" i="35"/>
  <c r="B123" i="35"/>
  <c r="B124" i="35"/>
  <c r="B125" i="35"/>
  <c r="B127" i="35"/>
  <c r="B128" i="35"/>
  <c r="B129" i="35"/>
  <c r="B130" i="35"/>
  <c r="B131" i="35"/>
  <c r="B132" i="35"/>
  <c r="B133" i="35"/>
  <c r="B134" i="35"/>
  <c r="B135" i="35"/>
  <c r="B136" i="35"/>
  <c r="B137" i="35"/>
  <c r="E104" i="35"/>
  <c r="B105" i="35"/>
  <c r="A87" i="35"/>
  <c r="B87" i="35" s="1"/>
  <c r="E87" i="35"/>
  <c r="A88" i="35"/>
  <c r="B88" i="35" s="1"/>
  <c r="E88" i="35"/>
  <c r="A89" i="35"/>
  <c r="B89" i="35" s="1"/>
  <c r="E89" i="35"/>
  <c r="A90" i="35"/>
  <c r="B90" i="35" s="1"/>
  <c r="E90" i="35"/>
  <c r="A91" i="35"/>
  <c r="B91" i="35" s="1"/>
  <c r="E91" i="35"/>
  <c r="A92" i="35"/>
  <c r="B92" i="35" s="1"/>
  <c r="E92" i="35"/>
  <c r="A93" i="35"/>
  <c r="B93" i="35" s="1"/>
  <c r="E93" i="35"/>
  <c r="A94" i="35"/>
  <c r="B94" i="35" s="1"/>
  <c r="E94" i="35"/>
  <c r="A95" i="35"/>
  <c r="B95" i="35" s="1"/>
  <c r="E95" i="35"/>
  <c r="A96" i="35"/>
  <c r="B96" i="35" s="1"/>
  <c r="E96" i="35"/>
  <c r="A97" i="35"/>
  <c r="B97" i="35" s="1"/>
  <c r="E97" i="35"/>
  <c r="A98" i="35"/>
  <c r="B98" i="35" s="1"/>
  <c r="E98" i="35"/>
  <c r="A99" i="35"/>
  <c r="B99" i="35" s="1"/>
  <c r="E99" i="35"/>
  <c r="A100" i="35"/>
  <c r="B100" i="35" s="1"/>
  <c r="E100" i="35"/>
  <c r="A103" i="35"/>
  <c r="B103" i="35" s="1"/>
  <c r="E103" i="35"/>
  <c r="A104" i="35"/>
  <c r="B104" i="35" s="1"/>
  <c r="E86" i="35"/>
  <c r="B85" i="35"/>
  <c r="A86" i="35"/>
  <c r="B86" i="35" s="1"/>
  <c r="E54" i="35"/>
  <c r="E55" i="35"/>
  <c r="E56" i="35"/>
  <c r="E57" i="35"/>
  <c r="E58" i="35"/>
  <c r="E59" i="35"/>
  <c r="E60" i="35"/>
  <c r="E61" i="35"/>
  <c r="E62" i="35"/>
  <c r="E63" i="35"/>
  <c r="E64" i="35"/>
  <c r="E65" i="35"/>
  <c r="E66" i="35"/>
  <c r="E67" i="35"/>
  <c r="E68" i="35"/>
  <c r="E69" i="35"/>
  <c r="E70" i="35"/>
  <c r="E71" i="35"/>
  <c r="E72" i="35"/>
  <c r="E73" i="35"/>
  <c r="E74" i="35"/>
  <c r="E75" i="35"/>
  <c r="E76" i="35"/>
  <c r="E77" i="35"/>
  <c r="E78" i="35"/>
  <c r="E79" i="35"/>
  <c r="E80" i="35"/>
  <c r="E81" i="35"/>
  <c r="E82" i="35"/>
  <c r="E83" i="35"/>
  <c r="E84" i="35"/>
  <c r="E85" i="35"/>
  <c r="E53" i="35"/>
  <c r="B54" i="35"/>
  <c r="B55" i="35"/>
  <c r="B56" i="35"/>
  <c r="B57" i="35"/>
  <c r="B58" i="35"/>
  <c r="B59" i="35"/>
  <c r="B60" i="35"/>
  <c r="B61" i="35"/>
  <c r="B62" i="35"/>
  <c r="B63" i="35"/>
  <c r="B64" i="35"/>
  <c r="B65" i="35"/>
  <c r="B66" i="35"/>
  <c r="B67" i="35"/>
  <c r="B68" i="35"/>
  <c r="B69" i="35"/>
  <c r="B70" i="35"/>
  <c r="B71" i="35"/>
  <c r="B72" i="35"/>
  <c r="B73" i="35"/>
  <c r="B74" i="35"/>
  <c r="B75" i="35"/>
  <c r="B76" i="35"/>
  <c r="B77" i="35"/>
  <c r="B78" i="35"/>
  <c r="B79" i="35"/>
  <c r="B80" i="35"/>
  <c r="B81" i="35"/>
  <c r="B82" i="35"/>
  <c r="B83" i="35"/>
  <c r="B84" i="35"/>
  <c r="B53" i="35"/>
  <c r="D129" i="29"/>
  <c r="E129" i="29"/>
  <c r="F129" i="29"/>
  <c r="G129" i="29"/>
  <c r="H129" i="29"/>
  <c r="I129" i="29"/>
  <c r="J129" i="29"/>
  <c r="D130" i="29"/>
  <c r="E130" i="29"/>
  <c r="F130" i="29"/>
  <c r="G130" i="29"/>
  <c r="H130" i="29"/>
  <c r="I130" i="29"/>
  <c r="J130" i="29"/>
  <c r="D131" i="29"/>
  <c r="E131" i="29"/>
  <c r="F131" i="29"/>
  <c r="G131" i="29"/>
  <c r="H131" i="29"/>
  <c r="I131" i="29"/>
  <c r="J131" i="29"/>
  <c r="D132" i="29"/>
  <c r="E132" i="29"/>
  <c r="F132" i="29"/>
  <c r="G132" i="29"/>
  <c r="H132" i="29"/>
  <c r="I132" i="29"/>
  <c r="J132" i="29"/>
  <c r="D133" i="29"/>
  <c r="E133" i="29"/>
  <c r="F133" i="29"/>
  <c r="G133" i="29"/>
  <c r="H133" i="29"/>
  <c r="I133" i="29"/>
  <c r="J133" i="29"/>
  <c r="D134" i="29"/>
  <c r="E134" i="29"/>
  <c r="F134" i="29"/>
  <c r="G134" i="29"/>
  <c r="H134" i="29"/>
  <c r="I134" i="29"/>
  <c r="J134" i="29"/>
  <c r="D135" i="29"/>
  <c r="E135" i="29"/>
  <c r="F135" i="29"/>
  <c r="G135" i="29"/>
  <c r="H135" i="29"/>
  <c r="I135" i="29"/>
  <c r="J135" i="29"/>
  <c r="D136" i="29"/>
  <c r="E136" i="29"/>
  <c r="F136" i="29"/>
  <c r="G136" i="29"/>
  <c r="H136" i="29"/>
  <c r="I136" i="29"/>
  <c r="J136" i="29"/>
  <c r="D137" i="29"/>
  <c r="E137" i="29"/>
  <c r="F137" i="29"/>
  <c r="G137" i="29"/>
  <c r="H137" i="29"/>
  <c r="I137" i="29"/>
  <c r="J137" i="29"/>
  <c r="D138" i="29"/>
  <c r="E138" i="29"/>
  <c r="F138" i="29"/>
  <c r="G138" i="29"/>
  <c r="H138" i="29"/>
  <c r="I138" i="29"/>
  <c r="J138" i="29"/>
  <c r="D139" i="29"/>
  <c r="E139" i="29"/>
  <c r="F139" i="29"/>
  <c r="G139" i="29"/>
  <c r="H139" i="29"/>
  <c r="I139" i="29"/>
  <c r="J139" i="29"/>
  <c r="D140" i="29"/>
  <c r="E140" i="29"/>
  <c r="F140" i="29"/>
  <c r="G140" i="29"/>
  <c r="H140" i="29"/>
  <c r="I140" i="29"/>
  <c r="J140" i="29"/>
  <c r="D141" i="29"/>
  <c r="E141" i="29"/>
  <c r="F141" i="29"/>
  <c r="G141" i="29"/>
  <c r="H141" i="29"/>
  <c r="I141" i="29"/>
  <c r="J141" i="29"/>
  <c r="D142" i="29"/>
  <c r="E142" i="29"/>
  <c r="F142" i="29"/>
  <c r="G142" i="29"/>
  <c r="H142" i="29"/>
  <c r="I142" i="29"/>
  <c r="J142" i="29"/>
  <c r="D143" i="29"/>
  <c r="E143" i="29"/>
  <c r="F143" i="29"/>
  <c r="G143" i="29"/>
  <c r="H143" i="29"/>
  <c r="I143" i="29"/>
  <c r="J143" i="29"/>
  <c r="D144" i="29"/>
  <c r="E144" i="29"/>
  <c r="F144" i="29"/>
  <c r="G144" i="29"/>
  <c r="H144" i="29"/>
  <c r="I144" i="29"/>
  <c r="J144" i="29"/>
  <c r="D145" i="29"/>
  <c r="E145" i="29"/>
  <c r="F145" i="29"/>
  <c r="G145" i="29"/>
  <c r="H145" i="29"/>
  <c r="I145" i="29"/>
  <c r="J145" i="29"/>
  <c r="D146" i="29"/>
  <c r="E146" i="29"/>
  <c r="F146" i="29"/>
  <c r="G146" i="29"/>
  <c r="H146" i="29"/>
  <c r="I146" i="29"/>
  <c r="J146" i="29"/>
  <c r="D147" i="29"/>
  <c r="E147" i="29"/>
  <c r="F147" i="29"/>
  <c r="G147" i="29"/>
  <c r="H147" i="29"/>
  <c r="I147" i="29"/>
  <c r="J147" i="29"/>
  <c r="D148" i="29"/>
  <c r="E148" i="29"/>
  <c r="F148" i="29"/>
  <c r="G148" i="29"/>
  <c r="H148" i="29"/>
  <c r="I148" i="29"/>
  <c r="J148" i="29"/>
  <c r="D149" i="29"/>
  <c r="E149" i="29"/>
  <c r="F149" i="29"/>
  <c r="G149" i="29"/>
  <c r="H149" i="29"/>
  <c r="I149" i="29"/>
  <c r="J149" i="29"/>
  <c r="D150" i="29"/>
  <c r="E150" i="29"/>
  <c r="F150" i="29"/>
  <c r="G150" i="29"/>
  <c r="H150" i="29"/>
  <c r="I150" i="29"/>
  <c r="J150" i="29"/>
  <c r="D151" i="29"/>
  <c r="E151" i="29"/>
  <c r="F151" i="29"/>
  <c r="G151" i="29"/>
  <c r="H151" i="29"/>
  <c r="I151" i="29"/>
  <c r="J151" i="29"/>
  <c r="D152" i="29"/>
  <c r="E152" i="29"/>
  <c r="F152" i="29"/>
  <c r="G152" i="29"/>
  <c r="H152" i="29"/>
  <c r="I152" i="29"/>
  <c r="J152" i="29"/>
  <c r="D153" i="29"/>
  <c r="E153" i="29"/>
  <c r="F153" i="29"/>
  <c r="G153" i="29"/>
  <c r="H153" i="29"/>
  <c r="I153" i="29"/>
  <c r="J153" i="29"/>
  <c r="D154" i="29"/>
  <c r="E154" i="29"/>
  <c r="F154" i="29"/>
  <c r="G154" i="29"/>
  <c r="H154" i="29"/>
  <c r="I154" i="29"/>
  <c r="J154" i="29"/>
  <c r="D155" i="29"/>
  <c r="E155" i="29"/>
  <c r="F155" i="29"/>
  <c r="G155" i="29"/>
  <c r="H155" i="29"/>
  <c r="I155" i="29"/>
  <c r="J155" i="29"/>
  <c r="D156" i="29"/>
  <c r="E156" i="29"/>
  <c r="F156" i="29"/>
  <c r="G156" i="29"/>
  <c r="H156" i="29"/>
  <c r="I156" i="29"/>
  <c r="J156" i="29"/>
  <c r="D157" i="29"/>
  <c r="E157" i="29"/>
  <c r="F157" i="29"/>
  <c r="G157" i="29"/>
  <c r="H157" i="29"/>
  <c r="I157" i="29"/>
  <c r="J157" i="29"/>
  <c r="D158" i="29"/>
  <c r="E158" i="29"/>
  <c r="F158" i="29"/>
  <c r="G158" i="29"/>
  <c r="H158" i="29"/>
  <c r="I158" i="29"/>
  <c r="J158" i="29"/>
  <c r="D159" i="29"/>
  <c r="E159" i="29"/>
  <c r="F159" i="29"/>
  <c r="G159" i="29"/>
  <c r="H159" i="29"/>
  <c r="I159" i="29"/>
  <c r="J159" i="29"/>
  <c r="D160" i="29"/>
  <c r="E160" i="29"/>
  <c r="F160" i="29"/>
  <c r="G160" i="29"/>
  <c r="H160" i="29"/>
  <c r="I160" i="29"/>
  <c r="J160" i="29"/>
  <c r="D161" i="29"/>
  <c r="E161" i="29"/>
  <c r="F161" i="29"/>
  <c r="G161" i="29"/>
  <c r="H161" i="29"/>
  <c r="I161" i="29"/>
  <c r="J161" i="29"/>
  <c r="D162" i="29"/>
  <c r="E162" i="29"/>
  <c r="F162" i="29"/>
  <c r="G162" i="29"/>
  <c r="H162" i="29"/>
  <c r="I162" i="29"/>
  <c r="J162" i="29"/>
  <c r="D163" i="29"/>
  <c r="E163" i="29"/>
  <c r="F163" i="29"/>
  <c r="G163" i="29"/>
  <c r="H163" i="29"/>
  <c r="I163" i="29"/>
  <c r="J163" i="29"/>
  <c r="D164" i="29"/>
  <c r="E164" i="29"/>
  <c r="F164" i="29"/>
  <c r="G164" i="29"/>
  <c r="H164" i="29"/>
  <c r="I164" i="29"/>
  <c r="J164" i="29"/>
  <c r="D165" i="29"/>
  <c r="E165" i="29"/>
  <c r="F165" i="29"/>
  <c r="G165" i="29"/>
  <c r="H165" i="29"/>
  <c r="I165" i="29"/>
  <c r="J165" i="29"/>
  <c r="D166" i="29"/>
  <c r="E166" i="29"/>
  <c r="F166" i="29"/>
  <c r="G166" i="29"/>
  <c r="H166" i="29"/>
  <c r="I166" i="29"/>
  <c r="J166" i="29"/>
  <c r="D167" i="29"/>
  <c r="E167" i="29"/>
  <c r="F167" i="29"/>
  <c r="G167" i="29"/>
  <c r="H167" i="29"/>
  <c r="I167" i="29"/>
  <c r="J167" i="29"/>
  <c r="D168" i="29"/>
  <c r="E168" i="29"/>
  <c r="F168" i="29"/>
  <c r="G168" i="29"/>
  <c r="H168" i="29"/>
  <c r="I168" i="29"/>
  <c r="J168" i="29"/>
  <c r="D169" i="29"/>
  <c r="E169" i="29"/>
  <c r="F169" i="29"/>
  <c r="G169" i="29"/>
  <c r="H169" i="29"/>
  <c r="I169" i="29"/>
  <c r="J169" i="29"/>
  <c r="D170" i="29"/>
  <c r="E170" i="29"/>
  <c r="F170" i="29"/>
  <c r="G170" i="29"/>
  <c r="H170" i="29"/>
  <c r="I170" i="29"/>
  <c r="J170" i="29"/>
  <c r="EJ1" i="34" l="1"/>
  <c r="EI1" i="34"/>
  <c r="EG1" i="34"/>
  <c r="EH2" i="34" s="1"/>
  <c r="EE1" i="34"/>
  <c r="EF2" i="34" s="1"/>
  <c r="EA1" i="34"/>
  <c r="EB2" i="34" s="1"/>
  <c r="DW1" i="34"/>
  <c r="DX2" i="34" s="1"/>
  <c r="DZ35" i="34"/>
  <c r="DZ7" i="34"/>
  <c r="DZ9" i="34"/>
  <c r="DZ11" i="34"/>
  <c r="DZ13" i="34"/>
  <c r="DZ15" i="34"/>
  <c r="DZ17" i="34"/>
  <c r="DZ19" i="34"/>
  <c r="DZ21" i="34"/>
  <c r="DZ23" i="34"/>
  <c r="DZ25" i="34"/>
  <c r="DZ27" i="34"/>
  <c r="DZ29" i="34"/>
  <c r="DZ31" i="34"/>
  <c r="DZ33" i="34"/>
  <c r="DZ5" i="34"/>
  <c r="DU12" i="34"/>
  <c r="DU15" i="34"/>
  <c r="DU17" i="34"/>
  <c r="DU19" i="34"/>
  <c r="DU21" i="34"/>
  <c r="DU23" i="34"/>
  <c r="DU25" i="34"/>
  <c r="DU27" i="34"/>
  <c r="DU29" i="34"/>
  <c r="DU31" i="34"/>
  <c r="DU33" i="34"/>
  <c r="DU35" i="34"/>
  <c r="DU37" i="34"/>
  <c r="DU39" i="34"/>
  <c r="DU41" i="34"/>
  <c r="DU43" i="34"/>
  <c r="DU45" i="34"/>
  <c r="DU47" i="34"/>
  <c r="DU49" i="34"/>
  <c r="DU51" i="34"/>
  <c r="DU53" i="34"/>
  <c r="DU55" i="34"/>
  <c r="DU57" i="34"/>
  <c r="DU59" i="34"/>
  <c r="DU61" i="34"/>
  <c r="DU63" i="34"/>
  <c r="DU65" i="34"/>
  <c r="DU67" i="34"/>
  <c r="DU69" i="34"/>
  <c r="DU71" i="34"/>
  <c r="DU73" i="34"/>
  <c r="DU75" i="34"/>
  <c r="DU77" i="34"/>
  <c r="DU79" i="34"/>
  <c r="DU81" i="34"/>
  <c r="DU83" i="34"/>
  <c r="DU85" i="34"/>
  <c r="DU87" i="34"/>
  <c r="DU89" i="34"/>
  <c r="DU91" i="34"/>
  <c r="DU93" i="34"/>
  <c r="DU95" i="34"/>
  <c r="DU97" i="34"/>
  <c r="DU99" i="34"/>
  <c r="DU101" i="34"/>
  <c r="DU103" i="34"/>
  <c r="DU13" i="34"/>
  <c r="DU8" i="34"/>
  <c r="DU10" i="34"/>
  <c r="DU6" i="34"/>
  <c r="DU4" i="34"/>
  <c r="C176" i="34"/>
  <c r="B176" i="34"/>
  <c r="A176" i="34"/>
  <c r="C175" i="34"/>
  <c r="B175" i="34"/>
  <c r="A175" i="34"/>
  <c r="C174" i="34"/>
  <c r="A174" i="34"/>
  <c r="DS1" i="34"/>
  <c r="DT2" i="34" s="1"/>
  <c r="C173" i="34"/>
  <c r="A173" i="34"/>
  <c r="C172" i="34"/>
  <c r="A172" i="34"/>
  <c r="C171" i="34"/>
  <c r="B171" i="34"/>
  <c r="A171" i="34"/>
  <c r="A170" i="34"/>
  <c r="A169" i="34"/>
  <c r="C170" i="34"/>
  <c r="B170" i="34"/>
  <c r="C169" i="34"/>
  <c r="B169" i="34"/>
  <c r="C168" i="34"/>
  <c r="B168" i="34"/>
  <c r="A168" i="34"/>
  <c r="DM2" i="34"/>
  <c r="DM1" i="34" s="1"/>
  <c r="DL2" i="34"/>
  <c r="DL1" i="34" s="1"/>
  <c r="DJ2" i="34"/>
  <c r="DJ1" i="34" s="1"/>
  <c r="DK2" i="34"/>
  <c r="DK1" i="34" s="1"/>
  <c r="DI2" i="34"/>
  <c r="DI1" i="34" s="1"/>
  <c r="DC1" i="34"/>
  <c r="DD2" i="34" s="1"/>
  <c r="DE1" i="34"/>
  <c r="DF2" i="34" s="1"/>
  <c r="DG1" i="34"/>
  <c r="DH2" i="34" s="1"/>
  <c r="C166" i="34"/>
  <c r="F164" i="34" s="1"/>
  <c r="B166" i="34"/>
  <c r="A166" i="34"/>
  <c r="C165" i="34"/>
  <c r="B165" i="34"/>
  <c r="A165" i="34"/>
  <c r="C164" i="34"/>
  <c r="B164" i="34"/>
  <c r="A164" i="34"/>
  <c r="C162" i="34"/>
  <c r="A163" i="34"/>
  <c r="CJ1" i="34"/>
  <c r="CK1" i="34" s="1"/>
  <c r="C163" i="34"/>
  <c r="F161" i="34" s="1"/>
  <c r="B163" i="34"/>
  <c r="B162" i="34"/>
  <c r="A162" i="34"/>
  <c r="C161" i="34"/>
  <c r="B161" i="34"/>
  <c r="A161" i="34"/>
  <c r="CF1" i="34"/>
  <c r="CG2" i="34" s="1"/>
  <c r="C159" i="34"/>
  <c r="B159" i="34"/>
  <c r="A159" i="34"/>
  <c r="C158" i="34"/>
  <c r="B158" i="34"/>
  <c r="A158" i="34"/>
  <c r="C157" i="34"/>
  <c r="B157" i="34"/>
  <c r="A157" i="34"/>
  <c r="F157" i="34" s="1"/>
  <c r="D72" i="29"/>
  <c r="E72" i="29"/>
  <c r="F72" i="29"/>
  <c r="G158" i="34" s="1"/>
  <c r="G72" i="29"/>
  <c r="H158" i="34" s="1"/>
  <c r="H72" i="29"/>
  <c r="I72" i="29"/>
  <c r="J158" i="34" s="1"/>
  <c r="J72" i="29"/>
  <c r="K158" i="34" s="1"/>
  <c r="D73" i="29"/>
  <c r="E73" i="29"/>
  <c r="F73" i="29"/>
  <c r="G73" i="29"/>
  <c r="H73" i="29"/>
  <c r="I73" i="29"/>
  <c r="J73" i="29"/>
  <c r="D74" i="29"/>
  <c r="E74" i="29"/>
  <c r="F74" i="29"/>
  <c r="G74" i="29"/>
  <c r="H74" i="29"/>
  <c r="I74" i="29"/>
  <c r="J74" i="29"/>
  <c r="D75" i="29"/>
  <c r="E75" i="29"/>
  <c r="F75" i="29"/>
  <c r="G75" i="29"/>
  <c r="H75" i="29"/>
  <c r="I75" i="29"/>
  <c r="J75" i="29"/>
  <c r="D76" i="29"/>
  <c r="E76" i="29"/>
  <c r="F76" i="29"/>
  <c r="G162" i="34" s="1"/>
  <c r="H161" i="34" s="1"/>
  <c r="G76" i="29"/>
  <c r="H162" i="34" s="1"/>
  <c r="H76" i="29"/>
  <c r="I76" i="29"/>
  <c r="J162" i="34" s="1"/>
  <c r="J76" i="29"/>
  <c r="K162" i="34" s="1"/>
  <c r="D77" i="29"/>
  <c r="E77" i="29"/>
  <c r="F77" i="29"/>
  <c r="G77" i="29"/>
  <c r="H77" i="29"/>
  <c r="I77" i="29"/>
  <c r="J77" i="29"/>
  <c r="D78" i="29"/>
  <c r="E78" i="29"/>
  <c r="F78" i="29"/>
  <c r="G78" i="29"/>
  <c r="H78" i="29"/>
  <c r="I78" i="29"/>
  <c r="J78" i="29"/>
  <c r="D79" i="29"/>
  <c r="E79" i="29"/>
  <c r="F79" i="29"/>
  <c r="G165" i="34" s="1"/>
  <c r="H164" i="34" s="1"/>
  <c r="G79" i="29"/>
  <c r="H165" i="34" s="1"/>
  <c r="H79" i="29"/>
  <c r="I79" i="29"/>
  <c r="J165" i="34" s="1"/>
  <c r="J79" i="29"/>
  <c r="K165" i="34" s="1"/>
  <c r="D80" i="29"/>
  <c r="E80" i="29"/>
  <c r="F80" i="29"/>
  <c r="G80" i="29"/>
  <c r="H80" i="29"/>
  <c r="I80" i="29"/>
  <c r="J80" i="29"/>
  <c r="D81" i="29"/>
  <c r="E81" i="29"/>
  <c r="F81" i="29"/>
  <c r="G81" i="29"/>
  <c r="H81" i="29"/>
  <c r="I81" i="29"/>
  <c r="J81" i="29"/>
  <c r="D82" i="29"/>
  <c r="E82" i="29"/>
  <c r="F82" i="29"/>
  <c r="G82" i="29"/>
  <c r="H82" i="29"/>
  <c r="I82" i="29"/>
  <c r="J82" i="29"/>
  <c r="D83" i="29"/>
  <c r="E83" i="29"/>
  <c r="F83" i="29"/>
  <c r="G169" i="34" s="1"/>
  <c r="G83" i="29"/>
  <c r="H169" i="34" s="1"/>
  <c r="H83" i="29"/>
  <c r="I83" i="29"/>
  <c r="J169" i="34" s="1"/>
  <c r="J83" i="29"/>
  <c r="K169" i="34" s="1"/>
  <c r="D84" i="29"/>
  <c r="E84" i="29"/>
  <c r="F84" i="29"/>
  <c r="G84" i="29"/>
  <c r="H84" i="29"/>
  <c r="I84" i="29"/>
  <c r="J84" i="29"/>
  <c r="D85" i="29"/>
  <c r="E85" i="29"/>
  <c r="F85" i="29"/>
  <c r="G85" i="29"/>
  <c r="H85" i="29"/>
  <c r="I85" i="29"/>
  <c r="J85" i="29"/>
  <c r="D86" i="29"/>
  <c r="E86" i="29"/>
  <c r="F86" i="29"/>
  <c r="G86" i="29"/>
  <c r="H86" i="29"/>
  <c r="I86" i="29"/>
  <c r="J86" i="29"/>
  <c r="D87" i="29"/>
  <c r="E87" i="29"/>
  <c r="F87" i="29"/>
  <c r="G87" i="29"/>
  <c r="H87" i="29"/>
  <c r="I87" i="29"/>
  <c r="J87" i="29"/>
  <c r="D88" i="29"/>
  <c r="E88" i="29"/>
  <c r="F88" i="29"/>
  <c r="G88" i="29"/>
  <c r="H88" i="29"/>
  <c r="I88" i="29"/>
  <c r="J88" i="29"/>
  <c r="D89" i="29"/>
  <c r="E89" i="29"/>
  <c r="F89" i="29"/>
  <c r="G89" i="29"/>
  <c r="H89" i="29"/>
  <c r="I89" i="29"/>
  <c r="J89" i="29"/>
  <c r="D90" i="29"/>
  <c r="E90" i="29"/>
  <c r="F90" i="29"/>
  <c r="G90" i="29"/>
  <c r="H90" i="29"/>
  <c r="I90" i="29"/>
  <c r="J90" i="29"/>
  <c r="D91" i="29"/>
  <c r="E91" i="29"/>
  <c r="F91" i="29"/>
  <c r="G91" i="29"/>
  <c r="H91" i="29"/>
  <c r="I91" i="29"/>
  <c r="J91" i="29"/>
  <c r="D92" i="29"/>
  <c r="E92" i="29"/>
  <c r="F92" i="29"/>
  <c r="G92" i="29"/>
  <c r="H92" i="29"/>
  <c r="I92" i="29"/>
  <c r="J92" i="29"/>
  <c r="D93" i="29"/>
  <c r="E93" i="29"/>
  <c r="F93" i="29"/>
  <c r="G93" i="29"/>
  <c r="H93" i="29"/>
  <c r="I93" i="29"/>
  <c r="J93" i="29"/>
  <c r="D94" i="29"/>
  <c r="E94" i="29"/>
  <c r="F94" i="29"/>
  <c r="G94" i="29"/>
  <c r="H94" i="29"/>
  <c r="I94" i="29"/>
  <c r="J94" i="29"/>
  <c r="D95" i="29"/>
  <c r="E95" i="29"/>
  <c r="F95" i="29"/>
  <c r="G95" i="29"/>
  <c r="H95" i="29"/>
  <c r="I95" i="29"/>
  <c r="J95" i="29"/>
  <c r="D96" i="29"/>
  <c r="E96" i="29"/>
  <c r="F96" i="29"/>
  <c r="G96" i="29"/>
  <c r="H96" i="29"/>
  <c r="I96" i="29"/>
  <c r="J96" i="29"/>
  <c r="D97" i="29"/>
  <c r="E97" i="29"/>
  <c r="F97" i="29"/>
  <c r="G97" i="29"/>
  <c r="H97" i="29"/>
  <c r="I97" i="29"/>
  <c r="J97" i="29"/>
  <c r="D98" i="29"/>
  <c r="E98" i="29"/>
  <c r="F98" i="29"/>
  <c r="G98" i="29"/>
  <c r="H98" i="29"/>
  <c r="I98" i="29"/>
  <c r="J98" i="29"/>
  <c r="D99" i="29"/>
  <c r="E99" i="29"/>
  <c r="F99" i="29"/>
  <c r="G99" i="29"/>
  <c r="H99" i="29"/>
  <c r="I99" i="29"/>
  <c r="J99" i="29"/>
  <c r="D100" i="29"/>
  <c r="E100" i="29"/>
  <c r="F100" i="29"/>
  <c r="G100" i="29"/>
  <c r="H100" i="29"/>
  <c r="I100" i="29"/>
  <c r="J100" i="29"/>
  <c r="D101" i="29"/>
  <c r="E101" i="29"/>
  <c r="F101" i="29"/>
  <c r="G101" i="29"/>
  <c r="H101" i="29"/>
  <c r="I101" i="29"/>
  <c r="J101" i="29"/>
  <c r="D102" i="29"/>
  <c r="E102" i="29"/>
  <c r="F102" i="29"/>
  <c r="G102" i="29"/>
  <c r="H102" i="29"/>
  <c r="I102" i="29"/>
  <c r="J102" i="29"/>
  <c r="D103" i="29"/>
  <c r="E103" i="29"/>
  <c r="F103" i="29"/>
  <c r="G103" i="29"/>
  <c r="H103" i="29"/>
  <c r="I103" i="29"/>
  <c r="J103" i="29"/>
  <c r="D104" i="29"/>
  <c r="E104" i="29"/>
  <c r="F104" i="29"/>
  <c r="G104" i="29"/>
  <c r="H104" i="29"/>
  <c r="I104" i="29"/>
  <c r="J104" i="29"/>
  <c r="D105" i="29"/>
  <c r="E105" i="29"/>
  <c r="F105" i="29"/>
  <c r="G105" i="29"/>
  <c r="H105" i="29"/>
  <c r="I105" i="29"/>
  <c r="J105" i="29"/>
  <c r="D106" i="29"/>
  <c r="E106" i="29"/>
  <c r="F106" i="29"/>
  <c r="G106" i="29"/>
  <c r="H106" i="29"/>
  <c r="I106" i="29"/>
  <c r="J106" i="29"/>
  <c r="D107" i="29"/>
  <c r="E107" i="29"/>
  <c r="F107" i="29"/>
  <c r="G107" i="29"/>
  <c r="H107" i="29"/>
  <c r="I107" i="29"/>
  <c r="J107" i="29"/>
  <c r="D108" i="29"/>
  <c r="E108" i="29"/>
  <c r="F108" i="29"/>
  <c r="G108" i="29"/>
  <c r="H108" i="29"/>
  <c r="I108" i="29"/>
  <c r="J108" i="29"/>
  <c r="D109" i="29"/>
  <c r="E109" i="29"/>
  <c r="F109" i="29"/>
  <c r="G109" i="29"/>
  <c r="H109" i="29"/>
  <c r="I109" i="29"/>
  <c r="J109" i="29"/>
  <c r="D110" i="29"/>
  <c r="E110" i="29"/>
  <c r="F110" i="29"/>
  <c r="G110" i="29"/>
  <c r="H110" i="29"/>
  <c r="I110" i="29"/>
  <c r="J110" i="29"/>
  <c r="D111" i="29"/>
  <c r="E111" i="29"/>
  <c r="F111" i="29"/>
  <c r="G111" i="29"/>
  <c r="H111" i="29"/>
  <c r="I111" i="29"/>
  <c r="J111" i="29"/>
  <c r="D112" i="29"/>
  <c r="E112" i="29"/>
  <c r="F112" i="29"/>
  <c r="G112" i="29"/>
  <c r="H112" i="29"/>
  <c r="I112" i="29"/>
  <c r="J112" i="29"/>
  <c r="D113" i="29"/>
  <c r="E113" i="29"/>
  <c r="F113" i="29"/>
  <c r="G113" i="29"/>
  <c r="H113" i="29"/>
  <c r="I113" i="29"/>
  <c r="J113" i="29"/>
  <c r="D114" i="29"/>
  <c r="E114" i="29"/>
  <c r="F114" i="29"/>
  <c r="G114" i="29"/>
  <c r="H114" i="29"/>
  <c r="I114" i="29"/>
  <c r="J114" i="29"/>
  <c r="D115" i="29"/>
  <c r="E115" i="29"/>
  <c r="F115" i="29"/>
  <c r="G115" i="29"/>
  <c r="H115" i="29"/>
  <c r="I115" i="29"/>
  <c r="J115" i="29"/>
  <c r="D116" i="29"/>
  <c r="E116" i="29"/>
  <c r="F116" i="29"/>
  <c r="G116" i="29"/>
  <c r="H116" i="29"/>
  <c r="I116" i="29"/>
  <c r="J116" i="29"/>
  <c r="D117" i="29"/>
  <c r="E117" i="29"/>
  <c r="F117" i="29"/>
  <c r="G117" i="29"/>
  <c r="H117" i="29"/>
  <c r="I117" i="29"/>
  <c r="J117" i="29"/>
  <c r="D118" i="29"/>
  <c r="E118" i="29"/>
  <c r="F118" i="29"/>
  <c r="G118" i="29"/>
  <c r="H118" i="29"/>
  <c r="I118" i="29"/>
  <c r="J118" i="29"/>
  <c r="D119" i="29"/>
  <c r="E119" i="29"/>
  <c r="F119" i="29"/>
  <c r="G119" i="29"/>
  <c r="H119" i="29"/>
  <c r="I119" i="29"/>
  <c r="J119" i="29"/>
  <c r="D120" i="29"/>
  <c r="E120" i="29"/>
  <c r="F120" i="29"/>
  <c r="G120" i="29"/>
  <c r="H120" i="29"/>
  <c r="I120" i="29"/>
  <c r="J120" i="29"/>
  <c r="D121" i="29"/>
  <c r="E121" i="29"/>
  <c r="F121" i="29"/>
  <c r="G121" i="29"/>
  <c r="H121" i="29"/>
  <c r="I121" i="29"/>
  <c r="J121" i="29"/>
  <c r="D122" i="29"/>
  <c r="E122" i="29"/>
  <c r="F122" i="29"/>
  <c r="G122" i="29"/>
  <c r="H122" i="29"/>
  <c r="I122" i="29"/>
  <c r="J122" i="29"/>
  <c r="D123" i="29"/>
  <c r="E123" i="29"/>
  <c r="F123" i="29"/>
  <c r="G123" i="29"/>
  <c r="H123" i="29"/>
  <c r="I123" i="29"/>
  <c r="J123" i="29"/>
  <c r="D124" i="29"/>
  <c r="E124" i="29"/>
  <c r="F124" i="29"/>
  <c r="G124" i="29"/>
  <c r="H124" i="29"/>
  <c r="I124" i="29"/>
  <c r="J124" i="29"/>
  <c r="D125" i="29"/>
  <c r="E125" i="29"/>
  <c r="F125" i="29"/>
  <c r="G125" i="29"/>
  <c r="H125" i="29"/>
  <c r="I125" i="29"/>
  <c r="J125" i="29"/>
  <c r="D126" i="29"/>
  <c r="E126" i="29"/>
  <c r="F126" i="29"/>
  <c r="G126" i="29"/>
  <c r="H126" i="29"/>
  <c r="I126" i="29"/>
  <c r="J126" i="29"/>
  <c r="D127" i="29"/>
  <c r="E127" i="29"/>
  <c r="F127" i="29"/>
  <c r="G127" i="29"/>
  <c r="H127" i="29"/>
  <c r="I127" i="29"/>
  <c r="J127" i="29"/>
  <c r="D128" i="29"/>
  <c r="E128" i="29"/>
  <c r="F128" i="29"/>
  <c r="G128" i="29"/>
  <c r="H128" i="29"/>
  <c r="I128" i="29"/>
  <c r="J128" i="29"/>
  <c r="C156" i="34"/>
  <c r="B156" i="34"/>
  <c r="A156" i="34"/>
  <c r="C155" i="34"/>
  <c r="B155" i="34"/>
  <c r="A155" i="34"/>
  <c r="C154" i="34"/>
  <c r="B154" i="34"/>
  <c r="A154" i="34"/>
  <c r="F154" i="34" s="1"/>
  <c r="CC1" i="34"/>
  <c r="CD2" i="34" s="1"/>
  <c r="BZ1" i="34"/>
  <c r="CA2" i="34" s="1"/>
  <c r="C152" i="34"/>
  <c r="B152" i="34"/>
  <c r="A152" i="34"/>
  <c r="C151" i="34"/>
  <c r="B151" i="34"/>
  <c r="A151" i="34"/>
  <c r="C150" i="34"/>
  <c r="B150" i="34"/>
  <c r="A150" i="34"/>
  <c r="BX1" i="34"/>
  <c r="BY2" i="34" s="1"/>
  <c r="C149" i="34"/>
  <c r="B149" i="34"/>
  <c r="A149" i="34"/>
  <c r="C148" i="34"/>
  <c r="B148" i="34"/>
  <c r="A148" i="34"/>
  <c r="C147" i="34"/>
  <c r="B147" i="34"/>
  <c r="A147" i="34"/>
  <c r="BV1" i="34"/>
  <c r="BW2" i="34" s="1"/>
  <c r="BT1" i="34"/>
  <c r="BU1" i="34" s="1"/>
  <c r="C145" i="34"/>
  <c r="B145" i="34"/>
  <c r="A145" i="34"/>
  <c r="C144" i="34"/>
  <c r="B144" i="34"/>
  <c r="A144" i="34"/>
  <c r="C143" i="34"/>
  <c r="B143" i="34"/>
  <c r="F143" i="34" s="1"/>
  <c r="A143" i="34"/>
  <c r="C142" i="34"/>
  <c r="B142" i="34"/>
  <c r="A142" i="34"/>
  <c r="C141" i="34"/>
  <c r="B141" i="34"/>
  <c r="A141" i="34"/>
  <c r="C140" i="34"/>
  <c r="B140" i="34"/>
  <c r="A140" i="34"/>
  <c r="BR1" i="34"/>
  <c r="BS2" i="34" s="1"/>
  <c r="H138" i="34"/>
  <c r="C138" i="34"/>
  <c r="K138" i="34" s="1"/>
  <c r="B138" i="34"/>
  <c r="A138" i="34"/>
  <c r="C137" i="34"/>
  <c r="B137" i="34"/>
  <c r="A137" i="34"/>
  <c r="C136" i="34"/>
  <c r="B136" i="34"/>
  <c r="A136" i="34"/>
  <c r="F136" i="34" s="1"/>
  <c r="H135" i="34"/>
  <c r="BP1" i="34"/>
  <c r="BQ2" i="34" s="1"/>
  <c r="BF1" i="34"/>
  <c r="BG2" i="34" s="1"/>
  <c r="BL1" i="34"/>
  <c r="BM1" i="34" s="1"/>
  <c r="C135" i="34"/>
  <c r="B135" i="34"/>
  <c r="A135" i="34"/>
  <c r="C134" i="34"/>
  <c r="B134" i="34"/>
  <c r="A134" i="34"/>
  <c r="C133" i="34"/>
  <c r="B133" i="34"/>
  <c r="A133" i="34"/>
  <c r="F133" i="34" s="1"/>
  <c r="C131" i="34"/>
  <c r="K129" i="34" s="1"/>
  <c r="B131" i="34"/>
  <c r="A131" i="34"/>
  <c r="C130" i="34"/>
  <c r="B130" i="34"/>
  <c r="A130" i="34"/>
  <c r="C129" i="34"/>
  <c r="B129" i="34"/>
  <c r="A129" i="34"/>
  <c r="F129" i="34" s="1"/>
  <c r="C128" i="34"/>
  <c r="K126" i="34" s="1"/>
  <c r="B128" i="34"/>
  <c r="A128" i="34"/>
  <c r="C127" i="34"/>
  <c r="B127" i="34"/>
  <c r="A127" i="34"/>
  <c r="C126" i="34"/>
  <c r="B126" i="34"/>
  <c r="A126" i="34"/>
  <c r="F126" i="34" s="1"/>
  <c r="AZ1" i="34"/>
  <c r="BA2" i="34" s="1"/>
  <c r="D42" i="29"/>
  <c r="E42" i="29"/>
  <c r="F42" i="29"/>
  <c r="G42" i="29"/>
  <c r="H42" i="29"/>
  <c r="I42" i="29"/>
  <c r="J42" i="29"/>
  <c r="D43" i="29"/>
  <c r="E43" i="29"/>
  <c r="F43" i="29"/>
  <c r="G43" i="29"/>
  <c r="H43" i="29"/>
  <c r="I43" i="29"/>
  <c r="J43" i="29"/>
  <c r="D44" i="29"/>
  <c r="E44" i="29"/>
  <c r="F44" i="29"/>
  <c r="G130" i="34" s="1"/>
  <c r="G44" i="29"/>
  <c r="H130" i="34" s="1"/>
  <c r="H44" i="29"/>
  <c r="I44" i="29"/>
  <c r="J130" i="34" s="1"/>
  <c r="J44" i="29"/>
  <c r="K130" i="34" s="1"/>
  <c r="D45" i="29"/>
  <c r="E45" i="29"/>
  <c r="F45" i="29"/>
  <c r="G45" i="29"/>
  <c r="H45" i="29"/>
  <c r="I45" i="29"/>
  <c r="J45" i="29"/>
  <c r="D46" i="29"/>
  <c r="E46" i="29"/>
  <c r="F46" i="29"/>
  <c r="G46" i="29"/>
  <c r="H46" i="29"/>
  <c r="I46" i="29"/>
  <c r="J46" i="29"/>
  <c r="D47" i="29"/>
  <c r="E47" i="29"/>
  <c r="F47" i="29"/>
  <c r="G47" i="29"/>
  <c r="H47" i="29"/>
  <c r="I47" i="29"/>
  <c r="J47" i="29"/>
  <c r="D48" i="29"/>
  <c r="E48" i="29"/>
  <c r="F48" i="29"/>
  <c r="G134" i="34" s="1"/>
  <c r="G48" i="29"/>
  <c r="H134" i="34" s="1"/>
  <c r="H48" i="29"/>
  <c r="I48" i="29"/>
  <c r="J134" i="34" s="1"/>
  <c r="J48" i="29"/>
  <c r="K134" i="34" s="1"/>
  <c r="D49" i="29"/>
  <c r="E49" i="29"/>
  <c r="F49" i="29"/>
  <c r="G49" i="29"/>
  <c r="H49" i="29"/>
  <c r="I49" i="29"/>
  <c r="J49" i="29"/>
  <c r="D50" i="29"/>
  <c r="E50" i="29"/>
  <c r="F50" i="29"/>
  <c r="G50" i="29"/>
  <c r="H50" i="29"/>
  <c r="I50" i="29"/>
  <c r="J50" i="29"/>
  <c r="D51" i="29"/>
  <c r="E51" i="29"/>
  <c r="F51" i="29"/>
  <c r="G137" i="34" s="1"/>
  <c r="G51" i="29"/>
  <c r="H137" i="34" s="1"/>
  <c r="H51" i="29"/>
  <c r="I51" i="29"/>
  <c r="J137" i="34" s="1"/>
  <c r="J51" i="29"/>
  <c r="K137" i="34" s="1"/>
  <c r="D52" i="29"/>
  <c r="E52" i="29"/>
  <c r="F52" i="29"/>
  <c r="G52" i="29"/>
  <c r="H52" i="29"/>
  <c r="I52" i="29"/>
  <c r="J52" i="29"/>
  <c r="D53" i="29"/>
  <c r="E53" i="29"/>
  <c r="F53" i="29"/>
  <c r="G53" i="29"/>
  <c r="H53" i="29"/>
  <c r="I53" i="29"/>
  <c r="J53" i="29"/>
  <c r="D54" i="29"/>
  <c r="E54" i="29"/>
  <c r="F54" i="29"/>
  <c r="G54" i="29"/>
  <c r="H54" i="29"/>
  <c r="I54" i="29"/>
  <c r="J54" i="29"/>
  <c r="D55" i="29"/>
  <c r="E55" i="29"/>
  <c r="F55" i="29"/>
  <c r="G141" i="34" s="1"/>
  <c r="G55" i="29"/>
  <c r="H141" i="34" s="1"/>
  <c r="H55" i="29"/>
  <c r="I55" i="29"/>
  <c r="J141" i="34" s="1"/>
  <c r="J55" i="29"/>
  <c r="K141" i="34" s="1"/>
  <c r="D56" i="29"/>
  <c r="E56" i="29"/>
  <c r="F56" i="29"/>
  <c r="G56" i="29"/>
  <c r="H56" i="29"/>
  <c r="I56" i="29"/>
  <c r="J56" i="29"/>
  <c r="D57" i="29"/>
  <c r="E57" i="29"/>
  <c r="F57" i="29"/>
  <c r="G57" i="29"/>
  <c r="H57" i="29"/>
  <c r="I57" i="29"/>
  <c r="J57" i="29"/>
  <c r="D58" i="29"/>
  <c r="E58" i="29"/>
  <c r="F58" i="29"/>
  <c r="G144" i="34" s="1"/>
  <c r="G58" i="29"/>
  <c r="H144" i="34" s="1"/>
  <c r="H58" i="29"/>
  <c r="I58" i="29"/>
  <c r="J144" i="34" s="1"/>
  <c r="J58" i="29"/>
  <c r="K144" i="34" s="1"/>
  <c r="D59" i="29"/>
  <c r="E59" i="29"/>
  <c r="F59" i="29"/>
  <c r="G59" i="29"/>
  <c r="H59" i="29"/>
  <c r="I59" i="29"/>
  <c r="J59" i="29"/>
  <c r="D60" i="29"/>
  <c r="E60" i="29"/>
  <c r="F60" i="29"/>
  <c r="G60" i="29"/>
  <c r="H60" i="29"/>
  <c r="I60" i="29"/>
  <c r="J60" i="29"/>
  <c r="D61" i="29"/>
  <c r="E61" i="29"/>
  <c r="F61" i="29"/>
  <c r="G61" i="29"/>
  <c r="H61" i="29"/>
  <c r="I61" i="29"/>
  <c r="J61" i="29"/>
  <c r="D62" i="29"/>
  <c r="E62" i="29"/>
  <c r="F62" i="29"/>
  <c r="G148" i="34" s="1"/>
  <c r="G62" i="29"/>
  <c r="H148" i="34" s="1"/>
  <c r="H62" i="29"/>
  <c r="I62" i="29"/>
  <c r="J148" i="34" s="1"/>
  <c r="J62" i="29"/>
  <c r="K148" i="34" s="1"/>
  <c r="D63" i="29"/>
  <c r="E63" i="29"/>
  <c r="F63" i="29"/>
  <c r="G63" i="29"/>
  <c r="H63" i="29"/>
  <c r="I63" i="29"/>
  <c r="J63" i="29"/>
  <c r="D64" i="29"/>
  <c r="E64" i="29"/>
  <c r="F64" i="29"/>
  <c r="G64" i="29"/>
  <c r="H64" i="29"/>
  <c r="I64" i="29"/>
  <c r="J64" i="29"/>
  <c r="D65" i="29"/>
  <c r="E65" i="29"/>
  <c r="F65" i="29"/>
  <c r="G151" i="34" s="1"/>
  <c r="G65" i="29"/>
  <c r="H151" i="34" s="1"/>
  <c r="H65" i="29"/>
  <c r="I65" i="29"/>
  <c r="J151" i="34" s="1"/>
  <c r="J65" i="29"/>
  <c r="K151" i="34" s="1"/>
  <c r="D66" i="29"/>
  <c r="E66" i="29"/>
  <c r="F66" i="29"/>
  <c r="G66" i="29"/>
  <c r="H66" i="29"/>
  <c r="I66" i="29"/>
  <c r="J66" i="29"/>
  <c r="D67" i="29"/>
  <c r="E67" i="29"/>
  <c r="F67" i="29"/>
  <c r="G67" i="29"/>
  <c r="H67" i="29"/>
  <c r="I67" i="29"/>
  <c r="J67" i="29"/>
  <c r="D68" i="29"/>
  <c r="E68" i="29"/>
  <c r="F68" i="29"/>
  <c r="G68" i="29"/>
  <c r="H68" i="29"/>
  <c r="I68" i="29"/>
  <c r="J68" i="29"/>
  <c r="D69" i="29"/>
  <c r="E69" i="29"/>
  <c r="F69" i="29"/>
  <c r="G155" i="34" s="1"/>
  <c r="G69" i="29"/>
  <c r="H155" i="34" s="1"/>
  <c r="H69" i="29"/>
  <c r="I69" i="29"/>
  <c r="J155" i="34" s="1"/>
  <c r="J69" i="29"/>
  <c r="K155" i="34" s="1"/>
  <c r="D70" i="29"/>
  <c r="E70" i="29"/>
  <c r="F70" i="29"/>
  <c r="G70" i="29"/>
  <c r="H70" i="29"/>
  <c r="I70" i="29"/>
  <c r="J70" i="29"/>
  <c r="D71" i="29"/>
  <c r="E71" i="29"/>
  <c r="F71" i="29"/>
  <c r="G71" i="29"/>
  <c r="H71" i="29"/>
  <c r="I71" i="29"/>
  <c r="J71" i="29"/>
  <c r="D39" i="29"/>
  <c r="E39" i="29"/>
  <c r="F39" i="29"/>
  <c r="G39" i="29"/>
  <c r="H39" i="29"/>
  <c r="I39" i="29"/>
  <c r="J39" i="29"/>
  <c r="D40" i="29"/>
  <c r="E40" i="29"/>
  <c r="F40" i="29"/>
  <c r="G40" i="29"/>
  <c r="H40" i="29"/>
  <c r="I40" i="29"/>
  <c r="J40" i="29"/>
  <c r="D41" i="29"/>
  <c r="E41" i="29"/>
  <c r="F41" i="29"/>
  <c r="G127" i="34" s="1"/>
  <c r="G41" i="29"/>
  <c r="H127" i="34" s="1"/>
  <c r="H41" i="29"/>
  <c r="I41" i="29"/>
  <c r="J127" i="34" s="1"/>
  <c r="J41" i="29"/>
  <c r="K127" i="34" s="1"/>
  <c r="C124" i="34"/>
  <c r="B124" i="34"/>
  <c r="A124" i="34"/>
  <c r="C123" i="34"/>
  <c r="B123" i="34"/>
  <c r="A123" i="34"/>
  <c r="C122" i="34"/>
  <c r="B122" i="34"/>
  <c r="F122" i="34" s="1"/>
  <c r="A122" i="34"/>
  <c r="E173" i="34" l="1"/>
  <c r="EH1" i="34"/>
  <c r="G179" i="34" s="1"/>
  <c r="EF1" i="34"/>
  <c r="E179" i="34" s="1"/>
  <c r="EC1" i="34"/>
  <c r="EB1" i="34"/>
  <c r="DY1" i="34"/>
  <c r="DX1" i="34"/>
  <c r="DU1" i="34"/>
  <c r="DT1" i="34"/>
  <c r="DQ1" i="34"/>
  <c r="DR1" i="34"/>
  <c r="DP1" i="34"/>
  <c r="DO1" i="34"/>
  <c r="DN1" i="34"/>
  <c r="E172" i="34" s="1"/>
  <c r="H168" i="34"/>
  <c r="D169" i="34"/>
  <c r="E170" i="34" s="1"/>
  <c r="DD1" i="34"/>
  <c r="DF1" i="34"/>
  <c r="DH1" i="34"/>
  <c r="J166" i="34"/>
  <c r="I166" i="34"/>
  <c r="I165" i="34"/>
  <c r="E166" i="34"/>
  <c r="G166" i="34" s="1"/>
  <c r="H166" i="34" s="1"/>
  <c r="F165" i="34"/>
  <c r="E165" i="34"/>
  <c r="J163" i="34"/>
  <c r="E163" i="34"/>
  <c r="I163" i="34"/>
  <c r="CK2" i="34"/>
  <c r="F162" i="34"/>
  <c r="H136" i="34"/>
  <c r="I162" i="34"/>
  <c r="E162" i="34"/>
  <c r="CG1" i="34"/>
  <c r="F150" i="34"/>
  <c r="F151" i="34" s="1"/>
  <c r="F152" i="34" s="1"/>
  <c r="K157" i="34"/>
  <c r="H157" i="34"/>
  <c r="F158" i="34"/>
  <c r="I158" i="34"/>
  <c r="K154" i="34"/>
  <c r="E158" i="34"/>
  <c r="H154" i="34"/>
  <c r="CD1" i="34"/>
  <c r="CB2" i="34"/>
  <c r="CA1" i="34"/>
  <c r="F155" i="34" s="1"/>
  <c r="BY1" i="34"/>
  <c r="BW1" i="34"/>
  <c r="F147" i="34" s="1"/>
  <c r="F144" i="34"/>
  <c r="E145" i="34" s="1"/>
  <c r="I144" i="34"/>
  <c r="E144" i="34"/>
  <c r="BS1" i="34"/>
  <c r="F140" i="34" s="1"/>
  <c r="I141" i="34" s="1"/>
  <c r="I137" i="34"/>
  <c r="F137" i="34"/>
  <c r="E138" i="34" s="1"/>
  <c r="E137" i="34"/>
  <c r="I138" i="34"/>
  <c r="I135" i="34"/>
  <c r="BQ1" i="34"/>
  <c r="BG1" i="34"/>
  <c r="BO1" i="34"/>
  <c r="K135" i="34" s="1"/>
  <c r="BM2" i="34"/>
  <c r="I129" i="34"/>
  <c r="I126" i="34"/>
  <c r="G131" i="34"/>
  <c r="H131" i="34"/>
  <c r="I131" i="34"/>
  <c r="J131" i="34"/>
  <c r="J128" i="34"/>
  <c r="H128" i="34"/>
  <c r="I128" i="34"/>
  <c r="G128" i="34"/>
  <c r="F130" i="34"/>
  <c r="F131" i="34"/>
  <c r="F128" i="34"/>
  <c r="H129" i="34"/>
  <c r="I130" i="34"/>
  <c r="E130" i="34"/>
  <c r="H126" i="34"/>
  <c r="I127" i="34"/>
  <c r="F127" i="34"/>
  <c r="E127" i="34"/>
  <c r="BA1" i="34"/>
  <c r="I124" i="34"/>
  <c r="K122" i="34"/>
  <c r="H122" i="34" a="1"/>
  <c r="H122" i="34" s="1"/>
  <c r="E124" i="34"/>
  <c r="AX1" i="34"/>
  <c r="AY1" i="34" s="1"/>
  <c r="AV1" i="34"/>
  <c r="AW1" i="34" s="1"/>
  <c r="AT1" i="34"/>
  <c r="AU2" i="34" s="1"/>
  <c r="AR1" i="34"/>
  <c r="AS2" i="34" s="1"/>
  <c r="AP1" i="34"/>
  <c r="AQ2" i="34" s="1"/>
  <c r="AK1" i="34"/>
  <c r="AL2" i="34" s="1"/>
  <c r="AI1" i="34"/>
  <c r="AJ1" i="34" s="1"/>
  <c r="AG1" i="34"/>
  <c r="AH2" i="34" s="1"/>
  <c r="Z1" i="34"/>
  <c r="AA2" i="34" s="1"/>
  <c r="AD1" i="34"/>
  <c r="AE2" i="34" s="1"/>
  <c r="W1" i="34"/>
  <c r="X2" i="34" s="1"/>
  <c r="U1" i="34"/>
  <c r="V2" i="34" s="1"/>
  <c r="C121" i="34"/>
  <c r="B121" i="34"/>
  <c r="A121" i="34"/>
  <c r="C120" i="34"/>
  <c r="B120" i="34"/>
  <c r="A120" i="34"/>
  <c r="C119" i="34"/>
  <c r="B119" i="34"/>
  <c r="F119" i="34" s="1"/>
  <c r="A119" i="34"/>
  <c r="C117" i="34"/>
  <c r="J115" i="34" s="1"/>
  <c r="B117" i="34"/>
  <c r="A117" i="34"/>
  <c r="C116" i="34"/>
  <c r="B116" i="34"/>
  <c r="A116" i="34"/>
  <c r="H115" i="34" s="1"/>
  <c r="C115" i="34"/>
  <c r="B115" i="34"/>
  <c r="A115" i="34"/>
  <c r="F115" i="34" s="1"/>
  <c r="C114" i="34"/>
  <c r="J112" i="34" s="1"/>
  <c r="B114" i="34"/>
  <c r="A114" i="34"/>
  <c r="C113" i="34"/>
  <c r="B113" i="34"/>
  <c r="A113" i="34"/>
  <c r="H112" i="34" s="1"/>
  <c r="C112" i="34"/>
  <c r="B112" i="34"/>
  <c r="A112" i="34"/>
  <c r="C110" i="34"/>
  <c r="B110" i="34"/>
  <c r="A110" i="34"/>
  <c r="C109" i="34"/>
  <c r="B109" i="34"/>
  <c r="A109" i="34"/>
  <c r="C108" i="34"/>
  <c r="B108" i="34"/>
  <c r="A108" i="34"/>
  <c r="A106" i="34"/>
  <c r="B106" i="34"/>
  <c r="C106" i="34"/>
  <c r="A107" i="34"/>
  <c r="B107" i="34"/>
  <c r="C107" i="34"/>
  <c r="C105" i="34"/>
  <c r="B105" i="34"/>
  <c r="A105" i="34"/>
  <c r="F105" i="34" s="1"/>
  <c r="K1" i="34"/>
  <c r="K2" i="34" s="1"/>
  <c r="H1" i="34"/>
  <c r="H2" i="34" s="1"/>
  <c r="J1" i="34"/>
  <c r="J2" i="34" s="1"/>
  <c r="I1" i="34"/>
  <c r="I2" i="34" s="1"/>
  <c r="E177" i="34" l="1"/>
  <c r="G171" i="34"/>
  <c r="F168" i="34"/>
  <c r="D170" i="34"/>
  <c r="I168" i="34" s="1"/>
  <c r="G163" i="34"/>
  <c r="H163" i="34" s="1"/>
  <c r="E151" i="34"/>
  <c r="I151" i="34"/>
  <c r="E155" i="34"/>
  <c r="I155" i="34"/>
  <c r="F148" i="34"/>
  <c r="F149" i="34" s="1"/>
  <c r="E148" i="34"/>
  <c r="I148" i="34"/>
  <c r="E141" i="34"/>
  <c r="F141" i="34"/>
  <c r="E142" i="34" s="1"/>
  <c r="I134" i="34"/>
  <c r="F134" i="34"/>
  <c r="E135" i="34" s="1"/>
  <c r="E134" i="34"/>
  <c r="K119" i="34"/>
  <c r="E121" i="34"/>
  <c r="AY2" i="34"/>
  <c r="K124" i="34" s="1"/>
  <c r="AW2" i="34"/>
  <c r="AU1" i="34"/>
  <c r="AS1" i="34"/>
  <c r="AQ1" i="34"/>
  <c r="AL1" i="34"/>
  <c r="AJ2" i="34"/>
  <c r="AH1" i="34"/>
  <c r="AF2" i="34"/>
  <c r="H119" i="34" a="1"/>
  <c r="H119" i="34" s="1"/>
  <c r="F112" i="34"/>
  <c r="H108" i="34"/>
  <c r="F108" i="34"/>
  <c r="H105" i="34"/>
  <c r="L92" i="8"/>
  <c r="L90" i="8"/>
  <c r="L88" i="8"/>
  <c r="L86" i="8"/>
  <c r="L84" i="8"/>
  <c r="L82" i="8"/>
  <c r="L80" i="8"/>
  <c r="L78" i="8"/>
  <c r="L76" i="8"/>
  <c r="L74" i="8"/>
  <c r="L72" i="8"/>
  <c r="L70" i="8"/>
  <c r="L68" i="8"/>
  <c r="L66" i="8"/>
  <c r="L64" i="8"/>
  <c r="L62" i="8"/>
  <c r="L60" i="8"/>
  <c r="L58" i="8"/>
  <c r="L56" i="8"/>
  <c r="L54" i="8"/>
  <c r="L52" i="8"/>
  <c r="L50" i="8"/>
  <c r="L48" i="8"/>
  <c r="L46" i="8"/>
  <c r="L44" i="8"/>
  <c r="L42" i="8"/>
  <c r="H92" i="8"/>
  <c r="I92" i="8" s="1"/>
  <c r="H90" i="8"/>
  <c r="I90" i="8" s="1"/>
  <c r="H88" i="8"/>
  <c r="I88" i="8" s="1"/>
  <c r="H86" i="8"/>
  <c r="I86" i="8" s="1"/>
  <c r="H84" i="8"/>
  <c r="I84" i="8" s="1"/>
  <c r="H82" i="8"/>
  <c r="I82" i="8" s="1"/>
  <c r="H80" i="8"/>
  <c r="I80" i="8" s="1"/>
  <c r="H78" i="8"/>
  <c r="I78" i="8" s="1"/>
  <c r="H76" i="8"/>
  <c r="I76" i="8" s="1"/>
  <c r="H74" i="8"/>
  <c r="I74" i="8" s="1"/>
  <c r="H72" i="8"/>
  <c r="I72" i="8" s="1"/>
  <c r="H70" i="8"/>
  <c r="I70" i="8" s="1"/>
  <c r="H68" i="8"/>
  <c r="I68" i="8" s="1"/>
  <c r="H66" i="8"/>
  <c r="I66" i="8" s="1"/>
  <c r="H64" i="8"/>
  <c r="I64" i="8" s="1"/>
  <c r="H62" i="8"/>
  <c r="I62" i="8" s="1"/>
  <c r="H60" i="8"/>
  <c r="I60" i="8" s="1"/>
  <c r="H58" i="8"/>
  <c r="I58" i="8" s="1"/>
  <c r="H56" i="8"/>
  <c r="I56" i="8" s="1"/>
  <c r="H54" i="8"/>
  <c r="I54" i="8" s="1"/>
  <c r="H52" i="8"/>
  <c r="I52" i="8" s="1"/>
  <c r="H50" i="8"/>
  <c r="I50" i="8" s="1"/>
  <c r="H48" i="8"/>
  <c r="I48" i="8" s="1"/>
  <c r="H46" i="8"/>
  <c r="I46" i="8" s="1"/>
  <c r="H44" i="8"/>
  <c r="I44" i="8" s="1"/>
  <c r="H42" i="8"/>
  <c r="I42" i="8" s="1"/>
  <c r="G168" i="34" l="1"/>
  <c r="B174" i="34"/>
  <c r="E176" i="34" s="1"/>
  <c r="B173" i="34"/>
  <c r="E175" i="34" s="1"/>
  <c r="B172" i="34"/>
  <c r="E174" i="34" s="1"/>
  <c r="F169" i="34"/>
  <c r="E169" i="34"/>
  <c r="I169" i="34"/>
  <c r="D168" i="34"/>
  <c r="K121" i="34"/>
  <c r="I121" i="34"/>
  <c r="T152" i="30"/>
  <c r="U138" i="30"/>
  <c r="X137" i="30"/>
  <c r="X138" i="30"/>
  <c r="V143" i="30"/>
  <c r="U143" i="30" s="1"/>
  <c r="D116" i="30" s="1"/>
  <c r="V144" i="30"/>
  <c r="U144" i="30" s="1"/>
  <c r="D118" i="30" s="1"/>
  <c r="V145" i="30"/>
  <c r="U145" i="30" s="1"/>
  <c r="D120" i="30" s="1"/>
  <c r="V146" i="30"/>
  <c r="U146" i="30" s="1"/>
  <c r="D122" i="30" s="1"/>
  <c r="V147" i="30"/>
  <c r="U147" i="30" s="1"/>
  <c r="D124" i="30" s="1"/>
  <c r="V148" i="30"/>
  <c r="U148" i="30" s="1"/>
  <c r="D125" i="30" s="1"/>
  <c r="V149" i="30"/>
  <c r="U149" i="30" s="1"/>
  <c r="D128" i="30" s="1"/>
  <c r="V150" i="30"/>
  <c r="U150" i="30" s="1"/>
  <c r="D130" i="30" s="1"/>
  <c r="V151" i="30"/>
  <c r="U151" i="30" s="1"/>
  <c r="D131" i="30" s="1"/>
  <c r="V142" i="30"/>
  <c r="U142" i="30" s="1"/>
  <c r="D114" i="30" s="1"/>
  <c r="S140" i="30"/>
  <c r="W143" i="30"/>
  <c r="W144" i="30"/>
  <c r="W145" i="30"/>
  <c r="W146" i="30"/>
  <c r="W147" i="30"/>
  <c r="W148" i="30"/>
  <c r="W149" i="30"/>
  <c r="W150" i="30"/>
  <c r="W151" i="30"/>
  <c r="W142" i="30"/>
  <c r="D121" i="30" l="1"/>
  <c r="E178" i="34"/>
  <c r="D127" i="30"/>
  <c r="D115" i="30"/>
  <c r="D119" i="30"/>
  <c r="D132" i="30"/>
  <c r="D129" i="30"/>
  <c r="D126" i="30"/>
  <c r="D123" i="30"/>
  <c r="D117" i="30"/>
  <c r="D113" i="30"/>
  <c r="F5" i="18"/>
  <c r="E5" i="18"/>
  <c r="D5" i="18"/>
  <c r="B5" i="18"/>
  <c r="A5" i="18"/>
  <c r="C4" i="18"/>
  <c r="R77" i="4" l="1"/>
  <c r="R78" i="4"/>
  <c r="R79" i="4"/>
  <c r="R80" i="4"/>
  <c r="R81" i="4"/>
  <c r="R82" i="4"/>
  <c r="R83" i="4"/>
  <c r="R84" i="4"/>
  <c r="R85" i="4"/>
  <c r="R86" i="4"/>
  <c r="R87" i="4"/>
  <c r="R88" i="4"/>
  <c r="R89" i="4"/>
  <c r="R90" i="4"/>
  <c r="R91" i="4"/>
  <c r="R92" i="4"/>
  <c r="Q77" i="4"/>
  <c r="Q78" i="4"/>
  <c r="Q79" i="4"/>
  <c r="Q80" i="4"/>
  <c r="Q81" i="4"/>
  <c r="Q82" i="4"/>
  <c r="Q83" i="4"/>
  <c r="Q84" i="4"/>
  <c r="Q85" i="4"/>
  <c r="Q86" i="4"/>
  <c r="Q87" i="4"/>
  <c r="Q88" i="4"/>
  <c r="Q89" i="4"/>
  <c r="Q90" i="4"/>
  <c r="Q91" i="4"/>
  <c r="Q92" i="4"/>
  <c r="P77" i="4"/>
  <c r="P78" i="4"/>
  <c r="P79" i="4"/>
  <c r="P80" i="4"/>
  <c r="P81" i="4"/>
  <c r="P82" i="4"/>
  <c r="P83" i="4"/>
  <c r="P84" i="4"/>
  <c r="P85" i="4"/>
  <c r="P86" i="4"/>
  <c r="P87" i="4"/>
  <c r="P88" i="4"/>
  <c r="P89" i="4"/>
  <c r="P90" i="4"/>
  <c r="P91" i="4"/>
  <c r="P92" i="4"/>
  <c r="O77" i="4"/>
  <c r="O78" i="4"/>
  <c r="O79" i="4"/>
  <c r="O80" i="4"/>
  <c r="O81" i="4"/>
  <c r="O82" i="4"/>
  <c r="O83" i="4"/>
  <c r="O84" i="4"/>
  <c r="O85" i="4"/>
  <c r="O86" i="4"/>
  <c r="O87" i="4"/>
  <c r="O88" i="4"/>
  <c r="O89" i="4"/>
  <c r="O90" i="4"/>
  <c r="O91" i="4"/>
  <c r="O92" i="4"/>
  <c r="N77" i="4"/>
  <c r="N78" i="4"/>
  <c r="N79" i="4"/>
  <c r="N80" i="4"/>
  <c r="N81" i="4"/>
  <c r="N82" i="4"/>
  <c r="N83" i="4"/>
  <c r="N84" i="4"/>
  <c r="N85" i="4"/>
  <c r="N86" i="4"/>
  <c r="N87" i="4"/>
  <c r="N88" i="4"/>
  <c r="N89" i="4"/>
  <c r="N90" i="4"/>
  <c r="N91" i="4"/>
  <c r="N92"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46" i="4"/>
  <c r="Q47" i="4"/>
  <c r="Q48" i="4"/>
  <c r="Q49" i="4"/>
  <c r="Q50" i="4"/>
  <c r="Q51" i="4"/>
  <c r="Q52" i="4"/>
  <c r="Q53" i="4"/>
  <c r="Q54" i="4"/>
  <c r="Q55" i="4"/>
  <c r="Q56" i="4"/>
  <c r="Q57" i="4"/>
  <c r="Q58" i="4"/>
  <c r="Q59" i="4"/>
  <c r="Q60" i="4"/>
  <c r="Q61" i="4"/>
  <c r="Q62" i="4"/>
  <c r="Q63" i="4"/>
  <c r="Q64" i="4"/>
  <c r="Q65" i="4"/>
  <c r="Q66" i="4"/>
  <c r="Q67" i="4"/>
  <c r="Q68" i="4"/>
  <c r="Q69" i="4"/>
  <c r="Q70" i="4"/>
  <c r="Q71" i="4"/>
  <c r="Q72" i="4"/>
  <c r="Q73" i="4"/>
  <c r="Q74" i="4"/>
  <c r="Q75" i="4"/>
  <c r="Q76" i="4"/>
  <c r="Q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74" i="4"/>
  <c r="O75" i="4"/>
  <c r="O76" i="4"/>
  <c r="O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46" i="4"/>
  <c r="B1" i="33" l="1"/>
  <c r="V102" i="30" l="1"/>
  <c r="W102" i="30"/>
  <c r="V103" i="30"/>
  <c r="W103" i="30"/>
  <c r="V104" i="30"/>
  <c r="W104" i="30"/>
  <c r="V105" i="30"/>
  <c r="W105" i="30"/>
  <c r="V106" i="30"/>
  <c r="W106" i="30"/>
  <c r="V107" i="30"/>
  <c r="W107" i="30"/>
  <c r="V108" i="30"/>
  <c r="W108" i="30"/>
  <c r="V109" i="30"/>
  <c r="W109" i="30"/>
  <c r="V110" i="30"/>
  <c r="W110" i="30"/>
  <c r="V111" i="30"/>
  <c r="W111" i="30"/>
  <c r="V112" i="30"/>
  <c r="W112" i="30"/>
  <c r="V113" i="30"/>
  <c r="W113" i="30"/>
  <c r="V114" i="30"/>
  <c r="W114" i="30"/>
  <c r="V115" i="30"/>
  <c r="W115" i="30"/>
  <c r="W101" i="30"/>
  <c r="V101" i="30"/>
  <c r="L205" i="30" l="1"/>
  <c r="L204" i="30"/>
  <c r="D59" i="30" l="1"/>
  <c r="D60" i="30"/>
  <c r="D61" i="30"/>
  <c r="D62" i="30"/>
  <c r="D63" i="30"/>
  <c r="D64" i="30"/>
  <c r="D65" i="30"/>
  <c r="D66" i="30"/>
  <c r="D67" i="30"/>
  <c r="D58" i="30"/>
  <c r="P155" i="30"/>
  <c r="P156" i="30"/>
  <c r="P157" i="30"/>
  <c r="P158" i="30"/>
  <c r="P159" i="30"/>
  <c r="P160" i="30"/>
  <c r="P161" i="30"/>
  <c r="P162" i="30"/>
  <c r="P163" i="30"/>
  <c r="P164" i="30"/>
  <c r="P165" i="30"/>
  <c r="P166" i="30"/>
  <c r="P167" i="30"/>
  <c r="P168" i="30"/>
  <c r="P169" i="30"/>
  <c r="P170" i="30"/>
  <c r="P171" i="30"/>
  <c r="P172" i="30"/>
  <c r="P173" i="30"/>
  <c r="P174" i="30"/>
  <c r="P175" i="30"/>
  <c r="P176" i="30"/>
  <c r="P177" i="30"/>
  <c r="P178" i="30"/>
  <c r="P179" i="30"/>
  <c r="P180" i="30"/>
  <c r="P154" i="30"/>
  <c r="R156" i="30"/>
  <c r="S156" i="30"/>
  <c r="T156" i="30"/>
  <c r="F14" i="30" l="1"/>
  <c r="G14" i="30" s="1"/>
  <c r="L101" i="30"/>
  <c r="N102" i="30" l="1"/>
  <c r="AA116" i="30"/>
  <c r="K58" i="30"/>
  <c r="K59" i="30"/>
  <c r="K60" i="30"/>
  <c r="K61" i="30"/>
  <c r="K62" i="30"/>
  <c r="K63" i="30"/>
  <c r="K64" i="30"/>
  <c r="K65" i="30"/>
  <c r="K66" i="30"/>
  <c r="K67" i="30"/>
  <c r="K68" i="30"/>
  <c r="K74" i="30"/>
  <c r="K76" i="30"/>
  <c r="K77" i="30"/>
  <c r="K81" i="30"/>
  <c r="D112" i="30"/>
  <c r="F87" i="30"/>
  <c r="E87" i="30"/>
  <c r="D87" i="30"/>
  <c r="F86" i="30"/>
  <c r="E86" i="30"/>
  <c r="D86" i="30"/>
  <c r="F48" i="30"/>
  <c r="G48" i="30"/>
  <c r="F49" i="30"/>
  <c r="G49" i="30"/>
  <c r="F50" i="30"/>
  <c r="G50" i="30"/>
  <c r="G47" i="30"/>
  <c r="F47" i="30"/>
  <c r="D82" i="30" l="1"/>
  <c r="D83" i="30"/>
  <c r="D84" i="30"/>
  <c r="D85" i="30"/>
  <c r="D81" i="30"/>
  <c r="D79" i="30"/>
  <c r="D78" i="30"/>
  <c r="D70" i="30"/>
  <c r="D71" i="30"/>
  <c r="D69" i="30"/>
  <c r="E59" i="30"/>
  <c r="G59" i="30" s="1"/>
  <c r="E60" i="30"/>
  <c r="G60" i="30" s="1"/>
  <c r="E61" i="30"/>
  <c r="G61" i="30" s="1"/>
  <c r="E62" i="30"/>
  <c r="G62" i="30" s="1"/>
  <c r="E63" i="30"/>
  <c r="G63" i="30" s="1"/>
  <c r="E64" i="30"/>
  <c r="G64" i="30" s="1"/>
  <c r="E65" i="30"/>
  <c r="G65" i="30" s="1"/>
  <c r="E66" i="30"/>
  <c r="G66" i="30" s="1"/>
  <c r="E67" i="30"/>
  <c r="G67" i="30" s="1"/>
  <c r="F67" i="30" s="1"/>
  <c r="E58" i="30"/>
  <c r="G58" i="30" s="1"/>
  <c r="E54" i="30"/>
  <c r="F54" i="30" s="1"/>
  <c r="D54" i="30"/>
  <c r="E55" i="30" s="1"/>
  <c r="F55" i="30" s="1"/>
  <c r="E53" i="30"/>
  <c r="E52" i="30"/>
  <c r="E51" i="30"/>
  <c r="D51" i="30"/>
  <c r="E50" i="30"/>
  <c r="E49" i="30"/>
  <c r="E48" i="30"/>
  <c r="E47" i="30"/>
  <c r="H47" i="30" s="1"/>
  <c r="D47" i="30"/>
  <c r="D46" i="30"/>
  <c r="H46" i="30" s="1"/>
  <c r="N110" i="30" s="1"/>
  <c r="E45" i="30"/>
  <c r="D45" i="30"/>
  <c r="D42" i="30"/>
  <c r="H42" i="30" s="1"/>
  <c r="L194" i="30" s="1"/>
  <c r="F41" i="30"/>
  <c r="E41" i="30"/>
  <c r="D41" i="30"/>
  <c r="D40" i="30"/>
  <c r="F39" i="30"/>
  <c r="F38" i="30"/>
  <c r="D39" i="30"/>
  <c r="E39" i="30"/>
  <c r="E38" i="30"/>
  <c r="D38" i="30"/>
  <c r="D37" i="30"/>
  <c r="H37" i="30" s="1"/>
  <c r="L123" i="30" s="1"/>
  <c r="D36" i="30"/>
  <c r="H36" i="30" s="1"/>
  <c r="L121" i="30" s="1"/>
  <c r="E33" i="30"/>
  <c r="F33" i="30"/>
  <c r="G33" i="30"/>
  <c r="D33" i="30"/>
  <c r="D32" i="30"/>
  <c r="E31" i="30"/>
  <c r="D31" i="30"/>
  <c r="D30" i="30"/>
  <c r="E30" i="30"/>
  <c r="E29" i="30"/>
  <c r="D29" i="30"/>
  <c r="L124" i="30" l="1"/>
  <c r="N111" i="30"/>
  <c r="H52" i="30"/>
  <c r="N150" i="30"/>
  <c r="F61" i="30"/>
  <c r="F64" i="30"/>
  <c r="F66" i="30"/>
  <c r="F65" i="30"/>
  <c r="F63" i="30"/>
  <c r="F62" i="30"/>
  <c r="F59" i="30"/>
  <c r="F60" i="30"/>
  <c r="F58" i="30"/>
  <c r="H82" i="30"/>
  <c r="H81" i="30"/>
  <c r="L136" i="30" s="1"/>
  <c r="H85" i="30"/>
  <c r="H84" i="30"/>
  <c r="L139" i="30" s="1"/>
  <c r="H83" i="30"/>
  <c r="L138" i="30" s="1"/>
  <c r="D80" i="30"/>
  <c r="H80" i="30" s="1"/>
  <c r="H78" i="30"/>
  <c r="D72" i="30"/>
  <c r="G55" i="30"/>
  <c r="H55" i="30" s="1"/>
  <c r="L132" i="30" s="1"/>
  <c r="G54" i="30"/>
  <c r="H54" i="30" s="1"/>
  <c r="E57" i="30"/>
  <c r="E56" i="30"/>
  <c r="H51" i="30"/>
  <c r="H53" i="30"/>
  <c r="L130" i="30" s="1"/>
  <c r="H49" i="30"/>
  <c r="L126" i="30" s="1"/>
  <c r="H50" i="30"/>
  <c r="L127" i="30" s="1"/>
  <c r="H48" i="30"/>
  <c r="H45" i="30"/>
  <c r="I37" i="30"/>
  <c r="K37" i="30" s="1"/>
  <c r="F26" i="30"/>
  <c r="E26" i="30"/>
  <c r="D26" i="30"/>
  <c r="D27" i="30"/>
  <c r="D25" i="30"/>
  <c r="K33" i="30"/>
  <c r="K34" i="30"/>
  <c r="K36" i="30"/>
  <c r="K42" i="30"/>
  <c r="K43" i="30"/>
  <c r="K44" i="30"/>
  <c r="K46" i="30"/>
  <c r="K47" i="30"/>
  <c r="D24" i="30"/>
  <c r="H24" i="30" s="1"/>
  <c r="K24" i="30" s="1"/>
  <c r="D23" i="30"/>
  <c r="H23" i="30" s="1"/>
  <c r="K23" i="30" s="1"/>
  <c r="D22" i="30"/>
  <c r="D21" i="30"/>
  <c r="H21" i="30" s="1"/>
  <c r="K21" i="30" s="1"/>
  <c r="D20" i="30"/>
  <c r="H20" i="30" s="1"/>
  <c r="D19" i="30"/>
  <c r="D18" i="30"/>
  <c r="H18" i="30" s="1"/>
  <c r="L106" i="30" s="1"/>
  <c r="D17" i="30"/>
  <c r="D16" i="30"/>
  <c r="H16" i="30" s="1"/>
  <c r="F15" i="30"/>
  <c r="E15" i="30"/>
  <c r="D15" i="30"/>
  <c r="D14" i="30"/>
  <c r="H14" i="30" s="1"/>
  <c r="K14" i="30" s="1"/>
  <c r="D11" i="30"/>
  <c r="D10" i="30"/>
  <c r="AA112" i="30" s="1"/>
  <c r="D13" i="30"/>
  <c r="H13" i="30" s="1"/>
  <c r="AA115" i="30" s="1"/>
  <c r="D12" i="30"/>
  <c r="H12" i="30" s="1"/>
  <c r="AA114" i="30" s="1"/>
  <c r="E9" i="30"/>
  <c r="D8" i="30"/>
  <c r="H8" i="30" s="1"/>
  <c r="D7" i="30"/>
  <c r="H7" i="30" s="1"/>
  <c r="AA108" i="30" s="1"/>
  <c r="D6" i="30"/>
  <c r="H6" i="30" s="1"/>
  <c r="AA107" i="30" s="1"/>
  <c r="D5" i="30"/>
  <c r="H5" i="30" s="1"/>
  <c r="AA106" i="30" s="1"/>
  <c r="D4" i="30"/>
  <c r="H4" i="30" s="1"/>
  <c r="AA105" i="30" s="1"/>
  <c r="D3" i="30"/>
  <c r="H3" i="30" s="1"/>
  <c r="AA104" i="30" s="1"/>
  <c r="E2" i="30"/>
  <c r="D2" i="30"/>
  <c r="N104" i="30" l="1"/>
  <c r="AA118" i="30"/>
  <c r="L115" i="30"/>
  <c r="AA109" i="30"/>
  <c r="L131" i="30"/>
  <c r="L129" i="30"/>
  <c r="L128" i="30"/>
  <c r="A10" i="33"/>
  <c r="L125" i="30"/>
  <c r="A9" i="33"/>
  <c r="L103" i="30"/>
  <c r="I25" i="30"/>
  <c r="N101" i="30"/>
  <c r="N151" i="30"/>
  <c r="K85" i="30"/>
  <c r="L140" i="30"/>
  <c r="K82" i="30"/>
  <c r="L137" i="30"/>
  <c r="K52" i="30"/>
  <c r="K53" i="30"/>
  <c r="K51" i="30"/>
  <c r="K48" i="30"/>
  <c r="K50" i="30"/>
  <c r="K49" i="30"/>
  <c r="K45" i="30"/>
  <c r="L110" i="30"/>
  <c r="K20" i="30"/>
  <c r="K18" i="30"/>
  <c r="K16" i="30"/>
  <c r="K3" i="30"/>
  <c r="M103" i="30"/>
  <c r="P102" i="30"/>
  <c r="K80" i="30"/>
  <c r="Q101" i="30"/>
  <c r="L151" i="30"/>
  <c r="N148" i="30"/>
  <c r="N167" i="30"/>
  <c r="L145" i="30"/>
  <c r="N144" i="30"/>
  <c r="L149" i="30"/>
  <c r="K83" i="30"/>
  <c r="H142" i="30"/>
  <c r="I17" i="30"/>
  <c r="H17" i="30"/>
  <c r="K84" i="30"/>
  <c r="H206" i="30"/>
  <c r="H79" i="30"/>
  <c r="N177" i="30" s="1"/>
  <c r="K78" i="30"/>
  <c r="H22" i="30"/>
  <c r="K22" i="30" s="1"/>
  <c r="J39" i="30"/>
  <c r="K55" i="30"/>
  <c r="F57" i="30"/>
  <c r="G57" i="30" s="1"/>
  <c r="H57" i="30" s="1"/>
  <c r="L134" i="30" s="1"/>
  <c r="F56" i="30"/>
  <c r="G56" i="30" s="1"/>
  <c r="H56" i="30" s="1"/>
  <c r="L133" i="30" s="1"/>
  <c r="H39" i="30"/>
  <c r="H38" i="30"/>
  <c r="J38" i="30"/>
  <c r="D35" i="30"/>
  <c r="L120" i="30" s="1"/>
  <c r="D34" i="30"/>
  <c r="E34" i="30"/>
  <c r="G34" i="30"/>
  <c r="F34" i="30"/>
  <c r="H19" i="30"/>
  <c r="H27" i="30"/>
  <c r="I27" i="30" s="1"/>
  <c r="L119" i="30" s="1"/>
  <c r="H25" i="30"/>
  <c r="H15" i="30"/>
  <c r="AB117" i="30" s="1"/>
  <c r="J17" i="30"/>
  <c r="J15" i="30"/>
  <c r="I15" i="30"/>
  <c r="AA117" i="30" s="1"/>
  <c r="I6" i="30"/>
  <c r="I12" i="30"/>
  <c r="K12" i="30" s="1"/>
  <c r="I7" i="30"/>
  <c r="I13" i="30"/>
  <c r="K13" i="30" s="1"/>
  <c r="D9" i="30"/>
  <c r="I8" i="30"/>
  <c r="K8" i="30" s="1"/>
  <c r="J7" i="30"/>
  <c r="J5" i="30"/>
  <c r="I5" i="30"/>
  <c r="I4" i="30"/>
  <c r="K4" i="30" s="1"/>
  <c r="H2" i="30"/>
  <c r="J2" i="30"/>
  <c r="I2" i="30"/>
  <c r="BF6" i="30"/>
  <c r="BF5" i="30"/>
  <c r="BF4" i="30"/>
  <c r="BF3" i="30"/>
  <c r="BF2" i="30"/>
  <c r="L114" i="30" l="1"/>
  <c r="AB108" i="30"/>
  <c r="K6" i="30"/>
  <c r="AB107" i="30"/>
  <c r="L112" i="30"/>
  <c r="AB106" i="30"/>
  <c r="J40" i="30"/>
  <c r="D76" i="30" s="1"/>
  <c r="A13" i="33"/>
  <c r="A11" i="33"/>
  <c r="A8" i="33"/>
  <c r="A2" i="33"/>
  <c r="A6" i="33"/>
  <c r="A5" i="33"/>
  <c r="A4" i="33"/>
  <c r="L109" i="30"/>
  <c r="N178" i="30"/>
  <c r="N176" i="30"/>
  <c r="N146" i="30"/>
  <c r="N173" i="30"/>
  <c r="N171" i="30"/>
  <c r="N170" i="30"/>
  <c r="N169" i="30"/>
  <c r="N143" i="30"/>
  <c r="N166" i="30"/>
  <c r="N145" i="30"/>
  <c r="N162" i="30"/>
  <c r="N179" i="30" s="1"/>
  <c r="N180" i="30" s="1"/>
  <c r="L150" i="30"/>
  <c r="N161" i="30"/>
  <c r="N149" i="30"/>
  <c r="L148" i="30"/>
  <c r="N156" i="30"/>
  <c r="N142" i="30"/>
  <c r="L144" i="30"/>
  <c r="L147" i="30"/>
  <c r="L142" i="30"/>
  <c r="L146" i="30"/>
  <c r="N147" i="30"/>
  <c r="N155" i="30"/>
  <c r="L143" i="30"/>
  <c r="G142" i="30"/>
  <c r="Q190" i="30" s="1"/>
  <c r="R190" i="30"/>
  <c r="G206" i="30"/>
  <c r="Q254" i="30" s="1"/>
  <c r="R254" i="30"/>
  <c r="K56" i="30"/>
  <c r="K57" i="30"/>
  <c r="L113" i="30"/>
  <c r="L108" i="30"/>
  <c r="L122" i="30"/>
  <c r="L105" i="30"/>
  <c r="L104" i="30"/>
  <c r="K79" i="30"/>
  <c r="P101" i="30"/>
  <c r="H134" i="30"/>
  <c r="J223" i="30"/>
  <c r="H157" i="30"/>
  <c r="J185" i="30"/>
  <c r="J184" i="30"/>
  <c r="J157" i="30"/>
  <c r="J142" i="30"/>
  <c r="J204" i="30"/>
  <c r="H195" i="30"/>
  <c r="J183" i="30"/>
  <c r="J199" i="30"/>
  <c r="J190" i="30"/>
  <c r="H190" i="30"/>
  <c r="H185" i="30"/>
  <c r="J195" i="30"/>
  <c r="H225" i="30"/>
  <c r="H204" i="30"/>
  <c r="H183" i="30"/>
  <c r="H199" i="30"/>
  <c r="J225" i="30"/>
  <c r="H223" i="30"/>
  <c r="J203" i="30"/>
  <c r="H203" i="30"/>
  <c r="H202" i="30"/>
  <c r="J202" i="30"/>
  <c r="H192" i="30"/>
  <c r="J182" i="30"/>
  <c r="H182" i="30"/>
  <c r="H178" i="30"/>
  <c r="H179" i="30"/>
  <c r="H181" i="30"/>
  <c r="H224" i="30"/>
  <c r="J178" i="30"/>
  <c r="J181" i="30"/>
  <c r="J224" i="30"/>
  <c r="J179" i="30"/>
  <c r="J180" i="30"/>
  <c r="H194" i="30"/>
  <c r="J207" i="30"/>
  <c r="H187" i="30"/>
  <c r="H180" i="30"/>
  <c r="J193" i="30"/>
  <c r="J191" i="30"/>
  <c r="H197" i="30"/>
  <c r="J194" i="30"/>
  <c r="J197" i="30"/>
  <c r="H191" i="30"/>
  <c r="H207" i="30"/>
  <c r="H200" i="30"/>
  <c r="J200" i="30"/>
  <c r="J187" i="30"/>
  <c r="H193" i="30"/>
  <c r="J188" i="30"/>
  <c r="J205" i="30"/>
  <c r="H189" i="30"/>
  <c r="H205" i="30"/>
  <c r="H188" i="30"/>
  <c r="J198" i="30"/>
  <c r="H198" i="30"/>
  <c r="H186" i="30"/>
  <c r="H210" i="30"/>
  <c r="J212" i="30"/>
  <c r="H218" i="30"/>
  <c r="J220" i="30"/>
  <c r="J215" i="30"/>
  <c r="H216" i="30"/>
  <c r="J213" i="30"/>
  <c r="J211" i="30"/>
  <c r="H217" i="30"/>
  <c r="J209" i="30"/>
  <c r="J217" i="30"/>
  <c r="H213" i="30"/>
  <c r="J210" i="30"/>
  <c r="H211" i="30"/>
  <c r="H219" i="30"/>
  <c r="H208" i="30"/>
  <c r="J218" i="30"/>
  <c r="J219" i="30"/>
  <c r="H212" i="30"/>
  <c r="H220" i="30"/>
  <c r="J208" i="30"/>
  <c r="H214" i="30"/>
  <c r="J216" i="30"/>
  <c r="H209" i="30"/>
  <c r="J214" i="30"/>
  <c r="H215" i="30"/>
  <c r="H221" i="30"/>
  <c r="J221" i="30"/>
  <c r="J201" i="30"/>
  <c r="H201" i="30"/>
  <c r="J206" i="30"/>
  <c r="J135" i="30"/>
  <c r="J159" i="30"/>
  <c r="H135" i="30"/>
  <c r="H159" i="30"/>
  <c r="J148" i="30"/>
  <c r="H148" i="30"/>
  <c r="J155" i="30"/>
  <c r="H155" i="30"/>
  <c r="H153" i="30"/>
  <c r="J149" i="30"/>
  <c r="H166" i="30"/>
  <c r="H149" i="30"/>
  <c r="J150" i="30"/>
  <c r="J166" i="30"/>
  <c r="J153" i="30"/>
  <c r="H150" i="30"/>
  <c r="H137" i="30"/>
  <c r="H169" i="30"/>
  <c r="J156" i="30"/>
  <c r="H156" i="30"/>
  <c r="J160" i="30"/>
  <c r="J176" i="30"/>
  <c r="H158" i="30"/>
  <c r="J158" i="30"/>
  <c r="H160" i="30"/>
  <c r="H176" i="30"/>
  <c r="J137" i="30"/>
  <c r="J169" i="30"/>
  <c r="J141" i="30"/>
  <c r="H141" i="30"/>
  <c r="J138" i="30"/>
  <c r="J165" i="30"/>
  <c r="H165" i="30"/>
  <c r="H138" i="30"/>
  <c r="J139" i="30"/>
  <c r="H139" i="30"/>
  <c r="J146" i="30"/>
  <c r="J154" i="30"/>
  <c r="H146" i="30"/>
  <c r="H154" i="30"/>
  <c r="H177" i="30"/>
  <c r="J177" i="30"/>
  <c r="H145" i="30"/>
  <c r="J164" i="30"/>
  <c r="J162" i="30"/>
  <c r="H164" i="30"/>
  <c r="H162" i="30"/>
  <c r="J168" i="30"/>
  <c r="H168" i="30"/>
  <c r="J145" i="30"/>
  <c r="J143" i="30"/>
  <c r="H143" i="30"/>
  <c r="J173" i="30"/>
  <c r="H140" i="30"/>
  <c r="J140" i="30"/>
  <c r="H173" i="30"/>
  <c r="H174" i="30"/>
  <c r="J174" i="30"/>
  <c r="J151" i="30"/>
  <c r="H151" i="30"/>
  <c r="J147" i="30"/>
  <c r="H147" i="30"/>
  <c r="H161" i="30"/>
  <c r="J167" i="30"/>
  <c r="J171" i="30"/>
  <c r="H171" i="30"/>
  <c r="H172" i="30"/>
  <c r="H167" i="30"/>
  <c r="J136" i="30"/>
  <c r="H136" i="30"/>
  <c r="J161" i="30"/>
  <c r="J172" i="30"/>
  <c r="J175" i="30"/>
  <c r="J170" i="30"/>
  <c r="H175" i="30"/>
  <c r="H163" i="30"/>
  <c r="J144" i="30"/>
  <c r="J152" i="30"/>
  <c r="H170" i="30"/>
  <c r="J163" i="30"/>
  <c r="H144" i="30"/>
  <c r="H152" i="30"/>
  <c r="J134" i="30"/>
  <c r="T182" i="30" s="1"/>
  <c r="K39" i="30"/>
  <c r="D68" i="30"/>
  <c r="I40" i="30"/>
  <c r="U135" i="30" s="1"/>
  <c r="H40" i="30"/>
  <c r="H26" i="30"/>
  <c r="K38" i="30"/>
  <c r="H28" i="30"/>
  <c r="I28" i="30" s="1"/>
  <c r="I19" i="30"/>
  <c r="K26" i="30"/>
  <c r="K25" i="30"/>
  <c r="K5" i="30"/>
  <c r="K17" i="30"/>
  <c r="K15" i="30"/>
  <c r="K7" i="30"/>
  <c r="K2" i="30"/>
  <c r="H10" i="30"/>
  <c r="K10" i="30" s="1"/>
  <c r="I11" i="30"/>
  <c r="H11" i="30"/>
  <c r="AA113" i="30" s="1"/>
  <c r="H9" i="30"/>
  <c r="E160" i="25"/>
  <c r="H160" i="25"/>
  <c r="J156" i="25"/>
  <c r="G157" i="25"/>
  <c r="C158" i="25"/>
  <c r="C157" i="25"/>
  <c r="C156" i="25"/>
  <c r="AA111" i="30" l="1"/>
  <c r="P105" i="30"/>
  <c r="A3" i="33"/>
  <c r="L193" i="30"/>
  <c r="L191" i="30"/>
  <c r="L190" i="30"/>
  <c r="L189" i="30"/>
  <c r="L187" i="30"/>
  <c r="L184" i="30"/>
  <c r="L192" i="30"/>
  <c r="L188" i="30"/>
  <c r="L186" i="30"/>
  <c r="L185" i="30"/>
  <c r="L183" i="30"/>
  <c r="N174" i="30"/>
  <c r="N175" i="30"/>
  <c r="K19" i="30"/>
  <c r="G170" i="30"/>
  <c r="Q218" i="30" s="1"/>
  <c r="R218" i="30"/>
  <c r="G161" i="30"/>
  <c r="Q209" i="30" s="1"/>
  <c r="R209" i="30"/>
  <c r="I152" i="30"/>
  <c r="S200" i="30" s="1"/>
  <c r="T200" i="30"/>
  <c r="I154" i="30"/>
  <c r="S202" i="30" s="1"/>
  <c r="T202" i="30"/>
  <c r="I176" i="30"/>
  <c r="S224" i="30" s="1"/>
  <c r="T224" i="30"/>
  <c r="I201" i="30"/>
  <c r="S249" i="30" s="1"/>
  <c r="T249" i="30"/>
  <c r="I208" i="30"/>
  <c r="S256" i="30" s="1"/>
  <c r="T256" i="30"/>
  <c r="I210" i="30"/>
  <c r="S258" i="30" s="1"/>
  <c r="T258" i="30"/>
  <c r="I215" i="30"/>
  <c r="S263" i="30" s="1"/>
  <c r="T263" i="30"/>
  <c r="G188" i="30"/>
  <c r="Q236" i="30" s="1"/>
  <c r="R236" i="30"/>
  <c r="G200" i="30"/>
  <c r="Q248" i="30" s="1"/>
  <c r="R248" i="30"/>
  <c r="G180" i="30"/>
  <c r="Q228" i="30" s="1"/>
  <c r="R228" i="30"/>
  <c r="I178" i="30"/>
  <c r="S226" i="30" s="1"/>
  <c r="T226" i="30"/>
  <c r="I202" i="30"/>
  <c r="S250" i="30" s="1"/>
  <c r="T250" i="30"/>
  <c r="G204" i="30"/>
  <c r="Q252" i="30" s="1"/>
  <c r="R252" i="30"/>
  <c r="G195" i="30"/>
  <c r="Q243" i="30" s="1"/>
  <c r="R243" i="30"/>
  <c r="I144" i="30"/>
  <c r="S192" i="30" s="1"/>
  <c r="T192" i="30"/>
  <c r="I136" i="30"/>
  <c r="S184" i="30" s="1"/>
  <c r="T184" i="30"/>
  <c r="I147" i="30"/>
  <c r="S195" i="30" s="1"/>
  <c r="T195" i="30"/>
  <c r="I173" i="30"/>
  <c r="S221" i="30" s="1"/>
  <c r="T221" i="30"/>
  <c r="I162" i="30"/>
  <c r="S210" i="30" s="1"/>
  <c r="T210" i="30"/>
  <c r="I146" i="30"/>
  <c r="S194" i="30" s="1"/>
  <c r="T194" i="30"/>
  <c r="I141" i="30"/>
  <c r="S189" i="30" s="1"/>
  <c r="T189" i="30"/>
  <c r="I160" i="30"/>
  <c r="S208" i="30" s="1"/>
  <c r="T208" i="30"/>
  <c r="I150" i="30"/>
  <c r="S198" i="30" s="1"/>
  <c r="T198" i="30"/>
  <c r="I148" i="30"/>
  <c r="S196" i="30" s="1"/>
  <c r="T196" i="30"/>
  <c r="I221" i="30"/>
  <c r="S269" i="30" s="1"/>
  <c r="T269" i="30"/>
  <c r="G220" i="30"/>
  <c r="Q268" i="30" s="1"/>
  <c r="R268" i="30"/>
  <c r="G213" i="30"/>
  <c r="Q261" i="30" s="1"/>
  <c r="R261" i="30"/>
  <c r="I220" i="30"/>
  <c r="S268" i="30" s="1"/>
  <c r="T268" i="30"/>
  <c r="G205" i="30"/>
  <c r="Q253" i="30" s="1"/>
  <c r="R253" i="30"/>
  <c r="G207" i="30"/>
  <c r="Q255" i="30" s="1"/>
  <c r="R255" i="30"/>
  <c r="G187" i="30"/>
  <c r="Q235" i="30" s="1"/>
  <c r="R235" i="30"/>
  <c r="G224" i="30"/>
  <c r="Q272" i="30" s="1"/>
  <c r="R272" i="30"/>
  <c r="G202" i="30"/>
  <c r="Q250" i="30" s="1"/>
  <c r="R250" i="30"/>
  <c r="G225" i="30"/>
  <c r="Q273" i="30" s="1"/>
  <c r="R273" i="30"/>
  <c r="I204" i="30"/>
  <c r="S252" i="30" s="1"/>
  <c r="T252" i="30"/>
  <c r="G163" i="30"/>
  <c r="Q211" i="30" s="1"/>
  <c r="R211" i="30"/>
  <c r="G167" i="30"/>
  <c r="Q215" i="30" s="1"/>
  <c r="R215" i="30"/>
  <c r="G151" i="30"/>
  <c r="Q199" i="30" s="1"/>
  <c r="R199" i="30"/>
  <c r="G143" i="30"/>
  <c r="Q191" i="30" s="1"/>
  <c r="R191" i="30"/>
  <c r="I164" i="30"/>
  <c r="S212" i="30" s="1"/>
  <c r="T212" i="30"/>
  <c r="G139" i="30"/>
  <c r="Q187" i="30" s="1"/>
  <c r="R187" i="30"/>
  <c r="I169" i="30"/>
  <c r="S217" i="30" s="1"/>
  <c r="T217" i="30"/>
  <c r="G156" i="30"/>
  <c r="Q204" i="30" s="1"/>
  <c r="R204" i="30"/>
  <c r="G149" i="30"/>
  <c r="Q197" i="30" s="1"/>
  <c r="R197" i="30"/>
  <c r="G159" i="30"/>
  <c r="Q207" i="30" s="1"/>
  <c r="R207" i="30"/>
  <c r="G221" i="30"/>
  <c r="Q269" i="30" s="1"/>
  <c r="R269" i="30"/>
  <c r="G212" i="30"/>
  <c r="Q260" i="30" s="1"/>
  <c r="R260" i="30"/>
  <c r="I217" i="30"/>
  <c r="S265" i="30" s="1"/>
  <c r="T265" i="30"/>
  <c r="G218" i="30"/>
  <c r="Q266" i="30" s="1"/>
  <c r="R266" i="30"/>
  <c r="G189" i="30"/>
  <c r="Q237" i="30" s="1"/>
  <c r="R237" i="30"/>
  <c r="G191" i="30"/>
  <c r="Q239" i="30" s="1"/>
  <c r="R239" i="30"/>
  <c r="I207" i="30"/>
  <c r="S255" i="30" s="1"/>
  <c r="T255" i="30"/>
  <c r="G181" i="30"/>
  <c r="Q229" i="30" s="1"/>
  <c r="R229" i="30"/>
  <c r="G203" i="30"/>
  <c r="Q251" i="30" s="1"/>
  <c r="R251" i="30"/>
  <c r="I195" i="30"/>
  <c r="S243" i="30" s="1"/>
  <c r="T243" i="30"/>
  <c r="I142" i="30"/>
  <c r="S190" i="30" s="1"/>
  <c r="T190" i="30"/>
  <c r="G134" i="30"/>
  <c r="Q182" i="30" s="1"/>
  <c r="R182" i="30"/>
  <c r="G175" i="30"/>
  <c r="Q223" i="30" s="1"/>
  <c r="R223" i="30"/>
  <c r="G172" i="30"/>
  <c r="Q220" i="30" s="1"/>
  <c r="R220" i="30"/>
  <c r="I151" i="30"/>
  <c r="S199" i="30" s="1"/>
  <c r="T199" i="30"/>
  <c r="I143" i="30"/>
  <c r="S191" i="30" s="1"/>
  <c r="T191" i="30"/>
  <c r="G145" i="30"/>
  <c r="Q193" i="30" s="1"/>
  <c r="R193" i="30"/>
  <c r="I139" i="30"/>
  <c r="S187" i="30" s="1"/>
  <c r="T187" i="30"/>
  <c r="I137" i="30"/>
  <c r="S185" i="30" s="1"/>
  <c r="T185" i="30"/>
  <c r="I156" i="30"/>
  <c r="S204" i="30" s="1"/>
  <c r="T204" i="30"/>
  <c r="G166" i="30"/>
  <c r="Q214" i="30" s="1"/>
  <c r="R214" i="30"/>
  <c r="G135" i="30"/>
  <c r="Q183" i="30" s="1"/>
  <c r="R183" i="30"/>
  <c r="G215" i="30"/>
  <c r="Q263" i="30" s="1"/>
  <c r="R263" i="30"/>
  <c r="I219" i="30"/>
  <c r="S267" i="30" s="1"/>
  <c r="T267" i="30"/>
  <c r="I209" i="30"/>
  <c r="S257" i="30" s="1"/>
  <c r="T257" i="30"/>
  <c r="I212" i="30"/>
  <c r="S260" i="30" s="1"/>
  <c r="T260" i="30"/>
  <c r="I205" i="30"/>
  <c r="S253" i="30" s="1"/>
  <c r="T253" i="30"/>
  <c r="I197" i="30"/>
  <c r="S245" i="30" s="1"/>
  <c r="T245" i="30"/>
  <c r="G194" i="30"/>
  <c r="Q242" i="30" s="1"/>
  <c r="R242" i="30"/>
  <c r="G179" i="30"/>
  <c r="Q227" i="30" s="1"/>
  <c r="R227" i="30"/>
  <c r="I203" i="30"/>
  <c r="S251" i="30" s="1"/>
  <c r="T251" i="30"/>
  <c r="G185" i="30"/>
  <c r="Q233" i="30" s="1"/>
  <c r="R233" i="30"/>
  <c r="I157" i="30"/>
  <c r="S205" i="30" s="1"/>
  <c r="T205" i="30"/>
  <c r="I161" i="30"/>
  <c r="S209" i="30" s="1"/>
  <c r="T209" i="30"/>
  <c r="G162" i="30"/>
  <c r="Q210" i="30" s="1"/>
  <c r="R210" i="30"/>
  <c r="G136" i="30"/>
  <c r="Q184" i="30" s="1"/>
  <c r="R184" i="30"/>
  <c r="G147" i="30"/>
  <c r="Q195" i="30" s="1"/>
  <c r="R195" i="30"/>
  <c r="G140" i="30"/>
  <c r="Q188" i="30" s="1"/>
  <c r="R188" i="30"/>
  <c r="G164" i="30"/>
  <c r="Q212" i="30" s="1"/>
  <c r="R212" i="30"/>
  <c r="G141" i="30"/>
  <c r="Q189" i="30" s="1"/>
  <c r="R189" i="30"/>
  <c r="I166" i="30"/>
  <c r="S214" i="30" s="1"/>
  <c r="T214" i="30"/>
  <c r="G148" i="30"/>
  <c r="Q196" i="30" s="1"/>
  <c r="R196" i="30"/>
  <c r="G152" i="30"/>
  <c r="Q200" i="30" s="1"/>
  <c r="R200" i="30"/>
  <c r="I170" i="30"/>
  <c r="S218" i="30" s="1"/>
  <c r="T218" i="30"/>
  <c r="G171" i="30"/>
  <c r="Q219" i="30" s="1"/>
  <c r="R219" i="30"/>
  <c r="I174" i="30"/>
  <c r="S222" i="30" s="1"/>
  <c r="T222" i="30"/>
  <c r="I145" i="30"/>
  <c r="S193" i="30" s="1"/>
  <c r="T193" i="30"/>
  <c r="I177" i="30"/>
  <c r="S225" i="30" s="1"/>
  <c r="T225" i="30"/>
  <c r="G138" i="30"/>
  <c r="Q186" i="30" s="1"/>
  <c r="R186" i="30"/>
  <c r="G176" i="30"/>
  <c r="Q224" i="30" s="1"/>
  <c r="R224" i="30"/>
  <c r="G169" i="30"/>
  <c r="Q217" i="30" s="1"/>
  <c r="R217" i="30"/>
  <c r="I149" i="30"/>
  <c r="S197" i="30" s="1"/>
  <c r="T197" i="30"/>
  <c r="I159" i="30"/>
  <c r="S207" i="30" s="1"/>
  <c r="T207" i="30"/>
  <c r="I214" i="30"/>
  <c r="S262" i="30" s="1"/>
  <c r="T262" i="30"/>
  <c r="I218" i="30"/>
  <c r="S266" i="30" s="1"/>
  <c r="T266" i="30"/>
  <c r="G217" i="30"/>
  <c r="Q265" i="30" s="1"/>
  <c r="R265" i="30"/>
  <c r="G210" i="30"/>
  <c r="Q258" i="30" s="1"/>
  <c r="R258" i="30"/>
  <c r="I188" i="30"/>
  <c r="S236" i="30" s="1"/>
  <c r="T236" i="30"/>
  <c r="I194" i="30"/>
  <c r="S242" i="30" s="1"/>
  <c r="T242" i="30"/>
  <c r="I180" i="30"/>
  <c r="S228" i="30" s="1"/>
  <c r="T228" i="30"/>
  <c r="G178" i="30"/>
  <c r="Q226" i="30" s="1"/>
  <c r="R226" i="30"/>
  <c r="G223" i="30"/>
  <c r="Q271" i="30" s="1"/>
  <c r="R271" i="30"/>
  <c r="G190" i="30"/>
  <c r="Q238" i="30" s="1"/>
  <c r="R238" i="30"/>
  <c r="H184" i="30"/>
  <c r="T232" i="30"/>
  <c r="U232" i="30" s="1"/>
  <c r="N165" i="30" s="1"/>
  <c r="G144" i="30"/>
  <c r="Q192" i="30" s="1"/>
  <c r="R192" i="30"/>
  <c r="I175" i="30"/>
  <c r="S223" i="30" s="1"/>
  <c r="T223" i="30"/>
  <c r="I171" i="30"/>
  <c r="S219" i="30" s="1"/>
  <c r="T219" i="30"/>
  <c r="G174" i="30"/>
  <c r="Q222" i="30" s="1"/>
  <c r="R222" i="30"/>
  <c r="G168" i="30"/>
  <c r="Q216" i="30" s="1"/>
  <c r="R216" i="30"/>
  <c r="G177" i="30"/>
  <c r="Q225" i="30" s="1"/>
  <c r="R225" i="30"/>
  <c r="G165" i="30"/>
  <c r="Q213" i="30" s="1"/>
  <c r="R213" i="30"/>
  <c r="G160" i="30"/>
  <c r="Q208" i="30" s="1"/>
  <c r="R208" i="30"/>
  <c r="G137" i="30"/>
  <c r="Q185" i="30" s="1"/>
  <c r="R185" i="30"/>
  <c r="G153" i="30"/>
  <c r="Q201" i="30" s="1"/>
  <c r="R201" i="30"/>
  <c r="I135" i="30"/>
  <c r="S183" i="30" s="1"/>
  <c r="T183" i="30"/>
  <c r="G209" i="30"/>
  <c r="Q257" i="30" s="1"/>
  <c r="R257" i="30"/>
  <c r="G208" i="30"/>
  <c r="Q256" i="30" s="1"/>
  <c r="R256" i="30"/>
  <c r="I211" i="30"/>
  <c r="S259" i="30" s="1"/>
  <c r="T259" i="30"/>
  <c r="G186" i="30"/>
  <c r="Q234" i="30" s="1"/>
  <c r="R234" i="30"/>
  <c r="G193" i="30"/>
  <c r="Q241" i="30" s="1"/>
  <c r="R241" i="30"/>
  <c r="G197" i="30"/>
  <c r="Q245" i="30" s="1"/>
  <c r="R245" i="30"/>
  <c r="I179" i="30"/>
  <c r="S227" i="30" s="1"/>
  <c r="T227" i="30"/>
  <c r="G182" i="30"/>
  <c r="Q230" i="30" s="1"/>
  <c r="R230" i="30"/>
  <c r="I225" i="30"/>
  <c r="S273" i="30" s="1"/>
  <c r="T273" i="30"/>
  <c r="I190" i="30"/>
  <c r="S238" i="30" s="1"/>
  <c r="T238" i="30"/>
  <c r="I185" i="30"/>
  <c r="S233" i="30" s="1"/>
  <c r="T233" i="30"/>
  <c r="I163" i="30"/>
  <c r="S211" i="30" s="1"/>
  <c r="T211" i="30"/>
  <c r="I172" i="30"/>
  <c r="S220" i="30" s="1"/>
  <c r="T220" i="30"/>
  <c r="I167" i="30"/>
  <c r="S215" i="30" s="1"/>
  <c r="T215" i="30"/>
  <c r="G173" i="30"/>
  <c r="Q221" i="30" s="1"/>
  <c r="R221" i="30"/>
  <c r="I168" i="30"/>
  <c r="S216" i="30" s="1"/>
  <c r="T216" i="30"/>
  <c r="G154" i="30"/>
  <c r="Q202" i="30" s="1"/>
  <c r="R202" i="30"/>
  <c r="I165" i="30"/>
  <c r="S213" i="30" s="1"/>
  <c r="T213" i="30"/>
  <c r="I158" i="30"/>
  <c r="S206" i="30" s="1"/>
  <c r="T206" i="30"/>
  <c r="G150" i="30"/>
  <c r="Q198" i="30" s="1"/>
  <c r="R198" i="30"/>
  <c r="G155" i="30"/>
  <c r="Q203" i="30" s="1"/>
  <c r="R203" i="30"/>
  <c r="I206" i="30"/>
  <c r="S254" i="30" s="1"/>
  <c r="T254" i="30"/>
  <c r="I216" i="30"/>
  <c r="S264" i="30" s="1"/>
  <c r="T264" i="30"/>
  <c r="G219" i="30"/>
  <c r="Q267" i="30" s="1"/>
  <c r="R267" i="30"/>
  <c r="I213" i="30"/>
  <c r="S261" i="30" s="1"/>
  <c r="T261" i="30"/>
  <c r="G198" i="30"/>
  <c r="Q246" i="30" s="1"/>
  <c r="R246" i="30"/>
  <c r="I187" i="30"/>
  <c r="S235" i="30" s="1"/>
  <c r="T235" i="30"/>
  <c r="I191" i="30"/>
  <c r="S239" i="30" s="1"/>
  <c r="T239" i="30"/>
  <c r="I224" i="30"/>
  <c r="S272" i="30" s="1"/>
  <c r="T272" i="30"/>
  <c r="I182" i="30"/>
  <c r="S230" i="30" s="1"/>
  <c r="T230" i="30"/>
  <c r="G199" i="30"/>
  <c r="Q247" i="30" s="1"/>
  <c r="R247" i="30"/>
  <c r="I199" i="30"/>
  <c r="S247" i="30" s="1"/>
  <c r="T247" i="30"/>
  <c r="G157" i="30"/>
  <c r="Q205" i="30" s="1"/>
  <c r="R205" i="30"/>
  <c r="I140" i="30"/>
  <c r="S188" i="30" s="1"/>
  <c r="T188" i="30"/>
  <c r="G146" i="30"/>
  <c r="Q194" i="30" s="1"/>
  <c r="R194" i="30"/>
  <c r="I138" i="30"/>
  <c r="S186" i="30" s="1"/>
  <c r="T186" i="30"/>
  <c r="G158" i="30"/>
  <c r="Q206" i="30" s="1"/>
  <c r="R206" i="30"/>
  <c r="I153" i="30"/>
  <c r="S201" i="30" s="1"/>
  <c r="T201" i="30"/>
  <c r="I155" i="30"/>
  <c r="S203" i="30" s="1"/>
  <c r="T203" i="30"/>
  <c r="G201" i="30"/>
  <c r="Q249" i="30" s="1"/>
  <c r="R249" i="30"/>
  <c r="G214" i="30"/>
  <c r="Q262" i="30" s="1"/>
  <c r="R262" i="30"/>
  <c r="G211" i="30"/>
  <c r="Q259" i="30" s="1"/>
  <c r="R259" i="30"/>
  <c r="G216" i="30"/>
  <c r="Q264" i="30" s="1"/>
  <c r="R264" i="30"/>
  <c r="I198" i="30"/>
  <c r="S246" i="30" s="1"/>
  <c r="T246" i="30"/>
  <c r="I200" i="30"/>
  <c r="S248" i="30" s="1"/>
  <c r="T248" i="30"/>
  <c r="I193" i="30"/>
  <c r="S241" i="30" s="1"/>
  <c r="T241" i="30"/>
  <c r="I181" i="30"/>
  <c r="S229" i="30" s="1"/>
  <c r="T229" i="30"/>
  <c r="G192" i="30"/>
  <c r="Q240" i="30" s="1"/>
  <c r="R240" i="30"/>
  <c r="G183" i="30"/>
  <c r="Q231" i="30" s="1"/>
  <c r="R231" i="30"/>
  <c r="I183" i="30"/>
  <c r="S231" i="30" s="1"/>
  <c r="T231" i="30"/>
  <c r="I223" i="30"/>
  <c r="S271" i="30" s="1"/>
  <c r="T271" i="30"/>
  <c r="I134" i="30"/>
  <c r="S182" i="30" s="1"/>
  <c r="L107" i="30"/>
  <c r="L102" i="30"/>
  <c r="K9" i="30"/>
  <c r="I184" i="30"/>
  <c r="S232" i="30" s="1"/>
  <c r="G86" i="30"/>
  <c r="H86" i="30" s="1"/>
  <c r="G87" i="30"/>
  <c r="H87" i="30" s="1"/>
  <c r="H41" i="30"/>
  <c r="H69" i="30"/>
  <c r="H70" i="30"/>
  <c r="D73" i="30" s="1"/>
  <c r="L208" i="30" s="1"/>
  <c r="H71" i="30"/>
  <c r="D75" i="30" s="1"/>
  <c r="H72" i="30"/>
  <c r="D77" i="30" s="1"/>
  <c r="K40" i="30"/>
  <c r="H29" i="30"/>
  <c r="H30" i="30"/>
  <c r="K28" i="30"/>
  <c r="K11" i="30"/>
  <c r="D15" i="29"/>
  <c r="E15" i="29"/>
  <c r="F15" i="29"/>
  <c r="G15" i="29"/>
  <c r="H15" i="29"/>
  <c r="I15" i="29"/>
  <c r="J15" i="29"/>
  <c r="D16" i="29"/>
  <c r="E16" i="29"/>
  <c r="F16" i="29"/>
  <c r="G16" i="29"/>
  <c r="H16" i="29"/>
  <c r="I16" i="29"/>
  <c r="J16" i="29"/>
  <c r="D17" i="29"/>
  <c r="E109" i="34" s="1"/>
  <c r="E17" i="29"/>
  <c r="F109" i="34" s="1"/>
  <c r="H110" i="34" s="1"/>
  <c r="F17" i="29"/>
  <c r="G109" i="34" s="1"/>
  <c r="G17" i="29"/>
  <c r="H109" i="34" s="1"/>
  <c r="J110" i="34" s="1"/>
  <c r="H17" i="29"/>
  <c r="I109" i="34" s="1"/>
  <c r="E110" i="34" s="1"/>
  <c r="I17" i="29"/>
  <c r="J109" i="34" s="1"/>
  <c r="J17" i="29"/>
  <c r="K109" i="34" s="1"/>
  <c r="D18" i="29"/>
  <c r="E18" i="29"/>
  <c r="F18" i="29"/>
  <c r="G18" i="29"/>
  <c r="H18" i="29"/>
  <c r="I18" i="29"/>
  <c r="J18" i="29"/>
  <c r="D19" i="29"/>
  <c r="E19" i="29"/>
  <c r="F19" i="29"/>
  <c r="G19" i="29"/>
  <c r="H19" i="29"/>
  <c r="I19" i="29"/>
  <c r="J19" i="29"/>
  <c r="D20" i="29"/>
  <c r="E20" i="29"/>
  <c r="F20" i="29"/>
  <c r="G20" i="29"/>
  <c r="H20" i="29"/>
  <c r="I20" i="29"/>
  <c r="J20" i="29"/>
  <c r="D21" i="29"/>
  <c r="E21" i="29"/>
  <c r="F21" i="29"/>
  <c r="G21" i="29"/>
  <c r="H21" i="29"/>
  <c r="I21" i="29"/>
  <c r="J21" i="29"/>
  <c r="D22" i="29"/>
  <c r="E22" i="29"/>
  <c r="F22" i="29"/>
  <c r="G22" i="29"/>
  <c r="H22" i="29"/>
  <c r="I22" i="29"/>
  <c r="J22" i="29"/>
  <c r="D23" i="29"/>
  <c r="E23" i="29"/>
  <c r="F23" i="29"/>
  <c r="G23" i="29"/>
  <c r="H23" i="29"/>
  <c r="I23" i="29"/>
  <c r="J23" i="29"/>
  <c r="D24" i="29"/>
  <c r="E24" i="29"/>
  <c r="F24" i="29"/>
  <c r="G24" i="29"/>
  <c r="H24" i="29"/>
  <c r="I24" i="29"/>
  <c r="J24" i="29"/>
  <c r="D25" i="29"/>
  <c r="E25" i="29"/>
  <c r="F25" i="29"/>
  <c r="G25" i="29"/>
  <c r="H25" i="29"/>
  <c r="I25" i="29"/>
  <c r="J25" i="29"/>
  <c r="D26" i="29"/>
  <c r="E26" i="29"/>
  <c r="F26" i="29"/>
  <c r="G26" i="29"/>
  <c r="H26" i="29"/>
  <c r="I26" i="29"/>
  <c r="J26" i="29"/>
  <c r="D27" i="29"/>
  <c r="E113" i="34" s="1"/>
  <c r="E27" i="29"/>
  <c r="F113" i="34" s="1"/>
  <c r="F27" i="29"/>
  <c r="G113" i="34" s="1"/>
  <c r="G27" i="29"/>
  <c r="H113" i="34" s="1"/>
  <c r="H27" i="29"/>
  <c r="I113" i="34" s="1"/>
  <c r="E114" i="34" s="1"/>
  <c r="I27" i="29"/>
  <c r="J113" i="34" s="1"/>
  <c r="J27" i="29"/>
  <c r="K113" i="34" s="1"/>
  <c r="D28" i="29"/>
  <c r="E28" i="29"/>
  <c r="F28" i="29"/>
  <c r="G28" i="29"/>
  <c r="H28" i="29"/>
  <c r="I28" i="29"/>
  <c r="J28" i="29"/>
  <c r="D29" i="29"/>
  <c r="E29" i="29"/>
  <c r="F29" i="29"/>
  <c r="G29" i="29"/>
  <c r="H29" i="29"/>
  <c r="I29" i="29"/>
  <c r="J29" i="29"/>
  <c r="D30" i="29"/>
  <c r="E116" i="34" s="1"/>
  <c r="E30" i="29"/>
  <c r="F116" i="34" s="1"/>
  <c r="H117" i="34" s="1"/>
  <c r="F30" i="29"/>
  <c r="G116" i="34" s="1"/>
  <c r="G30" i="29"/>
  <c r="H116" i="34" s="1"/>
  <c r="H30" i="29"/>
  <c r="I116" i="34" s="1"/>
  <c r="E117" i="34" s="1"/>
  <c r="I30" i="29"/>
  <c r="J116" i="34" s="1"/>
  <c r="J30" i="29"/>
  <c r="K116" i="34" s="1"/>
  <c r="D31" i="29"/>
  <c r="E31" i="29"/>
  <c r="F31" i="29"/>
  <c r="G31" i="29"/>
  <c r="H31" i="29"/>
  <c r="I31" i="29"/>
  <c r="J31" i="29"/>
  <c r="D32" i="29"/>
  <c r="E32" i="29"/>
  <c r="F32" i="29"/>
  <c r="G32" i="29"/>
  <c r="H32" i="29"/>
  <c r="I32" i="29"/>
  <c r="J32" i="29"/>
  <c r="D33" i="29"/>
  <c r="E33" i="29"/>
  <c r="F33" i="29"/>
  <c r="G33" i="29"/>
  <c r="H33" i="29"/>
  <c r="I33" i="29"/>
  <c r="J33" i="29"/>
  <c r="D34" i="29"/>
  <c r="E120" i="34" s="1"/>
  <c r="E34" i="29"/>
  <c r="F120" i="34" s="1"/>
  <c r="F34" i="29"/>
  <c r="G120" i="34" s="1"/>
  <c r="G34" i="29"/>
  <c r="H120" i="34" s="1"/>
  <c r="M119" i="34" s="1"/>
  <c r="G121" i="34" s="1"/>
  <c r="H34" i="29"/>
  <c r="I120" i="34" s="1"/>
  <c r="I34" i="29"/>
  <c r="J120" i="34" s="1"/>
  <c r="J34" i="29"/>
  <c r="K120" i="34" s="1"/>
  <c r="D35" i="29"/>
  <c r="E35" i="29"/>
  <c r="F35" i="29"/>
  <c r="G35" i="29"/>
  <c r="H35" i="29"/>
  <c r="I35" i="29"/>
  <c r="J35" i="29"/>
  <c r="D36" i="29"/>
  <c r="E36" i="29"/>
  <c r="F36" i="29"/>
  <c r="G36" i="29"/>
  <c r="H36" i="29"/>
  <c r="I36" i="29"/>
  <c r="J36" i="29"/>
  <c r="D37" i="29"/>
  <c r="E123" i="34" s="1"/>
  <c r="E37" i="29"/>
  <c r="F123" i="34" s="1"/>
  <c r="F37" i="29"/>
  <c r="G123" i="34" s="1"/>
  <c r="G37" i="29"/>
  <c r="H123" i="34" s="1"/>
  <c r="M122" i="34" s="1"/>
  <c r="G124" i="34" s="1"/>
  <c r="H37" i="29"/>
  <c r="I123" i="34" s="1"/>
  <c r="I37" i="29"/>
  <c r="J123" i="34" s="1"/>
  <c r="J37" i="29"/>
  <c r="K123" i="34" s="1"/>
  <c r="D38" i="29"/>
  <c r="E38" i="29"/>
  <c r="F38" i="29"/>
  <c r="G38" i="29"/>
  <c r="H38" i="29"/>
  <c r="I38" i="29"/>
  <c r="J38" i="29"/>
  <c r="J14" i="29"/>
  <c r="K106" i="34" s="1"/>
  <c r="I14" i="29"/>
  <c r="J106" i="34" s="1"/>
  <c r="H14" i="29"/>
  <c r="I106" i="34" s="1"/>
  <c r="E107" i="34" s="1"/>
  <c r="G14" i="29"/>
  <c r="H106" i="34" s="1"/>
  <c r="J107" i="34" s="1"/>
  <c r="F14" i="29"/>
  <c r="G106" i="34" s="1"/>
  <c r="E14" i="29"/>
  <c r="F106" i="34" s="1"/>
  <c r="H107" i="34" s="1"/>
  <c r="D14" i="29"/>
  <c r="E106" i="34" s="1"/>
  <c r="H114" i="34" l="1"/>
  <c r="N113" i="30"/>
  <c r="N112" i="30"/>
  <c r="N168" i="30"/>
  <c r="G184" i="30"/>
  <c r="Q232" i="30" s="1"/>
  <c r="R232" i="30"/>
  <c r="L209" i="30"/>
  <c r="I31" i="30"/>
  <c r="L118" i="30" s="1"/>
  <c r="J248" i="30"/>
  <c r="J233" i="30"/>
  <c r="J234" i="30"/>
  <c r="J250" i="30"/>
  <c r="J235" i="30"/>
  <c r="J243" i="30"/>
  <c r="J251" i="30"/>
  <c r="J236" i="30"/>
  <c r="J252" i="30"/>
  <c r="J237" i="30"/>
  <c r="J253" i="30"/>
  <c r="J230" i="30"/>
  <c r="J231" i="30"/>
  <c r="J239" i="30"/>
  <c r="I73" i="30"/>
  <c r="C94" i="30"/>
  <c r="I86" i="30"/>
  <c r="L198" i="30" s="1"/>
  <c r="H32" i="30"/>
  <c r="K32" i="30" s="1"/>
  <c r="H31" i="30"/>
  <c r="L117" i="30" s="1"/>
  <c r="C88" i="30"/>
  <c r="H89" i="30" s="1"/>
  <c r="I41" i="30"/>
  <c r="I87" i="30"/>
  <c r="K87" i="30" s="1"/>
  <c r="C100" i="30"/>
  <c r="D74" i="30"/>
  <c r="K30" i="30"/>
  <c r="K29" i="30"/>
  <c r="B75" i="17"/>
  <c r="B70" i="17"/>
  <c r="B65" i="17"/>
  <c r="B60" i="17"/>
  <c r="B55" i="17"/>
  <c r="B50" i="17"/>
  <c r="B45" i="17"/>
  <c r="B40" i="17"/>
  <c r="B35" i="17"/>
  <c r="B30" i="17"/>
  <c r="A7" i="33" l="1"/>
  <c r="N160" i="30"/>
  <c r="L201" i="30"/>
  <c r="K89" i="30"/>
  <c r="N135" i="30"/>
  <c r="N157" i="30"/>
  <c r="N158" i="30"/>
  <c r="I230" i="30"/>
  <c r="T157" i="30"/>
  <c r="I234" i="30"/>
  <c r="T161" i="30"/>
  <c r="I252" i="30"/>
  <c r="T179" i="30"/>
  <c r="I251" i="30"/>
  <c r="T178" i="30"/>
  <c r="I250" i="30"/>
  <c r="T177" i="30"/>
  <c r="I237" i="30"/>
  <c r="T164" i="30"/>
  <c r="I248" i="30"/>
  <c r="T175" i="30"/>
  <c r="I239" i="30"/>
  <c r="T166" i="30"/>
  <c r="I243" i="30"/>
  <c r="T170" i="30"/>
  <c r="I253" i="30"/>
  <c r="T180" i="30"/>
  <c r="I233" i="30"/>
  <c r="T160" i="30"/>
  <c r="I236" i="30"/>
  <c r="T163" i="30"/>
  <c r="I231" i="30"/>
  <c r="T158" i="30"/>
  <c r="I235" i="30"/>
  <c r="T162" i="30"/>
  <c r="I75" i="30"/>
  <c r="L195" i="30" s="1"/>
  <c r="H100" i="30"/>
  <c r="N114" i="30"/>
  <c r="H103" i="30"/>
  <c r="K31" i="30"/>
  <c r="H104" i="30"/>
  <c r="H105" i="30"/>
  <c r="H94" i="30"/>
  <c r="H97" i="30"/>
  <c r="H96" i="30"/>
  <c r="K96" i="30" s="1"/>
  <c r="H101" i="30"/>
  <c r="H99" i="30"/>
  <c r="H102" i="30"/>
  <c r="H98" i="30"/>
  <c r="H95" i="30"/>
  <c r="J86" i="30"/>
  <c r="K86" i="30" s="1"/>
  <c r="H90" i="30"/>
  <c r="K90" i="30" s="1"/>
  <c r="H92" i="30"/>
  <c r="K92" i="30" s="1"/>
  <c r="H91" i="30"/>
  <c r="H93" i="30"/>
  <c r="K93" i="30" s="1"/>
  <c r="H88" i="30"/>
  <c r="D4" i="9"/>
  <c r="L203" i="30" l="1"/>
  <c r="L202" i="30"/>
  <c r="L196" i="30"/>
  <c r="L199" i="30"/>
  <c r="K97" i="30"/>
  <c r="L200" i="30"/>
  <c r="K95" i="30"/>
  <c r="K94" i="30"/>
  <c r="K75" i="30"/>
  <c r="K91" i="30"/>
  <c r="L197" i="30"/>
  <c r="K88" i="30"/>
  <c r="S180" i="30"/>
  <c r="H253" i="30"/>
  <c r="R180" i="30" s="1"/>
  <c r="S160" i="30"/>
  <c r="H233" i="30"/>
  <c r="R160" i="30" s="1"/>
  <c r="S175" i="30"/>
  <c r="H248" i="30"/>
  <c r="R175" i="30" s="1"/>
  <c r="S179" i="30"/>
  <c r="H252" i="30"/>
  <c r="R179" i="30" s="1"/>
  <c r="S162" i="30"/>
  <c r="H235" i="30"/>
  <c r="R162" i="30" s="1"/>
  <c r="S164" i="30"/>
  <c r="H237" i="30"/>
  <c r="R164" i="30" s="1"/>
  <c r="S161" i="30"/>
  <c r="H234" i="30"/>
  <c r="R161" i="30" s="1"/>
  <c r="S158" i="30"/>
  <c r="H231" i="30"/>
  <c r="R158" i="30" s="1"/>
  <c r="S170" i="30"/>
  <c r="H243" i="30"/>
  <c r="R170" i="30" s="1"/>
  <c r="S177" i="30"/>
  <c r="H250" i="30"/>
  <c r="R177" i="30" s="1"/>
  <c r="S163" i="30"/>
  <c r="H236" i="30"/>
  <c r="R163" i="30" s="1"/>
  <c r="S166" i="30"/>
  <c r="H239" i="30"/>
  <c r="R166" i="30" s="1"/>
  <c r="S178" i="30"/>
  <c r="H251" i="30"/>
  <c r="R178" i="30" s="1"/>
  <c r="S157" i="30"/>
  <c r="H230" i="30"/>
  <c r="R157" i="30" s="1"/>
  <c r="D6" i="9"/>
  <c r="D5" i="9"/>
  <c r="D2" i="9"/>
  <c r="D3" i="9"/>
  <c r="N159" i="30" l="1"/>
  <c r="D31" i="9"/>
  <c r="D25" i="9"/>
  <c r="D21" i="9"/>
  <c r="D16" i="9"/>
  <c r="D13" i="9"/>
  <c r="D9" i="9"/>
  <c r="B314" i="24"/>
  <c r="B313" i="24"/>
  <c r="B312" i="24"/>
  <c r="B311" i="24"/>
  <c r="B310" i="24"/>
  <c r="B309" i="24"/>
  <c r="B308" i="24"/>
  <c r="B307" i="24"/>
  <c r="B306" i="24"/>
  <c r="B305" i="24"/>
  <c r="B304" i="24"/>
  <c r="B303" i="24"/>
  <c r="B302" i="24"/>
  <c r="B301" i="24"/>
  <c r="B300" i="24"/>
  <c r="B299" i="24"/>
  <c r="B298" i="24"/>
  <c r="B297" i="24"/>
  <c r="B296" i="24"/>
  <c r="B295" i="24"/>
  <c r="B294" i="24"/>
  <c r="B293" i="24"/>
  <c r="B292" i="24"/>
  <c r="B291" i="24"/>
  <c r="B290" i="24"/>
  <c r="B289" i="24"/>
  <c r="B288" i="24"/>
  <c r="B287" i="24"/>
  <c r="B286" i="24"/>
  <c r="B285" i="24"/>
  <c r="B284" i="24"/>
  <c r="B283" i="24"/>
  <c r="B282" i="24"/>
  <c r="B281" i="24"/>
  <c r="B280" i="24"/>
  <c r="B279" i="24"/>
  <c r="B278" i="24"/>
  <c r="B277" i="24"/>
  <c r="B276" i="24"/>
  <c r="B275" i="24"/>
  <c r="B274" i="24"/>
  <c r="B273" i="24"/>
  <c r="B272" i="24"/>
  <c r="B271" i="24"/>
  <c r="B270" i="24"/>
  <c r="B269" i="24"/>
  <c r="B268" i="24"/>
  <c r="B267" i="24"/>
  <c r="B265" i="24"/>
  <c r="B266" i="24"/>
  <c r="B260" i="24"/>
  <c r="B259" i="24"/>
  <c r="B258" i="24"/>
  <c r="B257" i="24"/>
  <c r="B256" i="24"/>
  <c r="B255" i="24"/>
  <c r="B254" i="24"/>
  <c r="B253" i="24"/>
  <c r="B252" i="24"/>
  <c r="B251" i="24"/>
  <c r="B250" i="24"/>
  <c r="B249" i="24"/>
  <c r="B248" i="24"/>
  <c r="B247" i="24"/>
  <c r="B246" i="24"/>
  <c r="B245" i="24"/>
  <c r="B244" i="24"/>
  <c r="B243" i="24"/>
  <c r="B242" i="24"/>
  <c r="B241" i="24"/>
  <c r="B240" i="24"/>
  <c r="B239" i="24"/>
  <c r="B238" i="24"/>
  <c r="B237" i="24"/>
  <c r="B236" i="24"/>
  <c r="B235" i="24"/>
  <c r="B234" i="24"/>
  <c r="B233" i="24"/>
  <c r="B232" i="24"/>
  <c r="B231" i="24"/>
  <c r="B230" i="24"/>
  <c r="B229" i="24"/>
  <c r="B228" i="24"/>
  <c r="B227" i="24"/>
  <c r="B226" i="24"/>
  <c r="B225" i="24"/>
  <c r="B224" i="24"/>
  <c r="B223" i="24"/>
  <c r="B222" i="24"/>
  <c r="B221" i="24"/>
  <c r="B220" i="24"/>
  <c r="B219" i="24"/>
  <c r="B218" i="24"/>
  <c r="B217" i="24"/>
  <c r="B216" i="24"/>
  <c r="B215" i="24"/>
  <c r="B214" i="24"/>
  <c r="B213" i="24"/>
  <c r="B212" i="24"/>
  <c r="B211" i="24"/>
  <c r="B320" i="24"/>
  <c r="B321" i="24"/>
  <c r="B322" i="24"/>
  <c r="B323" i="24"/>
  <c r="B324" i="24"/>
  <c r="B325" i="24"/>
  <c r="B326" i="24"/>
  <c r="B327" i="24"/>
  <c r="B328" i="24"/>
  <c r="B329" i="24"/>
  <c r="B330" i="24"/>
  <c r="B331" i="24"/>
  <c r="B332" i="24"/>
  <c r="B333" i="24"/>
  <c r="B334" i="24"/>
  <c r="B335" i="24"/>
  <c r="B336" i="24"/>
  <c r="B337" i="24"/>
  <c r="B338" i="24"/>
  <c r="B339" i="24"/>
  <c r="B340" i="24"/>
  <c r="B341" i="24"/>
  <c r="B342" i="24"/>
  <c r="B343" i="24"/>
  <c r="B344" i="24"/>
  <c r="B345" i="24"/>
  <c r="B346" i="24"/>
  <c r="B347" i="24"/>
  <c r="B348" i="24"/>
  <c r="B349" i="24"/>
  <c r="B350" i="24"/>
  <c r="B351" i="24"/>
  <c r="B352" i="24"/>
  <c r="B353" i="24"/>
  <c r="B354" i="24"/>
  <c r="B355" i="24"/>
  <c r="B356" i="24"/>
  <c r="B357" i="24"/>
  <c r="B358" i="24"/>
  <c r="B359" i="24"/>
  <c r="B360" i="24"/>
  <c r="B361" i="24"/>
  <c r="B362" i="24"/>
  <c r="B363" i="24"/>
  <c r="B364" i="24"/>
  <c r="B365" i="24"/>
  <c r="B366" i="24"/>
  <c r="B367" i="24"/>
  <c r="B368" i="24"/>
  <c r="B167" i="24"/>
  <c r="B168" i="24"/>
  <c r="B169" i="24"/>
  <c r="B170" i="24"/>
  <c r="B171" i="24"/>
  <c r="B172" i="24"/>
  <c r="B173" i="24"/>
  <c r="B174" i="24"/>
  <c r="B175" i="24"/>
  <c r="B176" i="24"/>
  <c r="B177" i="24"/>
  <c r="B178" i="24"/>
  <c r="B179" i="24"/>
  <c r="B180" i="24"/>
  <c r="B181" i="24"/>
  <c r="B182" i="24"/>
  <c r="B183" i="24"/>
  <c r="B184" i="24"/>
  <c r="B185" i="24"/>
  <c r="B186" i="24"/>
  <c r="B187" i="24"/>
  <c r="B188" i="24"/>
  <c r="B189" i="24"/>
  <c r="B190" i="24"/>
  <c r="B191" i="24"/>
  <c r="B192" i="24"/>
  <c r="B193" i="24"/>
  <c r="B194" i="24"/>
  <c r="B195" i="24"/>
  <c r="B196" i="24"/>
  <c r="B197" i="24"/>
  <c r="B198" i="24"/>
  <c r="B199" i="24"/>
  <c r="B200" i="24"/>
  <c r="B201" i="24"/>
  <c r="B202" i="24"/>
  <c r="B203" i="24"/>
  <c r="B204" i="24"/>
  <c r="B205" i="24"/>
  <c r="B206"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319" i="24"/>
  <c r="B158" i="24"/>
  <c r="B159" i="24"/>
  <c r="B160" i="24"/>
  <c r="B161" i="24"/>
  <c r="B162" i="24"/>
  <c r="B163" i="24"/>
  <c r="B164" i="24"/>
  <c r="B165" i="24"/>
  <c r="B166" i="24"/>
  <c r="B157" i="24"/>
  <c r="B105" i="24"/>
  <c r="B106" i="24"/>
  <c r="B107" i="24"/>
  <c r="B108" i="24"/>
  <c r="B109" i="24"/>
  <c r="B110" i="24"/>
  <c r="B111" i="24"/>
  <c r="B112" i="24"/>
  <c r="B113" i="24"/>
  <c r="B104" i="24"/>
  <c r="X72" i="27" l="1"/>
  <c r="X71" i="27"/>
  <c r="X70" i="27"/>
  <c r="X69" i="27"/>
  <c r="X68" i="27"/>
  <c r="X67" i="27"/>
  <c r="X66" i="27"/>
  <c r="X65" i="27"/>
  <c r="X64" i="27"/>
  <c r="X63" i="27"/>
  <c r="X62" i="27"/>
  <c r="X61" i="27"/>
  <c r="X60" i="27"/>
  <c r="X59" i="27"/>
  <c r="X58" i="27"/>
  <c r="X57" i="27"/>
  <c r="X56" i="27"/>
  <c r="X55" i="27"/>
  <c r="X54" i="27"/>
  <c r="X53" i="27"/>
  <c r="U72" i="27"/>
  <c r="U71" i="27"/>
  <c r="U70" i="27"/>
  <c r="U69" i="27"/>
  <c r="U68" i="27"/>
  <c r="U67" i="27"/>
  <c r="U66" i="27"/>
  <c r="U65" i="27"/>
  <c r="U64" i="27"/>
  <c r="U63" i="27"/>
  <c r="U62" i="27"/>
  <c r="U61" i="27"/>
  <c r="U60" i="27"/>
  <c r="U59" i="27"/>
  <c r="U58" i="27"/>
  <c r="U57" i="27"/>
  <c r="U56" i="27"/>
  <c r="U55" i="27"/>
  <c r="U54" i="27"/>
  <c r="U53" i="27"/>
  <c r="R72" i="27"/>
  <c r="R71" i="27"/>
  <c r="R70" i="27"/>
  <c r="R69" i="27"/>
  <c r="R68" i="27"/>
  <c r="R67" i="27"/>
  <c r="R66" i="27"/>
  <c r="R65" i="27"/>
  <c r="R64" i="27"/>
  <c r="R63" i="27"/>
  <c r="R62" i="27"/>
  <c r="R61" i="27"/>
  <c r="R60" i="27"/>
  <c r="R59" i="27"/>
  <c r="R58" i="27"/>
  <c r="R57" i="27"/>
  <c r="R56" i="27"/>
  <c r="R55" i="27"/>
  <c r="R54" i="27"/>
  <c r="R53" i="27"/>
  <c r="O72" i="27"/>
  <c r="O71" i="27"/>
  <c r="O70" i="27"/>
  <c r="O69" i="27"/>
  <c r="O68" i="27"/>
  <c r="O67" i="27"/>
  <c r="O66" i="27"/>
  <c r="O65" i="27"/>
  <c r="O64" i="27"/>
  <c r="O63" i="27"/>
  <c r="O62" i="27"/>
  <c r="O61" i="27"/>
  <c r="O60" i="27"/>
  <c r="O59" i="27"/>
  <c r="O58" i="27"/>
  <c r="O57" i="27"/>
  <c r="O56" i="27"/>
  <c r="O55" i="27"/>
  <c r="O54" i="27"/>
  <c r="O53" i="27"/>
  <c r="L72" i="27"/>
  <c r="L71" i="27"/>
  <c r="L70" i="27"/>
  <c r="L69" i="27"/>
  <c r="L68" i="27"/>
  <c r="L67" i="27"/>
  <c r="L66" i="27"/>
  <c r="L65" i="27"/>
  <c r="L64" i="27"/>
  <c r="L63" i="27"/>
  <c r="L62" i="27"/>
  <c r="L61" i="27"/>
  <c r="L60" i="27"/>
  <c r="L59" i="27"/>
  <c r="L58" i="27"/>
  <c r="L57" i="27"/>
  <c r="L56" i="27"/>
  <c r="L55" i="27"/>
  <c r="L54" i="27"/>
  <c r="L53" i="27"/>
  <c r="I72" i="27"/>
  <c r="I71" i="27"/>
  <c r="I70" i="27"/>
  <c r="I69" i="27"/>
  <c r="I68" i="27"/>
  <c r="I67" i="27"/>
  <c r="I66" i="27"/>
  <c r="I65" i="27"/>
  <c r="I64" i="27"/>
  <c r="I63" i="27"/>
  <c r="I62" i="27"/>
  <c r="I61" i="27"/>
  <c r="I60" i="27"/>
  <c r="I59" i="27"/>
  <c r="I58" i="27"/>
  <c r="I57" i="27"/>
  <c r="I56" i="27"/>
  <c r="I55" i="27"/>
  <c r="I54" i="27"/>
  <c r="I53" i="27"/>
  <c r="F72" i="27"/>
  <c r="F71" i="27"/>
  <c r="F70" i="27"/>
  <c r="F69" i="27"/>
  <c r="F68" i="27"/>
  <c r="F67" i="27"/>
  <c r="F66" i="27"/>
  <c r="F65" i="27"/>
  <c r="F64" i="27"/>
  <c r="F63" i="27"/>
  <c r="F62" i="27"/>
  <c r="F61" i="27"/>
  <c r="F60" i="27"/>
  <c r="F59" i="27"/>
  <c r="F58" i="27"/>
  <c r="F57" i="27"/>
  <c r="F56" i="27"/>
  <c r="F55" i="27"/>
  <c r="F54" i="27"/>
  <c r="F53" i="27"/>
  <c r="C54" i="27"/>
  <c r="C55" i="27"/>
  <c r="C56" i="27"/>
  <c r="C57" i="27"/>
  <c r="C58" i="27"/>
  <c r="C59" i="27"/>
  <c r="C60" i="27"/>
  <c r="C61" i="27"/>
  <c r="C62" i="27"/>
  <c r="C63" i="27"/>
  <c r="C64" i="27"/>
  <c r="C65" i="27"/>
  <c r="C66" i="27"/>
  <c r="C67" i="27"/>
  <c r="C68" i="27"/>
  <c r="C69" i="27"/>
  <c r="C70" i="27"/>
  <c r="C71" i="27"/>
  <c r="C72" i="27"/>
  <c r="C53" i="27"/>
  <c r="BS24" i="27"/>
  <c r="BR24" i="27"/>
  <c r="BQ24" i="27"/>
  <c r="BP24" i="27"/>
  <c r="BO24" i="27"/>
  <c r="BN24" i="27"/>
  <c r="BM24" i="27"/>
  <c r="BL24" i="27"/>
  <c r="BK24" i="27"/>
  <c r="BJ24" i="27"/>
  <c r="AP24" i="27" l="1"/>
  <c r="AQ24" i="27"/>
  <c r="AR24" i="27"/>
  <c r="AS24" i="27"/>
  <c r="AT24" i="27"/>
  <c r="AU24" i="27"/>
  <c r="AV24" i="27"/>
  <c r="AW24" i="27"/>
  <c r="AX24" i="27"/>
  <c r="AO24" i="27"/>
  <c r="C33" i="9" l="1"/>
  <c r="C34" i="9"/>
  <c r="C32" i="9"/>
  <c r="C27" i="9"/>
  <c r="C28" i="9"/>
  <c r="C29" i="9"/>
  <c r="C30" i="9"/>
  <c r="C26" i="9"/>
  <c r="C23" i="9"/>
  <c r="C24" i="9"/>
  <c r="C22" i="9"/>
  <c r="C18" i="9"/>
  <c r="C19" i="9"/>
  <c r="C20" i="9"/>
  <c r="C17" i="9"/>
  <c r="C15" i="9"/>
  <c r="C14" i="9"/>
  <c r="C11" i="9"/>
  <c r="C12" i="9"/>
  <c r="C10" i="9"/>
  <c r="Q216" i="7" l="1"/>
  <c r="P216" i="7"/>
  <c r="O216" i="7"/>
  <c r="N216" i="7"/>
  <c r="L216" i="7"/>
  <c r="K216" i="7"/>
  <c r="J216" i="7"/>
  <c r="F216" i="7"/>
  <c r="E216" i="7"/>
  <c r="D216" i="7"/>
  <c r="C216" i="7"/>
  <c r="M216" i="7" s="1"/>
  <c r="Q215" i="7"/>
  <c r="P215" i="7"/>
  <c r="O215" i="7"/>
  <c r="N215" i="7"/>
  <c r="L215" i="7"/>
  <c r="K215" i="7"/>
  <c r="J215" i="7"/>
  <c r="F215" i="7"/>
  <c r="E215" i="7"/>
  <c r="D215" i="7"/>
  <c r="C215" i="7"/>
  <c r="H215" i="7" s="1"/>
  <c r="Q241" i="7"/>
  <c r="P241" i="7"/>
  <c r="O241" i="7"/>
  <c r="N241" i="7"/>
  <c r="L241" i="7"/>
  <c r="K241" i="7"/>
  <c r="J241" i="7"/>
  <c r="F241" i="7"/>
  <c r="E241" i="7"/>
  <c r="D241" i="7"/>
  <c r="C241" i="7"/>
  <c r="H241" i="7" s="1"/>
  <c r="Q249" i="7"/>
  <c r="P249" i="7"/>
  <c r="O249" i="7"/>
  <c r="N249" i="7"/>
  <c r="L249" i="7"/>
  <c r="K249" i="7"/>
  <c r="J249" i="7"/>
  <c r="F249" i="7"/>
  <c r="E249" i="7"/>
  <c r="D249" i="7"/>
  <c r="C249" i="7"/>
  <c r="M249" i="7" s="1"/>
  <c r="Q251" i="7"/>
  <c r="P251" i="7"/>
  <c r="O251" i="7"/>
  <c r="N251" i="7"/>
  <c r="L251" i="7"/>
  <c r="K251" i="7"/>
  <c r="J251" i="7"/>
  <c r="F251" i="7"/>
  <c r="E251" i="7"/>
  <c r="D251" i="7"/>
  <c r="C251" i="7"/>
  <c r="M251" i="7" s="1"/>
  <c r="Q250" i="7"/>
  <c r="P250" i="7"/>
  <c r="O250" i="7"/>
  <c r="N250" i="7"/>
  <c r="L250" i="7"/>
  <c r="K250" i="7"/>
  <c r="J250" i="7"/>
  <c r="F250" i="7"/>
  <c r="E250" i="7"/>
  <c r="D250" i="7"/>
  <c r="C250" i="7"/>
  <c r="H250" i="7" s="1"/>
  <c r="Q255" i="7"/>
  <c r="P255" i="7"/>
  <c r="O255" i="7"/>
  <c r="N255" i="7"/>
  <c r="L255" i="7"/>
  <c r="K255" i="7"/>
  <c r="J255" i="7"/>
  <c r="F255" i="7"/>
  <c r="E255" i="7"/>
  <c r="D255" i="7"/>
  <c r="C255" i="7"/>
  <c r="M255" i="7" s="1"/>
  <c r="Q254" i="7"/>
  <c r="P254" i="7"/>
  <c r="O254" i="7"/>
  <c r="N254" i="7"/>
  <c r="L254" i="7"/>
  <c r="K254" i="7"/>
  <c r="J254" i="7"/>
  <c r="F254" i="7"/>
  <c r="E254" i="7"/>
  <c r="D254" i="7"/>
  <c r="C254" i="7"/>
  <c r="H254" i="7" s="1"/>
  <c r="Q256" i="7"/>
  <c r="P256" i="7"/>
  <c r="O256" i="7"/>
  <c r="N256" i="7"/>
  <c r="L256" i="7"/>
  <c r="K256" i="7"/>
  <c r="J256" i="7"/>
  <c r="F256" i="7"/>
  <c r="E256" i="7"/>
  <c r="D256" i="7"/>
  <c r="C256" i="7"/>
  <c r="M256" i="7" s="1"/>
  <c r="Q260" i="7"/>
  <c r="P260" i="7"/>
  <c r="O260" i="7"/>
  <c r="N260" i="7"/>
  <c r="L260" i="7"/>
  <c r="K260" i="7"/>
  <c r="J260" i="7"/>
  <c r="F260" i="7"/>
  <c r="E260" i="7"/>
  <c r="D260" i="7"/>
  <c r="C260" i="7"/>
  <c r="H260" i="7" s="1"/>
  <c r="Q259" i="7"/>
  <c r="P259" i="7"/>
  <c r="O259" i="7"/>
  <c r="N259" i="7"/>
  <c r="L259" i="7"/>
  <c r="K259" i="7"/>
  <c r="J259" i="7"/>
  <c r="F259" i="7"/>
  <c r="E259" i="7"/>
  <c r="D259" i="7"/>
  <c r="C259" i="7"/>
  <c r="G259" i="7" s="1"/>
  <c r="Q261" i="7"/>
  <c r="P261" i="7"/>
  <c r="O261" i="7"/>
  <c r="N261" i="7"/>
  <c r="L261" i="7"/>
  <c r="K261" i="7"/>
  <c r="J261" i="7"/>
  <c r="F261" i="7"/>
  <c r="E261" i="7"/>
  <c r="D261" i="7"/>
  <c r="C261" i="7"/>
  <c r="M261" i="7" s="1"/>
  <c r="Q218" i="7"/>
  <c r="P218" i="7"/>
  <c r="O218" i="7"/>
  <c r="N218" i="7"/>
  <c r="L218" i="7"/>
  <c r="K218" i="7"/>
  <c r="J218" i="7"/>
  <c r="F218" i="7"/>
  <c r="E218" i="7"/>
  <c r="D218" i="7"/>
  <c r="C218" i="7"/>
  <c r="M218" i="7" s="1"/>
  <c r="Q217" i="7"/>
  <c r="P217" i="7"/>
  <c r="O217" i="7"/>
  <c r="N217" i="7"/>
  <c r="L217" i="7"/>
  <c r="K217" i="7"/>
  <c r="J217" i="7"/>
  <c r="F217" i="7"/>
  <c r="E217" i="7"/>
  <c r="D217" i="7"/>
  <c r="C217" i="7"/>
  <c r="H217" i="7" s="1"/>
  <c r="Q214" i="7"/>
  <c r="P214" i="7"/>
  <c r="O214" i="7"/>
  <c r="N214" i="7"/>
  <c r="L214" i="7"/>
  <c r="K214" i="7"/>
  <c r="J214" i="7"/>
  <c r="F214" i="7"/>
  <c r="E214" i="7"/>
  <c r="D214" i="7"/>
  <c r="C214" i="7"/>
  <c r="G214" i="7" s="1"/>
  <c r="Q224" i="7"/>
  <c r="P224" i="7"/>
  <c r="O224" i="7"/>
  <c r="N224" i="7"/>
  <c r="L224" i="7"/>
  <c r="K224" i="7"/>
  <c r="J224" i="7"/>
  <c r="F224" i="7"/>
  <c r="E224" i="7"/>
  <c r="D224" i="7"/>
  <c r="C224" i="7"/>
  <c r="M224" i="7" s="1"/>
  <c r="Q223" i="7"/>
  <c r="P223" i="7"/>
  <c r="O223" i="7"/>
  <c r="N223" i="7"/>
  <c r="L223" i="7"/>
  <c r="K223" i="7"/>
  <c r="J223" i="7"/>
  <c r="F223" i="7"/>
  <c r="E223" i="7"/>
  <c r="D223" i="7"/>
  <c r="C223" i="7"/>
  <c r="H223" i="7" s="1"/>
  <c r="Q243" i="7"/>
  <c r="P243" i="7"/>
  <c r="O243" i="7"/>
  <c r="N243" i="7"/>
  <c r="L243" i="7"/>
  <c r="K243" i="7"/>
  <c r="J243" i="7"/>
  <c r="F243" i="7"/>
  <c r="E243" i="7"/>
  <c r="D243" i="7"/>
  <c r="C243" i="7"/>
  <c r="M243" i="7" s="1"/>
  <c r="Q242" i="7"/>
  <c r="P242" i="7"/>
  <c r="O242" i="7"/>
  <c r="N242" i="7"/>
  <c r="L242" i="7"/>
  <c r="K242" i="7"/>
  <c r="J242" i="7"/>
  <c r="F242" i="7"/>
  <c r="E242" i="7"/>
  <c r="D242" i="7"/>
  <c r="C242" i="7"/>
  <c r="H242" i="7" s="1"/>
  <c r="Q240" i="7"/>
  <c r="P240" i="7"/>
  <c r="O240" i="7"/>
  <c r="N240" i="7"/>
  <c r="L240" i="7"/>
  <c r="K240" i="7"/>
  <c r="J240" i="7"/>
  <c r="F240" i="7"/>
  <c r="E240" i="7"/>
  <c r="D240" i="7"/>
  <c r="C240" i="7"/>
  <c r="G240" i="7" s="1"/>
  <c r="Q245" i="7"/>
  <c r="P245" i="7"/>
  <c r="O245" i="7"/>
  <c r="N245" i="7"/>
  <c r="L245" i="7"/>
  <c r="K245" i="7"/>
  <c r="J245" i="7"/>
  <c r="F245" i="7"/>
  <c r="E245" i="7"/>
  <c r="D245" i="7"/>
  <c r="C245" i="7"/>
  <c r="M245" i="7" s="1"/>
  <c r="Q244" i="7"/>
  <c r="P244" i="7"/>
  <c r="O244" i="7"/>
  <c r="N244" i="7"/>
  <c r="L244" i="7"/>
  <c r="K244" i="7"/>
  <c r="J244" i="7"/>
  <c r="F244" i="7"/>
  <c r="E244" i="7"/>
  <c r="D244" i="7"/>
  <c r="C244" i="7"/>
  <c r="H244" i="7" s="1"/>
  <c r="Q232" i="7"/>
  <c r="P232" i="7"/>
  <c r="O232" i="7"/>
  <c r="N232" i="7"/>
  <c r="L232" i="7"/>
  <c r="K232" i="7"/>
  <c r="J232" i="7"/>
  <c r="F232" i="7"/>
  <c r="E232" i="7"/>
  <c r="D232" i="7"/>
  <c r="C232" i="7"/>
  <c r="M232" i="7" s="1"/>
  <c r="Q231" i="7"/>
  <c r="P231" i="7"/>
  <c r="O231" i="7"/>
  <c r="N231" i="7"/>
  <c r="L231" i="7"/>
  <c r="K231" i="7"/>
  <c r="J231" i="7"/>
  <c r="F231" i="7"/>
  <c r="E231" i="7"/>
  <c r="D231" i="7"/>
  <c r="C231" i="7"/>
  <c r="G231" i="7" s="1"/>
  <c r="Q230" i="7"/>
  <c r="P230" i="7"/>
  <c r="O230" i="7"/>
  <c r="N230" i="7"/>
  <c r="L230" i="7"/>
  <c r="K230" i="7"/>
  <c r="J230" i="7"/>
  <c r="F230" i="7"/>
  <c r="E230" i="7"/>
  <c r="D230" i="7"/>
  <c r="C230" i="7"/>
  <c r="G230" i="7" s="1"/>
  <c r="Q229" i="7"/>
  <c r="P229" i="7"/>
  <c r="O229" i="7"/>
  <c r="N229" i="7"/>
  <c r="L229" i="7"/>
  <c r="K229" i="7"/>
  <c r="J229" i="7"/>
  <c r="F229" i="7"/>
  <c r="E229" i="7"/>
  <c r="D229" i="7"/>
  <c r="C229" i="7"/>
  <c r="M229" i="7" s="1"/>
  <c r="Q228" i="7"/>
  <c r="P228" i="7"/>
  <c r="O228" i="7"/>
  <c r="N228" i="7"/>
  <c r="L228" i="7"/>
  <c r="K228" i="7"/>
  <c r="J228" i="7"/>
  <c r="F228" i="7"/>
  <c r="E228" i="7"/>
  <c r="D228" i="7"/>
  <c r="C228" i="7"/>
  <c r="H228" i="7" s="1"/>
  <c r="Q201" i="7"/>
  <c r="P201" i="7"/>
  <c r="O201" i="7"/>
  <c r="N201" i="7"/>
  <c r="L201" i="7"/>
  <c r="K201" i="7"/>
  <c r="J201" i="7"/>
  <c r="F201" i="7"/>
  <c r="E201" i="7"/>
  <c r="D201" i="7"/>
  <c r="C201" i="7"/>
  <c r="M201" i="7" s="1"/>
  <c r="Q200" i="7"/>
  <c r="P200" i="7"/>
  <c r="O200" i="7"/>
  <c r="N200" i="7"/>
  <c r="L200" i="7"/>
  <c r="K200" i="7"/>
  <c r="J200" i="7"/>
  <c r="F200" i="7"/>
  <c r="E200" i="7"/>
  <c r="D200" i="7"/>
  <c r="C200" i="7"/>
  <c r="G200" i="7" s="1"/>
  <c r="Q199" i="7"/>
  <c r="P199" i="7"/>
  <c r="O199" i="7"/>
  <c r="N199" i="7"/>
  <c r="L199" i="7"/>
  <c r="K199" i="7"/>
  <c r="J199" i="7"/>
  <c r="F199" i="7"/>
  <c r="E199" i="7"/>
  <c r="D199" i="7"/>
  <c r="C199" i="7"/>
  <c r="G199" i="7" s="1"/>
  <c r="Q188" i="7"/>
  <c r="P188" i="7"/>
  <c r="O188" i="7"/>
  <c r="N188" i="7"/>
  <c r="L188" i="7"/>
  <c r="K188" i="7"/>
  <c r="J188" i="7"/>
  <c r="F188" i="7"/>
  <c r="E188" i="7"/>
  <c r="D188" i="7"/>
  <c r="C188" i="7"/>
  <c r="M188" i="7" s="1"/>
  <c r="Q187" i="7"/>
  <c r="P187" i="7"/>
  <c r="O187" i="7"/>
  <c r="N187" i="7"/>
  <c r="L187" i="7"/>
  <c r="K187" i="7"/>
  <c r="J187" i="7"/>
  <c r="F187" i="7"/>
  <c r="E187" i="7"/>
  <c r="D187" i="7"/>
  <c r="C187" i="7"/>
  <c r="H187" i="7" s="1"/>
  <c r="Q186" i="7"/>
  <c r="P186" i="7"/>
  <c r="O186" i="7"/>
  <c r="N186" i="7"/>
  <c r="L186" i="7"/>
  <c r="K186" i="7"/>
  <c r="J186" i="7"/>
  <c r="F186" i="7"/>
  <c r="E186" i="7"/>
  <c r="D186" i="7"/>
  <c r="C186" i="7"/>
  <c r="G186" i="7" s="1"/>
  <c r="Q180" i="7"/>
  <c r="P180" i="7"/>
  <c r="O180" i="7"/>
  <c r="N180" i="7"/>
  <c r="L180" i="7"/>
  <c r="K180" i="7"/>
  <c r="J180" i="7"/>
  <c r="F180" i="7"/>
  <c r="E180" i="7"/>
  <c r="D180" i="7"/>
  <c r="C180" i="7"/>
  <c r="M180" i="7" s="1"/>
  <c r="Q179" i="7"/>
  <c r="P179" i="7"/>
  <c r="O179" i="7"/>
  <c r="N179" i="7"/>
  <c r="L179" i="7"/>
  <c r="K179" i="7"/>
  <c r="J179" i="7"/>
  <c r="F179" i="7"/>
  <c r="E179" i="7"/>
  <c r="D179" i="7"/>
  <c r="C179" i="7"/>
  <c r="H179" i="7" s="1"/>
  <c r="Q178" i="7"/>
  <c r="P178" i="7"/>
  <c r="O178" i="7"/>
  <c r="N178" i="7"/>
  <c r="L178" i="7"/>
  <c r="K178" i="7"/>
  <c r="J178" i="7"/>
  <c r="F178" i="7"/>
  <c r="E178" i="7"/>
  <c r="D178" i="7"/>
  <c r="C178" i="7"/>
  <c r="G178" i="7" s="1"/>
  <c r="Q171" i="7"/>
  <c r="P171" i="7"/>
  <c r="O171" i="7"/>
  <c r="N171" i="7"/>
  <c r="L171" i="7"/>
  <c r="K171" i="7"/>
  <c r="J171" i="7"/>
  <c r="F171" i="7"/>
  <c r="E171" i="7"/>
  <c r="D171" i="7"/>
  <c r="C171" i="7"/>
  <c r="M171" i="7" s="1"/>
  <c r="Q170" i="7"/>
  <c r="P170" i="7"/>
  <c r="O170" i="7"/>
  <c r="N170" i="7"/>
  <c r="L170" i="7"/>
  <c r="K170" i="7"/>
  <c r="J170" i="7"/>
  <c r="F170" i="7"/>
  <c r="E170" i="7"/>
  <c r="D170" i="7"/>
  <c r="C170" i="7"/>
  <c r="H170" i="7" s="1"/>
  <c r="Q169" i="7"/>
  <c r="P169" i="7"/>
  <c r="O169" i="7"/>
  <c r="N169" i="7"/>
  <c r="L169" i="7"/>
  <c r="K169" i="7"/>
  <c r="J169" i="7"/>
  <c r="F169" i="7"/>
  <c r="E169" i="7"/>
  <c r="D169" i="7"/>
  <c r="C169" i="7"/>
  <c r="G169" i="7" s="1"/>
  <c r="Q168" i="7"/>
  <c r="P168" i="7"/>
  <c r="O168" i="7"/>
  <c r="N168" i="7"/>
  <c r="L168" i="7"/>
  <c r="K168" i="7"/>
  <c r="J168" i="7"/>
  <c r="F168" i="7"/>
  <c r="E168" i="7"/>
  <c r="D168" i="7"/>
  <c r="C168" i="7"/>
  <c r="G168" i="7" s="1"/>
  <c r="Q167" i="7"/>
  <c r="P167" i="7"/>
  <c r="O167" i="7"/>
  <c r="N167" i="7"/>
  <c r="L167" i="7"/>
  <c r="K167" i="7"/>
  <c r="J167" i="7"/>
  <c r="F167" i="7"/>
  <c r="E167" i="7"/>
  <c r="D167" i="7"/>
  <c r="C167" i="7"/>
  <c r="M167" i="7" s="1"/>
  <c r="Q161" i="7"/>
  <c r="P161" i="7"/>
  <c r="O161" i="7"/>
  <c r="N161" i="7"/>
  <c r="L161" i="7"/>
  <c r="K161" i="7"/>
  <c r="J161" i="7"/>
  <c r="F161" i="7"/>
  <c r="E161" i="7"/>
  <c r="D161" i="7"/>
  <c r="C161" i="7"/>
  <c r="H161" i="7" s="1"/>
  <c r="Q160" i="7"/>
  <c r="P160" i="7"/>
  <c r="O160" i="7"/>
  <c r="N160" i="7"/>
  <c r="L160" i="7"/>
  <c r="K160" i="7"/>
  <c r="J160" i="7"/>
  <c r="F160" i="7"/>
  <c r="E160" i="7"/>
  <c r="D160" i="7"/>
  <c r="C160" i="7"/>
  <c r="G160" i="7" s="1"/>
  <c r="Q159" i="7"/>
  <c r="P159" i="7"/>
  <c r="O159" i="7"/>
  <c r="N159" i="7"/>
  <c r="L159" i="7"/>
  <c r="K159" i="7"/>
  <c r="J159" i="7"/>
  <c r="F159" i="7"/>
  <c r="E159" i="7"/>
  <c r="D159" i="7"/>
  <c r="C159" i="7"/>
  <c r="M159" i="7" s="1"/>
  <c r="Q158" i="7"/>
  <c r="P158" i="7"/>
  <c r="O158" i="7"/>
  <c r="N158" i="7"/>
  <c r="L158" i="7"/>
  <c r="K158" i="7"/>
  <c r="J158" i="7"/>
  <c r="F158" i="7"/>
  <c r="E158" i="7"/>
  <c r="D158" i="7"/>
  <c r="C158" i="7"/>
  <c r="M158" i="7" s="1"/>
  <c r="Q157" i="7"/>
  <c r="P157" i="7"/>
  <c r="O157" i="7"/>
  <c r="N157" i="7"/>
  <c r="L157" i="7"/>
  <c r="K157" i="7"/>
  <c r="J157" i="7"/>
  <c r="F157" i="7"/>
  <c r="E157" i="7"/>
  <c r="D157" i="7"/>
  <c r="C157" i="7"/>
  <c r="H157" i="7" s="1"/>
  <c r="Q139" i="7"/>
  <c r="P139" i="7"/>
  <c r="O139" i="7"/>
  <c r="N139" i="7"/>
  <c r="L139" i="7"/>
  <c r="K139" i="7"/>
  <c r="J139" i="7"/>
  <c r="F139" i="7"/>
  <c r="E139" i="7"/>
  <c r="D139" i="7"/>
  <c r="C139" i="7"/>
  <c r="H139" i="7" s="1"/>
  <c r="Q138" i="7"/>
  <c r="P138" i="7"/>
  <c r="O138" i="7"/>
  <c r="N138" i="7"/>
  <c r="L138" i="7"/>
  <c r="K138" i="7"/>
  <c r="J138" i="7"/>
  <c r="F138" i="7"/>
  <c r="E138" i="7"/>
  <c r="D138" i="7"/>
  <c r="C138" i="7"/>
  <c r="G138" i="7" s="1"/>
  <c r="Q137" i="7"/>
  <c r="P137" i="7"/>
  <c r="O137" i="7"/>
  <c r="N137" i="7"/>
  <c r="L137" i="7"/>
  <c r="K137" i="7"/>
  <c r="J137" i="7"/>
  <c r="F137" i="7"/>
  <c r="E137" i="7"/>
  <c r="D137" i="7"/>
  <c r="C137" i="7"/>
  <c r="M137" i="7" s="1"/>
  <c r="Q136" i="7"/>
  <c r="P136" i="7"/>
  <c r="O136" i="7"/>
  <c r="N136" i="7"/>
  <c r="L136" i="7"/>
  <c r="K136" i="7"/>
  <c r="J136" i="7"/>
  <c r="F136" i="7"/>
  <c r="E136" i="7"/>
  <c r="D136" i="7"/>
  <c r="C136" i="7"/>
  <c r="M136" i="7" s="1"/>
  <c r="Q135" i="7"/>
  <c r="P135" i="7"/>
  <c r="O135" i="7"/>
  <c r="N135" i="7"/>
  <c r="L135" i="7"/>
  <c r="K135" i="7"/>
  <c r="J135" i="7"/>
  <c r="F135" i="7"/>
  <c r="E135" i="7"/>
  <c r="D135" i="7"/>
  <c r="C135" i="7"/>
  <c r="H135" i="7" s="1"/>
  <c r="Q134" i="7"/>
  <c r="P134" i="7"/>
  <c r="O134" i="7"/>
  <c r="N134" i="7"/>
  <c r="L134" i="7"/>
  <c r="K134" i="7"/>
  <c r="J134" i="7"/>
  <c r="F134" i="7"/>
  <c r="E134" i="7"/>
  <c r="D134" i="7"/>
  <c r="C134" i="7"/>
  <c r="G134" i="7" s="1"/>
  <c r="Q133" i="7"/>
  <c r="P133" i="7"/>
  <c r="O133" i="7"/>
  <c r="N133" i="7"/>
  <c r="L133" i="7"/>
  <c r="K133" i="7"/>
  <c r="J133" i="7"/>
  <c r="F133" i="7"/>
  <c r="E133" i="7"/>
  <c r="D133" i="7"/>
  <c r="C133" i="7"/>
  <c r="M133" i="7" s="1"/>
  <c r="Q132" i="7"/>
  <c r="P132" i="7"/>
  <c r="O132" i="7"/>
  <c r="N132" i="7"/>
  <c r="L132" i="7"/>
  <c r="K132" i="7"/>
  <c r="J132" i="7"/>
  <c r="F132" i="7"/>
  <c r="E132" i="7"/>
  <c r="D132" i="7"/>
  <c r="C132" i="7"/>
  <c r="M132" i="7" s="1"/>
  <c r="Q121" i="7"/>
  <c r="P121" i="7"/>
  <c r="O121" i="7"/>
  <c r="N121" i="7"/>
  <c r="L121" i="7"/>
  <c r="K121" i="7"/>
  <c r="J121" i="7"/>
  <c r="F121" i="7"/>
  <c r="E121" i="7"/>
  <c r="D121" i="7"/>
  <c r="C121" i="7"/>
  <c r="M121" i="7" s="1"/>
  <c r="Q120" i="7"/>
  <c r="P120" i="7"/>
  <c r="O120" i="7"/>
  <c r="N120" i="7"/>
  <c r="L120" i="7"/>
  <c r="K120" i="7"/>
  <c r="J120" i="7"/>
  <c r="F120" i="7"/>
  <c r="E120" i="7"/>
  <c r="D120" i="7"/>
  <c r="C120" i="7"/>
  <c r="H120" i="7" s="1"/>
  <c r="Q119" i="7"/>
  <c r="P119" i="7"/>
  <c r="O119" i="7"/>
  <c r="N119" i="7"/>
  <c r="L119" i="7"/>
  <c r="K119" i="7"/>
  <c r="J119" i="7"/>
  <c r="F119" i="7"/>
  <c r="E119" i="7"/>
  <c r="D119" i="7"/>
  <c r="C119" i="7"/>
  <c r="G119" i="7" s="1"/>
  <c r="Q118" i="7"/>
  <c r="P118" i="7"/>
  <c r="O118" i="7"/>
  <c r="N118" i="7"/>
  <c r="L118" i="7"/>
  <c r="K118" i="7"/>
  <c r="J118" i="7"/>
  <c r="F118" i="7"/>
  <c r="E118" i="7"/>
  <c r="D118" i="7"/>
  <c r="C118" i="7"/>
  <c r="G118" i="7" s="1"/>
  <c r="Q117" i="7"/>
  <c r="P117" i="7"/>
  <c r="O117" i="7"/>
  <c r="N117" i="7"/>
  <c r="L117" i="7"/>
  <c r="K117" i="7"/>
  <c r="J117" i="7"/>
  <c r="F117" i="7"/>
  <c r="E117" i="7"/>
  <c r="D117" i="7"/>
  <c r="C117" i="7"/>
  <c r="M117" i="7" s="1"/>
  <c r="Q116" i="7"/>
  <c r="P116" i="7"/>
  <c r="O116" i="7"/>
  <c r="N116" i="7"/>
  <c r="L116" i="7"/>
  <c r="K116" i="7"/>
  <c r="J116" i="7"/>
  <c r="F116" i="7"/>
  <c r="E116" i="7"/>
  <c r="D116" i="7"/>
  <c r="C116" i="7"/>
  <c r="G116" i="7" s="1"/>
  <c r="Q115" i="7"/>
  <c r="P115" i="7"/>
  <c r="O115" i="7"/>
  <c r="N115" i="7"/>
  <c r="L115" i="7"/>
  <c r="K115" i="7"/>
  <c r="J115" i="7"/>
  <c r="F115" i="7"/>
  <c r="E115" i="7"/>
  <c r="D115" i="7"/>
  <c r="C115" i="7"/>
  <c r="G115" i="7" s="1"/>
  <c r="Q114" i="7"/>
  <c r="P114" i="7"/>
  <c r="O114" i="7"/>
  <c r="N114" i="7"/>
  <c r="L114" i="7"/>
  <c r="K114" i="7"/>
  <c r="J114" i="7"/>
  <c r="F114" i="7"/>
  <c r="E114" i="7"/>
  <c r="D114" i="7"/>
  <c r="C114" i="7"/>
  <c r="H114" i="7" s="1"/>
  <c r="I241" i="7" l="1"/>
  <c r="G215" i="7"/>
  <c r="I215" i="7"/>
  <c r="M215" i="7"/>
  <c r="G216" i="7"/>
  <c r="M241" i="7"/>
  <c r="H216" i="7"/>
  <c r="I216" i="7"/>
  <c r="G241" i="7"/>
  <c r="I250" i="7"/>
  <c r="M250" i="7"/>
  <c r="G249" i="7"/>
  <c r="H249" i="7"/>
  <c r="I249" i="7"/>
  <c r="G251" i="7"/>
  <c r="G250" i="7"/>
  <c r="H251" i="7"/>
  <c r="I251" i="7"/>
  <c r="I254" i="7"/>
  <c r="M254" i="7"/>
  <c r="G254" i="7"/>
  <c r="H255" i="7"/>
  <c r="G255" i="7"/>
  <c r="I259" i="7"/>
  <c r="M259" i="7"/>
  <c r="I255" i="7"/>
  <c r="I260" i="7"/>
  <c r="G256" i="7"/>
  <c r="H259" i="7"/>
  <c r="H256" i="7"/>
  <c r="M260" i="7"/>
  <c r="I256" i="7"/>
  <c r="G260" i="7"/>
  <c r="G261" i="7"/>
  <c r="I214" i="7"/>
  <c r="M214" i="7"/>
  <c r="H261" i="7"/>
  <c r="I261" i="7"/>
  <c r="H218" i="7"/>
  <c r="H214" i="7"/>
  <c r="I217" i="7"/>
  <c r="M217" i="7"/>
  <c r="G218" i="7"/>
  <c r="G217" i="7"/>
  <c r="I223" i="7"/>
  <c r="M223" i="7"/>
  <c r="I218" i="7"/>
  <c r="G224" i="7"/>
  <c r="G223" i="7"/>
  <c r="H224" i="7"/>
  <c r="I224" i="7"/>
  <c r="I240" i="7"/>
  <c r="M240" i="7"/>
  <c r="G243" i="7"/>
  <c r="G242" i="7"/>
  <c r="H240" i="7"/>
  <c r="I242" i="7"/>
  <c r="M242" i="7"/>
  <c r="H243" i="7"/>
  <c r="I244" i="7"/>
  <c r="M244" i="7"/>
  <c r="I243" i="7"/>
  <c r="H231" i="7"/>
  <c r="G245" i="7"/>
  <c r="I231" i="7"/>
  <c r="M231" i="7"/>
  <c r="G244" i="7"/>
  <c r="H245" i="7"/>
  <c r="I228" i="7"/>
  <c r="M228" i="7"/>
  <c r="H230" i="7"/>
  <c r="I245" i="7"/>
  <c r="H200" i="7"/>
  <c r="G229" i="7"/>
  <c r="I200" i="7"/>
  <c r="M200" i="7"/>
  <c r="G228" i="7"/>
  <c r="H229" i="7"/>
  <c r="I230" i="7"/>
  <c r="M230" i="7"/>
  <c r="G232" i="7"/>
  <c r="I229" i="7"/>
  <c r="H232" i="7"/>
  <c r="H199" i="7"/>
  <c r="I199" i="7"/>
  <c r="M199" i="7"/>
  <c r="I232" i="7"/>
  <c r="M186" i="7"/>
  <c r="G201" i="7"/>
  <c r="H201" i="7"/>
  <c r="I186" i="7"/>
  <c r="I201" i="7"/>
  <c r="H178" i="7"/>
  <c r="I178" i="7"/>
  <c r="M178" i="7"/>
  <c r="H186" i="7"/>
  <c r="I187" i="7"/>
  <c r="M187" i="7"/>
  <c r="G188" i="7"/>
  <c r="G187" i="7"/>
  <c r="H188" i="7"/>
  <c r="I179" i="7"/>
  <c r="M179" i="7"/>
  <c r="I188" i="7"/>
  <c r="G180" i="7"/>
  <c r="H168" i="7"/>
  <c r="G179" i="7"/>
  <c r="H180" i="7"/>
  <c r="I169" i="7"/>
  <c r="M169" i="7"/>
  <c r="I168" i="7"/>
  <c r="M168" i="7"/>
  <c r="I180" i="7"/>
  <c r="G167" i="7"/>
  <c r="I161" i="7"/>
  <c r="M161" i="7"/>
  <c r="H169" i="7"/>
  <c r="I170" i="7"/>
  <c r="M170" i="7"/>
  <c r="G171" i="7"/>
  <c r="H160" i="7"/>
  <c r="H167" i="7"/>
  <c r="G170" i="7"/>
  <c r="H171" i="7"/>
  <c r="I157" i="7"/>
  <c r="M157" i="7"/>
  <c r="I160" i="7"/>
  <c r="M160" i="7"/>
  <c r="I167" i="7"/>
  <c r="I171" i="7"/>
  <c r="G159" i="7"/>
  <c r="G158" i="7"/>
  <c r="H159" i="7"/>
  <c r="G157" i="7"/>
  <c r="H158" i="7"/>
  <c r="I159" i="7"/>
  <c r="G161" i="7"/>
  <c r="I158" i="7"/>
  <c r="I134" i="7"/>
  <c r="M134" i="7"/>
  <c r="I135" i="7"/>
  <c r="M135" i="7"/>
  <c r="I138" i="7"/>
  <c r="M138" i="7"/>
  <c r="H134" i="7"/>
  <c r="H138" i="7"/>
  <c r="I139" i="7"/>
  <c r="M139" i="7"/>
  <c r="G133" i="7"/>
  <c r="G137" i="7"/>
  <c r="G132" i="7"/>
  <c r="H133" i="7"/>
  <c r="G136" i="7"/>
  <c r="H137" i="7"/>
  <c r="I119" i="7"/>
  <c r="M119" i="7"/>
  <c r="H132" i="7"/>
  <c r="I133" i="7"/>
  <c r="G135" i="7"/>
  <c r="H136" i="7"/>
  <c r="I137" i="7"/>
  <c r="G139" i="7"/>
  <c r="I116" i="7"/>
  <c r="M116" i="7"/>
  <c r="I132" i="7"/>
  <c r="I136" i="7"/>
  <c r="I115" i="7"/>
  <c r="M115" i="7"/>
  <c r="H116" i="7"/>
  <c r="H119" i="7"/>
  <c r="H115" i="7"/>
  <c r="I120" i="7"/>
  <c r="M120" i="7"/>
  <c r="G114" i="7"/>
  <c r="G117" i="7"/>
  <c r="H118" i="7"/>
  <c r="G121" i="7"/>
  <c r="I114" i="7"/>
  <c r="M114" i="7"/>
  <c r="H117" i="7"/>
  <c r="I118" i="7"/>
  <c r="M118" i="7"/>
  <c r="G120" i="7"/>
  <c r="H121" i="7"/>
  <c r="I117" i="7"/>
  <c r="I121" i="7"/>
  <c r="K24" i="27"/>
  <c r="N24" i="27"/>
  <c r="Q24" i="27"/>
  <c r="T24" i="27"/>
  <c r="W24" i="27"/>
  <c r="Z24" i="27"/>
  <c r="AA24" i="27"/>
  <c r="AB24" i="27"/>
  <c r="AC24" i="27"/>
  <c r="H24" i="27"/>
  <c r="A4" i="18" l="1"/>
  <c r="B47" i="13"/>
  <c r="B48" i="13"/>
  <c r="B49" i="13"/>
  <c r="B50" i="13"/>
  <c r="B51" i="13"/>
  <c r="B52" i="13"/>
  <c r="B53" i="13"/>
  <c r="B54" i="13"/>
  <c r="B55" i="13"/>
  <c r="B56" i="13"/>
  <c r="B57" i="13"/>
  <c r="B58" i="13"/>
  <c r="B59" i="13"/>
  <c r="B60" i="13"/>
  <c r="B61" i="13"/>
  <c r="B62" i="13"/>
  <c r="B63" i="13"/>
  <c r="B64" i="13"/>
  <c r="B65" i="13"/>
  <c r="B66" i="13"/>
  <c r="B67" i="13"/>
  <c r="B68" i="13"/>
  <c r="B69" i="13"/>
  <c r="B70" i="13"/>
  <c r="B71" i="13"/>
  <c r="B72" i="13"/>
  <c r="B73" i="13"/>
  <c r="B74" i="13"/>
  <c r="B75" i="13"/>
  <c r="B76" i="13"/>
  <c r="B77" i="13"/>
  <c r="B78" i="13"/>
  <c r="B79" i="13"/>
  <c r="B80" i="13"/>
  <c r="B81" i="13"/>
  <c r="B82" i="13"/>
  <c r="B83" i="13"/>
  <c r="B84" i="13"/>
  <c r="B85" i="13"/>
  <c r="B86" i="13"/>
  <c r="B87" i="13"/>
  <c r="B88" i="13"/>
  <c r="B89" i="13"/>
  <c r="B90" i="13"/>
  <c r="B91" i="13"/>
  <c r="B92" i="13"/>
  <c r="B93" i="13"/>
  <c r="B94" i="13"/>
  <c r="B95" i="13"/>
  <c r="B96" i="13"/>
  <c r="B46" i="13"/>
  <c r="G5" i="18" l="1"/>
  <c r="F24" i="18"/>
  <c r="G24" i="18" s="1"/>
  <c r="E24" i="18"/>
  <c r="E23" i="18"/>
  <c r="F23" i="18"/>
  <c r="G23" i="18" s="1"/>
  <c r="F22" i="18"/>
  <c r="G22" i="18" s="1"/>
  <c r="E22" i="18"/>
  <c r="G96" i="13"/>
  <c r="G64" i="13"/>
  <c r="H94" i="13"/>
  <c r="H90" i="13"/>
  <c r="H86" i="13"/>
  <c r="H82" i="13"/>
  <c r="H78" i="13"/>
  <c r="H74" i="13"/>
  <c r="H70" i="13"/>
  <c r="H66" i="13"/>
  <c r="H62" i="13"/>
  <c r="H58" i="13"/>
  <c r="H54" i="13"/>
  <c r="H50" i="13"/>
  <c r="G88" i="13"/>
  <c r="G56" i="13"/>
  <c r="H93" i="13"/>
  <c r="H89" i="13"/>
  <c r="H85" i="13"/>
  <c r="H81" i="13"/>
  <c r="H77" i="13"/>
  <c r="H73" i="13"/>
  <c r="H69" i="13"/>
  <c r="H65" i="13"/>
  <c r="H61" i="13"/>
  <c r="H57" i="13"/>
  <c r="H53" i="13"/>
  <c r="H49" i="13"/>
  <c r="G80" i="13"/>
  <c r="H96" i="13"/>
  <c r="H92" i="13"/>
  <c r="H88" i="13"/>
  <c r="H84" i="13"/>
  <c r="H80" i="13"/>
  <c r="H76" i="13"/>
  <c r="H72" i="13"/>
  <c r="H68" i="13"/>
  <c r="H64" i="13"/>
  <c r="H60" i="13"/>
  <c r="H56" i="13"/>
  <c r="H52" i="13"/>
  <c r="H48" i="13"/>
  <c r="G72" i="13"/>
  <c r="H95" i="13"/>
  <c r="H91" i="13"/>
  <c r="H87" i="13"/>
  <c r="H83" i="13"/>
  <c r="H79" i="13"/>
  <c r="H75" i="13"/>
  <c r="H71" i="13"/>
  <c r="H67" i="13"/>
  <c r="H63" i="13"/>
  <c r="H59" i="13"/>
  <c r="H55" i="13"/>
  <c r="H51" i="13"/>
  <c r="H47" i="13"/>
  <c r="G48" i="13"/>
  <c r="G91" i="13"/>
  <c r="G83" i="13"/>
  <c r="G75" i="13"/>
  <c r="G67" i="13"/>
  <c r="G59" i="13"/>
  <c r="G51" i="13"/>
  <c r="G95" i="13"/>
  <c r="G87" i="13"/>
  <c r="G79" i="13"/>
  <c r="G71" i="13"/>
  <c r="G63" i="13"/>
  <c r="G55" i="13"/>
  <c r="G47" i="13"/>
  <c r="G92" i="13"/>
  <c r="G84" i="13"/>
  <c r="G76" i="13"/>
  <c r="G68" i="13"/>
  <c r="G60" i="13"/>
  <c r="G52" i="13"/>
  <c r="H46" i="13"/>
  <c r="G94" i="13"/>
  <c r="G90" i="13"/>
  <c r="G86" i="13"/>
  <c r="G82" i="13"/>
  <c r="G78" i="13"/>
  <c r="G74" i="13"/>
  <c r="G70" i="13"/>
  <c r="G66" i="13"/>
  <c r="G62" i="13"/>
  <c r="G58" i="13"/>
  <c r="G54" i="13"/>
  <c r="G50" i="13"/>
  <c r="G93" i="13"/>
  <c r="G89" i="13"/>
  <c r="G85" i="13"/>
  <c r="G81" i="13"/>
  <c r="G77" i="13"/>
  <c r="G73" i="13"/>
  <c r="G69" i="13"/>
  <c r="G65" i="13"/>
  <c r="G61" i="13"/>
  <c r="G57" i="13"/>
  <c r="G53" i="13"/>
  <c r="G49" i="13"/>
  <c r="G46" i="13"/>
  <c r="E52" i="13"/>
  <c r="F90" i="13"/>
  <c r="F82" i="13"/>
  <c r="F74" i="13"/>
  <c r="F66" i="13"/>
  <c r="F58" i="13"/>
  <c r="F50" i="13"/>
  <c r="F96" i="13"/>
  <c r="F88" i="13"/>
  <c r="F80" i="13"/>
  <c r="F72" i="13"/>
  <c r="F64" i="13"/>
  <c r="F56" i="13"/>
  <c r="F48" i="13"/>
  <c r="E68" i="13"/>
  <c r="F94" i="13"/>
  <c r="F86" i="13"/>
  <c r="F78" i="13"/>
  <c r="F70" i="13"/>
  <c r="F62" i="13"/>
  <c r="F54" i="13"/>
  <c r="E60" i="13"/>
  <c r="F92" i="13"/>
  <c r="F84" i="13"/>
  <c r="F76" i="13"/>
  <c r="F68" i="13"/>
  <c r="F60" i="13"/>
  <c r="F52" i="13"/>
  <c r="E64" i="13"/>
  <c r="E48" i="13"/>
  <c r="F93" i="13"/>
  <c r="F89" i="13"/>
  <c r="F85" i="13"/>
  <c r="F81" i="13"/>
  <c r="F77" i="13"/>
  <c r="F73" i="13"/>
  <c r="F69" i="13"/>
  <c r="F65" i="13"/>
  <c r="F61" i="13"/>
  <c r="F57" i="13"/>
  <c r="F53" i="13"/>
  <c r="F49" i="13"/>
  <c r="E72" i="13"/>
  <c r="E56" i="13"/>
  <c r="F95" i="13"/>
  <c r="F91" i="13"/>
  <c r="F87" i="13"/>
  <c r="F83" i="13"/>
  <c r="F79" i="13"/>
  <c r="F75" i="13"/>
  <c r="F71" i="13"/>
  <c r="F67" i="13"/>
  <c r="F63" i="13"/>
  <c r="F59" i="13"/>
  <c r="F55" i="13"/>
  <c r="F51" i="13"/>
  <c r="F47" i="13"/>
  <c r="E94" i="13"/>
  <c r="E90" i="13"/>
  <c r="E86" i="13"/>
  <c r="E82" i="13"/>
  <c r="E78" i="13"/>
  <c r="E74" i="13"/>
  <c r="E70" i="13"/>
  <c r="E66" i="13"/>
  <c r="E62" i="13"/>
  <c r="E58" i="13"/>
  <c r="E54" i="13"/>
  <c r="E50" i="13"/>
  <c r="E93" i="13"/>
  <c r="E89" i="13"/>
  <c r="E85" i="13"/>
  <c r="E81" i="13"/>
  <c r="E77" i="13"/>
  <c r="E73" i="13"/>
  <c r="E69" i="13"/>
  <c r="E65" i="13"/>
  <c r="E61" i="13"/>
  <c r="E57" i="13"/>
  <c r="E53" i="13"/>
  <c r="E49" i="13"/>
  <c r="E96" i="13"/>
  <c r="E92" i="13"/>
  <c r="E88" i="13"/>
  <c r="E84" i="13"/>
  <c r="E80" i="13"/>
  <c r="E76" i="13"/>
  <c r="E95" i="13"/>
  <c r="E91" i="13"/>
  <c r="E87" i="13"/>
  <c r="E83" i="13"/>
  <c r="E79" i="13"/>
  <c r="E75" i="13"/>
  <c r="E71" i="13"/>
  <c r="E67" i="13"/>
  <c r="E63" i="13"/>
  <c r="E59" i="13"/>
  <c r="E55" i="13"/>
  <c r="E51" i="13"/>
  <c r="E47" i="13"/>
  <c r="F46" i="13"/>
  <c r="E46" i="13"/>
  <c r="C113" i="25"/>
  <c r="M5" i="28"/>
  <c r="L5" i="28"/>
  <c r="K5" i="28"/>
  <c r="J5" i="28"/>
  <c r="I5" i="28"/>
  <c r="H5" i="28"/>
  <c r="G5" i="28"/>
  <c r="F5" i="28"/>
  <c r="E5" i="28"/>
  <c r="D5" i="28"/>
  <c r="M4" i="28"/>
  <c r="L4" i="28"/>
  <c r="K4" i="28"/>
  <c r="J4" i="28"/>
  <c r="I4" i="28"/>
  <c r="H4" i="28"/>
  <c r="G4" i="28"/>
  <c r="F4" i="28"/>
  <c r="E4" i="28"/>
  <c r="D4" i="28"/>
  <c r="M3" i="28"/>
  <c r="L3" i="28"/>
  <c r="K3" i="28"/>
  <c r="J3" i="28"/>
  <c r="I3" i="28"/>
  <c r="H3" i="28"/>
  <c r="G3" i="28"/>
  <c r="F3" i="28"/>
  <c r="E3" i="28"/>
  <c r="D3" i="28"/>
  <c r="M2" i="28"/>
  <c r="L2" i="28"/>
  <c r="K2" i="28"/>
  <c r="J2" i="28"/>
  <c r="I2" i="28"/>
  <c r="H2" i="28"/>
  <c r="G2" i="28"/>
  <c r="F2" i="28"/>
  <c r="E2" i="28"/>
  <c r="D2" i="28"/>
  <c r="N2" i="28" l="1"/>
  <c r="N3" i="28"/>
  <c r="N4" i="28"/>
  <c r="N5" i="28"/>
  <c r="AD160" i="25"/>
  <c r="AD159" i="25"/>
  <c r="AD158" i="25"/>
  <c r="AD157" i="25"/>
  <c r="AD156" i="25"/>
  <c r="AD155" i="25"/>
  <c r="AD154" i="25"/>
  <c r="AD153" i="25"/>
  <c r="AD152" i="25"/>
  <c r="AD151" i="25"/>
  <c r="AD150" i="25"/>
  <c r="AD149" i="25"/>
  <c r="AD148" i="25"/>
  <c r="AD147" i="25"/>
  <c r="AD146" i="25"/>
  <c r="AD145" i="25"/>
  <c r="AD144" i="25"/>
  <c r="AD143" i="25"/>
  <c r="AD142" i="25"/>
  <c r="AD141" i="25"/>
  <c r="AD140" i="25"/>
  <c r="AD139" i="25"/>
  <c r="AD138" i="25"/>
  <c r="AD137" i="25"/>
  <c r="AD136" i="25"/>
  <c r="AD135" i="25"/>
  <c r="AD134" i="25"/>
  <c r="AD133" i="25"/>
  <c r="AD132" i="25"/>
  <c r="AD131" i="25"/>
  <c r="AD130" i="25"/>
  <c r="AD129" i="25"/>
  <c r="AD128" i="25"/>
  <c r="AD127" i="25"/>
  <c r="F127" i="25"/>
  <c r="AD126" i="25"/>
  <c r="AD125" i="25"/>
  <c r="AD122" i="25"/>
  <c r="AG120" i="25"/>
  <c r="AF120" i="25"/>
  <c r="AE120" i="25"/>
  <c r="AD120" i="25"/>
  <c r="AC120" i="25"/>
  <c r="G120" i="25"/>
  <c r="AD119" i="25"/>
  <c r="F115" i="25"/>
  <c r="M116" i="25" s="1"/>
  <c r="M113" i="25"/>
  <c r="C112" i="25"/>
  <c r="B109" i="25"/>
  <c r="C108" i="25"/>
  <c r="AK56" i="27" s="1"/>
  <c r="B108" i="25"/>
  <c r="I108" i="25" s="1"/>
  <c r="AM56" i="27" s="1"/>
  <c r="AM57" i="27" s="1"/>
  <c r="AF107" i="25"/>
  <c r="AE107" i="25"/>
  <c r="AD107" i="25"/>
  <c r="AC107" i="25"/>
  <c r="C109" i="25" s="1"/>
  <c r="AO56" i="27" s="1"/>
  <c r="AO57" i="27" s="1"/>
  <c r="B107" i="25"/>
  <c r="B105" i="25"/>
  <c r="L105" i="25" s="1"/>
  <c r="M105" i="25" s="1"/>
  <c r="Q104" i="25"/>
  <c r="D104" i="25"/>
  <c r="E104" i="25" s="1"/>
  <c r="AD103" i="25"/>
  <c r="F112" i="25" s="1"/>
  <c r="F113" i="25" s="1"/>
  <c r="AK57" i="27" l="1"/>
  <c r="E109" i="25"/>
  <c r="J108" i="25"/>
  <c r="D108" i="25"/>
  <c r="AH104" i="25"/>
  <c r="D109" i="25"/>
  <c r="G105" i="25"/>
  <c r="H105" i="25" s="1"/>
  <c r="E108" i="25"/>
  <c r="J113" i="25"/>
  <c r="C115" i="25" s="1"/>
  <c r="C104" i="25"/>
  <c r="C107" i="25" s="1"/>
  <c r="AG56" i="27" s="1"/>
  <c r="F109" i="25"/>
  <c r="AP56" i="27" s="1"/>
  <c r="AP57" i="27" s="1"/>
  <c r="AH105" i="25"/>
  <c r="B110" i="25"/>
  <c r="G116" i="25"/>
  <c r="F104" i="25"/>
  <c r="C105" i="25"/>
  <c r="D105" i="25" s="1"/>
  <c r="I105" i="25"/>
  <c r="J105" i="25" s="1"/>
  <c r="E105" i="25"/>
  <c r="F105" i="25" s="1"/>
  <c r="L108" i="25"/>
  <c r="AN56" i="27" s="1"/>
  <c r="I109" i="25"/>
  <c r="AQ56" i="27" s="1"/>
  <c r="AQ57" i="27" s="1"/>
  <c r="D123" i="25"/>
  <c r="C123" i="25"/>
  <c r="O106" i="25"/>
  <c r="AH110" i="25"/>
  <c r="K108" i="25"/>
  <c r="F108" i="25"/>
  <c r="AL56" i="27" s="1"/>
  <c r="L109" i="25"/>
  <c r="AR56" i="27" s="1"/>
  <c r="I116" i="25"/>
  <c r="E116" i="25"/>
  <c r="H116" i="25"/>
  <c r="L116" i="25"/>
  <c r="F116" i="25"/>
  <c r="J116" i="25"/>
  <c r="L107" i="25" l="1"/>
  <c r="AJ56" i="27" s="1"/>
  <c r="AJ57" i="27" s="1"/>
  <c r="C127" i="25"/>
  <c r="AR57" i="27"/>
  <c r="AN57" i="27"/>
  <c r="AL57" i="27"/>
  <c r="AG57" i="27"/>
  <c r="J109" i="25"/>
  <c r="G109" i="25"/>
  <c r="N108" i="25"/>
  <c r="E107" i="25"/>
  <c r="I107" i="25"/>
  <c r="AI56" i="27" s="1"/>
  <c r="AI57" i="27" s="1"/>
  <c r="D127" i="25"/>
  <c r="C129" i="25" s="1"/>
  <c r="AH111" i="25"/>
  <c r="F107" i="25"/>
  <c r="AH56" i="27" s="1"/>
  <c r="AH57" i="27" s="1"/>
  <c r="K109" i="25"/>
  <c r="H109" i="25"/>
  <c r="AH108" i="25"/>
  <c r="AH103" i="25"/>
  <c r="D107" i="25"/>
  <c r="M108" i="25"/>
  <c r="AH113" i="25"/>
  <c r="N109" i="25"/>
  <c r="M109" i="25"/>
  <c r="AH114" i="25"/>
  <c r="G108" i="25"/>
  <c r="H108" i="25"/>
  <c r="AH107" i="25"/>
  <c r="AE121" i="25"/>
  <c r="AF121" i="25"/>
  <c r="AC121" i="25"/>
  <c r="AG121" i="25"/>
  <c r="AD121" i="25"/>
  <c r="AA106" i="25"/>
  <c r="W106" i="25"/>
  <c r="X106" i="25"/>
  <c r="R106" i="25"/>
  <c r="V106" i="25"/>
  <c r="Z106" i="25"/>
  <c r="P106" i="25"/>
  <c r="Q106" i="25" s="1"/>
  <c r="Y106" i="25"/>
  <c r="T106" i="25"/>
  <c r="O107" i="25"/>
  <c r="AH112" i="25" l="1"/>
  <c r="M107" i="25"/>
  <c r="N107" i="25"/>
  <c r="E120" i="25"/>
  <c r="A131" i="25"/>
  <c r="A132" i="25" s="1"/>
  <c r="A133" i="25" s="1"/>
  <c r="A134" i="25" s="1"/>
  <c r="A135" i="25" s="1"/>
  <c r="J107" i="25"/>
  <c r="H107" i="25"/>
  <c r="K107" i="25"/>
  <c r="G107" i="25"/>
  <c r="AH109" i="25"/>
  <c r="M120" i="25"/>
  <c r="AB106" i="25"/>
  <c r="N120" i="25"/>
  <c r="AD115" i="25"/>
  <c r="D118" i="25" s="1"/>
  <c r="J120" i="25"/>
  <c r="D121" i="25"/>
  <c r="E122" i="25" s="1"/>
  <c r="C114" i="25"/>
  <c r="AH106" i="25"/>
  <c r="AF115" i="25"/>
  <c r="F118" i="25" s="1"/>
  <c r="S106" i="25"/>
  <c r="U106" i="25" s="1"/>
  <c r="M124" i="25"/>
  <c r="M125" i="25"/>
  <c r="D124" i="25"/>
  <c r="D125" i="25"/>
  <c r="AA107" i="25"/>
  <c r="W107" i="25"/>
  <c r="V107" i="25"/>
  <c r="Z107" i="25"/>
  <c r="P107" i="25"/>
  <c r="Y107" i="25"/>
  <c r="T107" i="25"/>
  <c r="X107" i="25"/>
  <c r="R107" i="25"/>
  <c r="AB107" i="25" s="1"/>
  <c r="O108" i="25"/>
  <c r="J125" i="25"/>
  <c r="J124" i="25"/>
  <c r="F124" i="25"/>
  <c r="F125" i="25"/>
  <c r="H125" i="25"/>
  <c r="H124" i="25"/>
  <c r="B28" i="27"/>
  <c r="AN55" i="27" l="1"/>
  <c r="AJ55" i="27"/>
  <c r="AR55" i="27"/>
  <c r="Q107" i="25"/>
  <c r="G122" i="25"/>
  <c r="I121" i="25"/>
  <c r="L121" i="25"/>
  <c r="L122" i="25"/>
  <c r="I122" i="25"/>
  <c r="E121" i="25"/>
  <c r="G121" i="25"/>
  <c r="S107" i="25"/>
  <c r="U107" i="25" s="1"/>
  <c r="L135" i="25"/>
  <c r="G135" i="25"/>
  <c r="C135" i="25"/>
  <c r="B135" i="25"/>
  <c r="D135" i="25"/>
  <c r="F135" i="25"/>
  <c r="H135" i="25" s="1"/>
  <c r="M135" i="25"/>
  <c r="E135" i="25"/>
  <c r="A136" i="25"/>
  <c r="Y108" i="25"/>
  <c r="AA108" i="25"/>
  <c r="W108" i="25"/>
  <c r="Z108" i="25"/>
  <c r="R108" i="25"/>
  <c r="S108" i="25" s="1"/>
  <c r="O109" i="25"/>
  <c r="X108" i="25"/>
  <c r="P108" i="25"/>
  <c r="Q108" i="25" s="1"/>
  <c r="V108" i="25"/>
  <c r="T108" i="25"/>
  <c r="F134" i="25"/>
  <c r="H134" i="25" s="1"/>
  <c r="B134" i="25"/>
  <c r="C134" i="25"/>
  <c r="D134" i="25"/>
  <c r="M134" i="25"/>
  <c r="G134" i="25"/>
  <c r="E134" i="25"/>
  <c r="L134" i="25"/>
  <c r="E133" i="25"/>
  <c r="C133" i="25"/>
  <c r="D133" i="25"/>
  <c r="G133" i="25"/>
  <c r="M133" i="25"/>
  <c r="B133" i="25"/>
  <c r="L133" i="25"/>
  <c r="F133" i="25"/>
  <c r="H133" i="25" s="1"/>
  <c r="M132" i="25"/>
  <c r="D132" i="25"/>
  <c r="C132" i="25"/>
  <c r="E132" i="25"/>
  <c r="B132" i="25"/>
  <c r="G132" i="25"/>
  <c r="F132" i="25"/>
  <c r="H132" i="25" s="1"/>
  <c r="L132" i="25"/>
  <c r="L131" i="25"/>
  <c r="G131" i="25"/>
  <c r="C131" i="25"/>
  <c r="E131" i="25"/>
  <c r="M131" i="25"/>
  <c r="F131" i="25"/>
  <c r="B131" i="25"/>
  <c r="D131" i="25"/>
  <c r="J131" i="25"/>
  <c r="AP55" i="27" l="1"/>
  <c r="AO54" i="27" s="1"/>
  <c r="AL55" i="27"/>
  <c r="AM54" i="27" s="1"/>
  <c r="U108" i="25"/>
  <c r="E27" i="27"/>
  <c r="K131" i="25"/>
  <c r="J132" i="25" s="1"/>
  <c r="K132" i="25" s="1"/>
  <c r="J133" i="25" s="1"/>
  <c r="K133" i="25" s="1"/>
  <c r="J134" i="25" s="1"/>
  <c r="K134" i="25" s="1"/>
  <c r="J135" i="25" s="1"/>
  <c r="K135" i="25" s="1"/>
  <c r="J136" i="25" s="1"/>
  <c r="H27" i="27"/>
  <c r="H28" i="27"/>
  <c r="AB108" i="25"/>
  <c r="Z109" i="25"/>
  <c r="V109" i="25"/>
  <c r="R109" i="25"/>
  <c r="S109" i="25" s="1"/>
  <c r="AA109" i="25"/>
  <c r="P109" i="25"/>
  <c r="Q109" i="25" s="1"/>
  <c r="X109" i="25"/>
  <c r="W109" i="25"/>
  <c r="O110" i="25"/>
  <c r="T109" i="25"/>
  <c r="Y109" i="25"/>
  <c r="M136" i="25"/>
  <c r="D136" i="25"/>
  <c r="L136" i="25"/>
  <c r="F136" i="25"/>
  <c r="H136" i="25" s="1"/>
  <c r="G136" i="25"/>
  <c r="B136" i="25"/>
  <c r="E136" i="25"/>
  <c r="C136" i="25"/>
  <c r="A137" i="25"/>
  <c r="H131" i="25"/>
  <c r="AR54" i="27" l="1"/>
  <c r="AN54" i="27"/>
  <c r="AQ54" i="27"/>
  <c r="AK54" i="27"/>
  <c r="AL54" i="27"/>
  <c r="AP54" i="27"/>
  <c r="AH55" i="27"/>
  <c r="AB109" i="25"/>
  <c r="K136" i="25"/>
  <c r="J137" i="25" s="1"/>
  <c r="N28" i="27"/>
  <c r="N27" i="27"/>
  <c r="Q28" i="27"/>
  <c r="Q27" i="27"/>
  <c r="AF54" i="27"/>
  <c r="K27" i="27"/>
  <c r="E28" i="27"/>
  <c r="K28" i="27"/>
  <c r="U109" i="25"/>
  <c r="Z110" i="25"/>
  <c r="V110" i="25"/>
  <c r="R110" i="25"/>
  <c r="AB110" i="25" s="1"/>
  <c r="AA110" i="25"/>
  <c r="P110" i="25"/>
  <c r="Q110" i="25" s="1"/>
  <c r="X110" i="25"/>
  <c r="W110" i="25"/>
  <c r="T110" i="25"/>
  <c r="Y110" i="25"/>
  <c r="O111" i="25"/>
  <c r="E137" i="25"/>
  <c r="L137" i="25"/>
  <c r="F137" i="25"/>
  <c r="H137" i="25" s="1"/>
  <c r="M137" i="25"/>
  <c r="G137" i="25"/>
  <c r="B137" i="25"/>
  <c r="C137" i="25"/>
  <c r="D137" i="25"/>
  <c r="A138" i="25"/>
  <c r="AH54" i="27" l="1"/>
  <c r="AJ54" i="27"/>
  <c r="AG54" i="27"/>
  <c r="AI54" i="27"/>
  <c r="K137" i="25"/>
  <c r="J138" i="25" s="1"/>
  <c r="S110" i="25"/>
  <c r="U110" i="25" s="1"/>
  <c r="F138" i="25"/>
  <c r="H138" i="25" s="1"/>
  <c r="B138" i="25"/>
  <c r="L138" i="25"/>
  <c r="E138" i="25"/>
  <c r="M138" i="25"/>
  <c r="G138" i="25"/>
  <c r="D138" i="25"/>
  <c r="C138" i="25"/>
  <c r="A139" i="25"/>
  <c r="AA111" i="25"/>
  <c r="W111" i="25"/>
  <c r="V111" i="25"/>
  <c r="Y111" i="25"/>
  <c r="T111" i="25"/>
  <c r="R111" i="25"/>
  <c r="S111" i="25" s="1"/>
  <c r="Z111" i="25"/>
  <c r="X111" i="25"/>
  <c r="P111" i="25"/>
  <c r="Q111" i="25" s="1"/>
  <c r="O112" i="25"/>
  <c r="BT5" i="27" l="1"/>
  <c r="BT13" i="27"/>
  <c r="BT10" i="27"/>
  <c r="BT18" i="27"/>
  <c r="BT23" i="27"/>
  <c r="BT4" i="27"/>
  <c r="BT6" i="27"/>
  <c r="BT19" i="27"/>
  <c r="BT8" i="27"/>
  <c r="BT22" i="27"/>
  <c r="BT7" i="27"/>
  <c r="BT15" i="27"/>
  <c r="BT12" i="27"/>
  <c r="BT17" i="27"/>
  <c r="BT20" i="27"/>
  <c r="BT9" i="27"/>
  <c r="BT14" i="27"/>
  <c r="BT21" i="27"/>
  <c r="BT11" i="27"/>
  <c r="BT16" i="27"/>
  <c r="BU9" i="27"/>
  <c r="BU17" i="27"/>
  <c r="BU14" i="27"/>
  <c r="BU18" i="27"/>
  <c r="BU5" i="27"/>
  <c r="BU21" i="27"/>
  <c r="BU4" i="27"/>
  <c r="BU23" i="27"/>
  <c r="BU6" i="27"/>
  <c r="BU11" i="27"/>
  <c r="BU19" i="27"/>
  <c r="BU10" i="27"/>
  <c r="BU12" i="27"/>
  <c r="BU22" i="27"/>
  <c r="BU13" i="27"/>
  <c r="BU20" i="27"/>
  <c r="BU16" i="27"/>
  <c r="BU7" i="27"/>
  <c r="BU15" i="27"/>
  <c r="BU8" i="27"/>
  <c r="BZ22" i="27"/>
  <c r="BZ6" i="27"/>
  <c r="BZ10" i="27"/>
  <c r="BZ14" i="27"/>
  <c r="BZ5" i="27"/>
  <c r="BZ9" i="27"/>
  <c r="BZ13" i="27"/>
  <c r="BZ17" i="27"/>
  <c r="BZ20" i="27"/>
  <c r="BZ16" i="27"/>
  <c r="BZ23" i="27"/>
  <c r="BZ4" i="27"/>
  <c r="BZ21" i="27"/>
  <c r="BZ8" i="27"/>
  <c r="BZ12" i="27"/>
  <c r="BZ7" i="27"/>
  <c r="BZ11" i="27"/>
  <c r="BZ15" i="27"/>
  <c r="BZ19" i="27"/>
  <c r="BZ18" i="27"/>
  <c r="BX7" i="27"/>
  <c r="BX6" i="27"/>
  <c r="BX14" i="27"/>
  <c r="BX20" i="27"/>
  <c r="BX5" i="27"/>
  <c r="BX13" i="27"/>
  <c r="BX12" i="27"/>
  <c r="BX19" i="27"/>
  <c r="BX21" i="27"/>
  <c r="BX11" i="27"/>
  <c r="BX10" i="27"/>
  <c r="BX18" i="27"/>
  <c r="BX15" i="27"/>
  <c r="BX22" i="27"/>
  <c r="BX17" i="27"/>
  <c r="BX9" i="27"/>
  <c r="BX8" i="27"/>
  <c r="BX16" i="27"/>
  <c r="BX23" i="27"/>
  <c r="BX4" i="27"/>
  <c r="BV16" i="27"/>
  <c r="BV18" i="27"/>
  <c r="BV6" i="27"/>
  <c r="BV8" i="27"/>
  <c r="BV10" i="27"/>
  <c r="BV12" i="27"/>
  <c r="BV14" i="27"/>
  <c r="BV21" i="27"/>
  <c r="BV20" i="27"/>
  <c r="BV23" i="27"/>
  <c r="BV5" i="27"/>
  <c r="BV7" i="27"/>
  <c r="BV9" i="27"/>
  <c r="BV11" i="27"/>
  <c r="BV13" i="27"/>
  <c r="BV15" i="27"/>
  <c r="BV17" i="27"/>
  <c r="BV19" i="27"/>
  <c r="BV22" i="27"/>
  <c r="BV4" i="27"/>
  <c r="BY7" i="27"/>
  <c r="BY11" i="27"/>
  <c r="BY15" i="27"/>
  <c r="BY19" i="27"/>
  <c r="BY23" i="27"/>
  <c r="BY12" i="27"/>
  <c r="BY22" i="27"/>
  <c r="BY20" i="27"/>
  <c r="BY14" i="27"/>
  <c r="BY9" i="27"/>
  <c r="BY17" i="27"/>
  <c r="BY18" i="27"/>
  <c r="BY6" i="27"/>
  <c r="BY8" i="27"/>
  <c r="BY10" i="27"/>
  <c r="BY5" i="27"/>
  <c r="BY13" i="27"/>
  <c r="BY21" i="27"/>
  <c r="BY16" i="27"/>
  <c r="BY4" i="27"/>
  <c r="CA12" i="27"/>
  <c r="CA20" i="27"/>
  <c r="CA21" i="27"/>
  <c r="CA9" i="27"/>
  <c r="CA23" i="27"/>
  <c r="CA10" i="27"/>
  <c r="CA18" i="27"/>
  <c r="CA7" i="27"/>
  <c r="CA19" i="27"/>
  <c r="CA13" i="27"/>
  <c r="CA8" i="27"/>
  <c r="CA16" i="27"/>
  <c r="CA15" i="27"/>
  <c r="CA5" i="27"/>
  <c r="CA6" i="27"/>
  <c r="CA14" i="27"/>
  <c r="CA22" i="27"/>
  <c r="CA11" i="27"/>
  <c r="CA17" i="27"/>
  <c r="CA4" i="27"/>
  <c r="CC10" i="27"/>
  <c r="CC12" i="27"/>
  <c r="CC8" i="27"/>
  <c r="CC18" i="27"/>
  <c r="CC22" i="27"/>
  <c r="CC20" i="27"/>
  <c r="CC16" i="27"/>
  <c r="CC5" i="27"/>
  <c r="CC7" i="27"/>
  <c r="CC9" i="27"/>
  <c r="CC11" i="27"/>
  <c r="CC13" i="27"/>
  <c r="CC15" i="27"/>
  <c r="CC17" i="27"/>
  <c r="CC19" i="27"/>
  <c r="CC21" i="27"/>
  <c r="CC23" i="27"/>
  <c r="CC6" i="27"/>
  <c r="CC14" i="27"/>
  <c r="CB9" i="27"/>
  <c r="BW12" i="27"/>
  <c r="BW20" i="27"/>
  <c r="CB10" i="27"/>
  <c r="CB18" i="27"/>
  <c r="CB17" i="27"/>
  <c r="CB22" i="27"/>
  <c r="CB20" i="27"/>
  <c r="BW15" i="27"/>
  <c r="BW4" i="27"/>
  <c r="BW11" i="27"/>
  <c r="BW5" i="27"/>
  <c r="CB7" i="27"/>
  <c r="BW10" i="27"/>
  <c r="BW17" i="27"/>
  <c r="BW13" i="27"/>
  <c r="CB4" i="27"/>
  <c r="CB11" i="27"/>
  <c r="BW6" i="27"/>
  <c r="BW14" i="27"/>
  <c r="BW22" i="27"/>
  <c r="CB12" i="27"/>
  <c r="BW9" i="27"/>
  <c r="BW23" i="27"/>
  <c r="BW21" i="27"/>
  <c r="CB15" i="27"/>
  <c r="BW19" i="27"/>
  <c r="CB5" i="27"/>
  <c r="CB13" i="27"/>
  <c r="BW8" i="27"/>
  <c r="BW16" i="27"/>
  <c r="CB6" i="27"/>
  <c r="CB14" i="27"/>
  <c r="CB23" i="27"/>
  <c r="CB21" i="27"/>
  <c r="CB19" i="27"/>
  <c r="BW18" i="27"/>
  <c r="CB8" i="27"/>
  <c r="CB16" i="27"/>
  <c r="BW7" i="27"/>
  <c r="CC4" i="27"/>
  <c r="BC11" i="27"/>
  <c r="BC13" i="27"/>
  <c r="BC21" i="27"/>
  <c r="BC18" i="27"/>
  <c r="BC17" i="27"/>
  <c r="BC23" i="27"/>
  <c r="BC12" i="27"/>
  <c r="BC8" i="27"/>
  <c r="BC19" i="27"/>
  <c r="BC5" i="27"/>
  <c r="BC4" i="27"/>
  <c r="BC22" i="27"/>
  <c r="BC14" i="27"/>
  <c r="BC9" i="27"/>
  <c r="BC10" i="27"/>
  <c r="BC16" i="27"/>
  <c r="BC6" i="27"/>
  <c r="BC7" i="27"/>
  <c r="BC15" i="27"/>
  <c r="BC20" i="27"/>
  <c r="BF5" i="27"/>
  <c r="BF20" i="27"/>
  <c r="BF17" i="27"/>
  <c r="BF18" i="27"/>
  <c r="BF14" i="27"/>
  <c r="BF7" i="27"/>
  <c r="BF12" i="27"/>
  <c r="BF10" i="27"/>
  <c r="BF16" i="27"/>
  <c r="BF23" i="27"/>
  <c r="BF6" i="27"/>
  <c r="BF13" i="27"/>
  <c r="BF21" i="27"/>
  <c r="BF11" i="27"/>
  <c r="BF8" i="27"/>
  <c r="BF9" i="27"/>
  <c r="BF4" i="27"/>
  <c r="BF19" i="27"/>
  <c r="BF15" i="27"/>
  <c r="BF22" i="27"/>
  <c r="BA4" i="27"/>
  <c r="BA12" i="27"/>
  <c r="BA6" i="27"/>
  <c r="BA22" i="27"/>
  <c r="BA13" i="27"/>
  <c r="BA21" i="27"/>
  <c r="BA18" i="27"/>
  <c r="BA20" i="27"/>
  <c r="BA8" i="27"/>
  <c r="BA23" i="27"/>
  <c r="BA19" i="27"/>
  <c r="BA7" i="27"/>
  <c r="BA11" i="27"/>
  <c r="BA17" i="27"/>
  <c r="BA15" i="27"/>
  <c r="BA16" i="27"/>
  <c r="BA10" i="27"/>
  <c r="BA14" i="27"/>
  <c r="BA5" i="27"/>
  <c r="BA9" i="27"/>
  <c r="BB9" i="27"/>
  <c r="BB17" i="27"/>
  <c r="BB15" i="27"/>
  <c r="BB22" i="27"/>
  <c r="BB6" i="27"/>
  <c r="BB11" i="27"/>
  <c r="BB13" i="27"/>
  <c r="BB10" i="27"/>
  <c r="BB19" i="27"/>
  <c r="BB21" i="27"/>
  <c r="BB12" i="27"/>
  <c r="BB18" i="27"/>
  <c r="BB16" i="27"/>
  <c r="BB4" i="27"/>
  <c r="BB14" i="27"/>
  <c r="BB7" i="27"/>
  <c r="BB23" i="27"/>
  <c r="BB20" i="27"/>
  <c r="BB5" i="27"/>
  <c r="BB8" i="27"/>
  <c r="AZ22" i="27"/>
  <c r="AZ11" i="27"/>
  <c r="AZ17" i="27"/>
  <c r="AZ7" i="27"/>
  <c r="AZ18" i="27"/>
  <c r="AZ13" i="27"/>
  <c r="AZ4" i="27"/>
  <c r="AZ19" i="27"/>
  <c r="AZ15" i="27"/>
  <c r="AZ21" i="27"/>
  <c r="AZ14" i="27"/>
  <c r="AZ23" i="27"/>
  <c r="AZ10" i="27"/>
  <c r="AZ6" i="27"/>
  <c r="AZ12" i="27"/>
  <c r="AZ8" i="27"/>
  <c r="AZ9" i="27"/>
  <c r="AZ20" i="27"/>
  <c r="AZ16" i="27"/>
  <c r="AZ5" i="27"/>
  <c r="AY7" i="27"/>
  <c r="AY23" i="27"/>
  <c r="AY11" i="27"/>
  <c r="AY10" i="27"/>
  <c r="AY21" i="27"/>
  <c r="AY22" i="27"/>
  <c r="AY8" i="27"/>
  <c r="AY9" i="27"/>
  <c r="AY6" i="27"/>
  <c r="AY20" i="27"/>
  <c r="AY5" i="27"/>
  <c r="AY16" i="27"/>
  <c r="AY19" i="27"/>
  <c r="AY14" i="27"/>
  <c r="AY15" i="27"/>
  <c r="AY12" i="27"/>
  <c r="AY13" i="27"/>
  <c r="AY17" i="27"/>
  <c r="AY18" i="27"/>
  <c r="BH18" i="27"/>
  <c r="BH10" i="27"/>
  <c r="BH14" i="27"/>
  <c r="BH8" i="27"/>
  <c r="BH6" i="27"/>
  <c r="BG15" i="27"/>
  <c r="BH20" i="27"/>
  <c r="BG14" i="27"/>
  <c r="BG6" i="27"/>
  <c r="BH17" i="27"/>
  <c r="BH9" i="27"/>
  <c r="BG17" i="27"/>
  <c r="BG23" i="27"/>
  <c r="BG12" i="27"/>
  <c r="BH15" i="27"/>
  <c r="BH22" i="27"/>
  <c r="BG5" i="27"/>
  <c r="BH13" i="27"/>
  <c r="BG21" i="27"/>
  <c r="BG13" i="27"/>
  <c r="BH16" i="27"/>
  <c r="BG19" i="27"/>
  <c r="BH12" i="27"/>
  <c r="BH4" i="27"/>
  <c r="BG22" i="27"/>
  <c r="BG20" i="27"/>
  <c r="BH19" i="27"/>
  <c r="BH11" i="27"/>
  <c r="BG7" i="27"/>
  <c r="BH23" i="27"/>
  <c r="BH7" i="27"/>
  <c r="BH21" i="27"/>
  <c r="BH5" i="27"/>
  <c r="BG16" i="27"/>
  <c r="BG8" i="27"/>
  <c r="BG9" i="27"/>
  <c r="BG18" i="27"/>
  <c r="BG10" i="27"/>
  <c r="BG11" i="27"/>
  <c r="BE14" i="27"/>
  <c r="BE17" i="27"/>
  <c r="BE7" i="27"/>
  <c r="BE8" i="27"/>
  <c r="BE11" i="27"/>
  <c r="BE22" i="27"/>
  <c r="BE12" i="27"/>
  <c r="BE10" i="27"/>
  <c r="BE16" i="27"/>
  <c r="BE15" i="27"/>
  <c r="BE9" i="27"/>
  <c r="BE18" i="27"/>
  <c r="BE13" i="27"/>
  <c r="BE21" i="27"/>
  <c r="BE4" i="27"/>
  <c r="BE20" i="27"/>
  <c r="BE6" i="27"/>
  <c r="BE23" i="27"/>
  <c r="BE5" i="27"/>
  <c r="BE19" i="27"/>
  <c r="BD10" i="27"/>
  <c r="BD9" i="27"/>
  <c r="BD16" i="27"/>
  <c r="BD7" i="27"/>
  <c r="BD13" i="27"/>
  <c r="BD19" i="27"/>
  <c r="BD20" i="27"/>
  <c r="BD5" i="27"/>
  <c r="BD6" i="27"/>
  <c r="BD11" i="27"/>
  <c r="BD4" i="27"/>
  <c r="BD23" i="27"/>
  <c r="BD22" i="27"/>
  <c r="BD12" i="27"/>
  <c r="BD18" i="27"/>
  <c r="BD17" i="27"/>
  <c r="BD14" i="27"/>
  <c r="BD15" i="27"/>
  <c r="BD21" i="27"/>
  <c r="BD8" i="27"/>
  <c r="AY4" i="27"/>
  <c r="BG4" i="27"/>
  <c r="AL13" i="27"/>
  <c r="AL7" i="27"/>
  <c r="AL10" i="27"/>
  <c r="AL16" i="27"/>
  <c r="AL21" i="27"/>
  <c r="AL11" i="27"/>
  <c r="AL20" i="27"/>
  <c r="AL5" i="27"/>
  <c r="AL14" i="27"/>
  <c r="AL17" i="27"/>
  <c r="AL22" i="27"/>
  <c r="AL9" i="27"/>
  <c r="AL18" i="27"/>
  <c r="AL19" i="27"/>
  <c r="AL15" i="27"/>
  <c r="AL8" i="27"/>
  <c r="AL12" i="27"/>
  <c r="AL23" i="27"/>
  <c r="AL6" i="27"/>
  <c r="AM15" i="27"/>
  <c r="AM13" i="27"/>
  <c r="AM12" i="27"/>
  <c r="AM20" i="27"/>
  <c r="AM17" i="27"/>
  <c r="AM7" i="27"/>
  <c r="AM22" i="27"/>
  <c r="AM5" i="27"/>
  <c r="AM19" i="27"/>
  <c r="AM23" i="27"/>
  <c r="AM6" i="27"/>
  <c r="AM9" i="27"/>
  <c r="AM18" i="27"/>
  <c r="AM10" i="27"/>
  <c r="AM11" i="27"/>
  <c r="AM8" i="27"/>
  <c r="AM16" i="27"/>
  <c r="AM14" i="27"/>
  <c r="AM21" i="27"/>
  <c r="AF19" i="27"/>
  <c r="AF6" i="27"/>
  <c r="AF17" i="27"/>
  <c r="AF12" i="27"/>
  <c r="AF20" i="27"/>
  <c r="AF21" i="27"/>
  <c r="AF13" i="27"/>
  <c r="AF18" i="27"/>
  <c r="AF22" i="27"/>
  <c r="AF14" i="27"/>
  <c r="AF7" i="27"/>
  <c r="AF8" i="27"/>
  <c r="AF4" i="27"/>
  <c r="AF16" i="27"/>
  <c r="AF9" i="27"/>
  <c r="AF11" i="27"/>
  <c r="AF23" i="27"/>
  <c r="AF5" i="27"/>
  <c r="AF10" i="27"/>
  <c r="AF15" i="27"/>
  <c r="AG19" i="27"/>
  <c r="AG18" i="27"/>
  <c r="AG4" i="27"/>
  <c r="AG23" i="27"/>
  <c r="AG22" i="27"/>
  <c r="AG5" i="27"/>
  <c r="AG8" i="27"/>
  <c r="AG11" i="27"/>
  <c r="AG14" i="27"/>
  <c r="AG7" i="27"/>
  <c r="AG20" i="27"/>
  <c r="AG17" i="27"/>
  <c r="AG21" i="27"/>
  <c r="AG6" i="27"/>
  <c r="AG16" i="27"/>
  <c r="AG10" i="27"/>
  <c r="AG9" i="27"/>
  <c r="AG15" i="27"/>
  <c r="AG13" i="27"/>
  <c r="AG12" i="27"/>
  <c r="AH10" i="27"/>
  <c r="AH14" i="27"/>
  <c r="AH8" i="27"/>
  <c r="AH4" i="27"/>
  <c r="AH11" i="27"/>
  <c r="AH13" i="27"/>
  <c r="AH21" i="27"/>
  <c r="AH7" i="27"/>
  <c r="AH23" i="27"/>
  <c r="AH6" i="27"/>
  <c r="AH20" i="27"/>
  <c r="AH19" i="27"/>
  <c r="AH22" i="27"/>
  <c r="AH18" i="27"/>
  <c r="AH9" i="27"/>
  <c r="AH16" i="27"/>
  <c r="AH17" i="27"/>
  <c r="AH15" i="27"/>
  <c r="AH12" i="27"/>
  <c r="AH5" i="27"/>
  <c r="AD11" i="27"/>
  <c r="AD14" i="27"/>
  <c r="AD6" i="27"/>
  <c r="AD17" i="27"/>
  <c r="AD22" i="27"/>
  <c r="AD12" i="27"/>
  <c r="AD15" i="27"/>
  <c r="AD13" i="27"/>
  <c r="AD9" i="27"/>
  <c r="AD21" i="27"/>
  <c r="AD19" i="27"/>
  <c r="AD16" i="27"/>
  <c r="AD18" i="27"/>
  <c r="AD10" i="27"/>
  <c r="AD5" i="27"/>
  <c r="AD20" i="27"/>
  <c r="AD7" i="27"/>
  <c r="AD23" i="27"/>
  <c r="AD8" i="27"/>
  <c r="AI23" i="27"/>
  <c r="AI15" i="27"/>
  <c r="AI7" i="27"/>
  <c r="AK21" i="27"/>
  <c r="AK9" i="27"/>
  <c r="AI14" i="27"/>
  <c r="AK15" i="27"/>
  <c r="AI16" i="27"/>
  <c r="AI19" i="27"/>
  <c r="AI11" i="27"/>
  <c r="AK16" i="27"/>
  <c r="AK20" i="27"/>
  <c r="AI10" i="27"/>
  <c r="AK18" i="27"/>
  <c r="AK10" i="27"/>
  <c r="AK7" i="27"/>
  <c r="AI13" i="27"/>
  <c r="AI20" i="27"/>
  <c r="AK6" i="27"/>
  <c r="AI12" i="27"/>
  <c r="AI22" i="27"/>
  <c r="AK23" i="27"/>
  <c r="AI6" i="27"/>
  <c r="AK17" i="27"/>
  <c r="AK5" i="27"/>
  <c r="AK12" i="27"/>
  <c r="AK4" i="27"/>
  <c r="AK13" i="27"/>
  <c r="AK11" i="27"/>
  <c r="AK8" i="27"/>
  <c r="AI9" i="27"/>
  <c r="AI8" i="27"/>
  <c r="AI21" i="27"/>
  <c r="AI5" i="27"/>
  <c r="AI17" i="27"/>
  <c r="AI18" i="27"/>
  <c r="AK19" i="27"/>
  <c r="AK22" i="27"/>
  <c r="AK14" i="27"/>
  <c r="AJ20" i="27"/>
  <c r="AJ9" i="27"/>
  <c r="AE18" i="27"/>
  <c r="AJ7" i="27"/>
  <c r="AE16" i="27"/>
  <c r="AJ6" i="27"/>
  <c r="AJ13" i="27"/>
  <c r="AE7" i="27"/>
  <c r="AE8" i="27"/>
  <c r="AJ19" i="27"/>
  <c r="AE13" i="27"/>
  <c r="AJ16" i="27"/>
  <c r="AE23" i="27"/>
  <c r="AE10" i="27"/>
  <c r="AE9" i="27"/>
  <c r="AE15" i="27"/>
  <c r="AJ8" i="27"/>
  <c r="AJ17" i="27"/>
  <c r="AJ12" i="27"/>
  <c r="AE4" i="27"/>
  <c r="AE20" i="27"/>
  <c r="AE14" i="27"/>
  <c r="AJ5" i="27"/>
  <c r="AJ10" i="27"/>
  <c r="AJ18" i="27"/>
  <c r="AE12" i="27"/>
  <c r="AE6" i="27"/>
  <c r="AJ11" i="27"/>
  <c r="AE5" i="27"/>
  <c r="AJ4" i="27"/>
  <c r="AE22" i="27"/>
  <c r="AE17" i="27"/>
  <c r="AJ21" i="27"/>
  <c r="AJ14" i="27"/>
  <c r="AJ22" i="27"/>
  <c r="AE19" i="27"/>
  <c r="AE11" i="27"/>
  <c r="AJ15" i="27"/>
  <c r="AJ23" i="27"/>
  <c r="AE21" i="27"/>
  <c r="AD4" i="27"/>
  <c r="AI4" i="27"/>
  <c r="AM4" i="27"/>
  <c r="AL4" i="27"/>
  <c r="K138" i="25"/>
  <c r="J139" i="25" s="1"/>
  <c r="U111" i="25"/>
  <c r="AB111" i="25"/>
  <c r="Z112" i="25"/>
  <c r="V112" i="25"/>
  <c r="R112" i="25"/>
  <c r="S112" i="25" s="1"/>
  <c r="AA112" i="25"/>
  <c r="P112" i="25"/>
  <c r="Q112" i="25" s="1"/>
  <c r="X112" i="25"/>
  <c r="T112" i="25"/>
  <c r="Y112" i="25"/>
  <c r="W112" i="25"/>
  <c r="O113" i="25"/>
  <c r="F139" i="25"/>
  <c r="H139" i="25" s="1"/>
  <c r="B139" i="25"/>
  <c r="L139" i="25"/>
  <c r="G139" i="25"/>
  <c r="C139" i="25"/>
  <c r="M139" i="25"/>
  <c r="D139" i="25"/>
  <c r="E139" i="25"/>
  <c r="A140" i="25"/>
  <c r="CD23" i="27" l="1"/>
  <c r="CD15" i="27"/>
  <c r="CD7" i="27"/>
  <c r="CD21" i="27"/>
  <c r="CD8" i="27"/>
  <c r="CD22" i="27"/>
  <c r="CD13" i="27"/>
  <c r="CD5" i="27"/>
  <c r="CD14" i="27"/>
  <c r="CD6" i="27"/>
  <c r="CD19" i="27"/>
  <c r="CD11" i="27"/>
  <c r="CD12" i="27"/>
  <c r="CD18" i="27"/>
  <c r="CD17" i="27"/>
  <c r="CD9" i="27"/>
  <c r="CD20" i="27"/>
  <c r="CD10" i="27"/>
  <c r="CD16" i="27"/>
  <c r="CD4" i="27"/>
  <c r="BI9" i="27"/>
  <c r="BI21" i="27"/>
  <c r="BI19" i="27"/>
  <c r="BI16" i="27"/>
  <c r="BI18" i="27"/>
  <c r="BI7" i="27"/>
  <c r="BI8" i="27"/>
  <c r="BI15" i="27"/>
  <c r="BI22" i="27"/>
  <c r="BI6" i="27"/>
  <c r="BI11" i="27"/>
  <c r="BI5" i="27"/>
  <c r="BI17" i="27"/>
  <c r="BI4" i="27"/>
  <c r="BI13" i="27"/>
  <c r="BI12" i="27"/>
  <c r="BI14" i="27"/>
  <c r="BI20" i="27"/>
  <c r="BI10" i="27"/>
  <c r="BI23" i="27"/>
  <c r="AN16" i="27"/>
  <c r="AN7" i="27"/>
  <c r="AN9" i="27"/>
  <c r="AN22" i="27"/>
  <c r="AN20" i="27"/>
  <c r="AN13" i="27"/>
  <c r="AN8" i="27"/>
  <c r="AN5" i="27"/>
  <c r="AN19" i="27"/>
  <c r="AN15" i="27"/>
  <c r="AN6" i="27"/>
  <c r="AN18" i="27"/>
  <c r="AN11" i="27"/>
  <c r="AN17" i="27"/>
  <c r="AN23" i="27"/>
  <c r="AN10" i="27"/>
  <c r="AN21" i="27"/>
  <c r="AN12" i="27"/>
  <c r="AN14" i="27"/>
  <c r="AN4" i="27"/>
  <c r="K139" i="25"/>
  <c r="J140" i="25" s="1"/>
  <c r="U112" i="25"/>
  <c r="AB112" i="25"/>
  <c r="L140" i="25"/>
  <c r="G140" i="25"/>
  <c r="C140" i="25"/>
  <c r="M140" i="25"/>
  <c r="D140" i="25"/>
  <c r="B140" i="25"/>
  <c r="E140" i="25"/>
  <c r="F140" i="25"/>
  <c r="H140" i="25" s="1"/>
  <c r="A141" i="25"/>
  <c r="X113" i="25"/>
  <c r="T113" i="25"/>
  <c r="P113" i="25"/>
  <c r="Q113" i="25" s="1"/>
  <c r="Y113" i="25"/>
  <c r="AA113" i="25"/>
  <c r="V113" i="25"/>
  <c r="O114" i="25"/>
  <c r="R113" i="25"/>
  <c r="S113" i="25" s="1"/>
  <c r="Z113" i="25"/>
  <c r="W113" i="25"/>
  <c r="U113" i="25" l="1"/>
  <c r="AB113" i="25"/>
  <c r="Z54" i="27"/>
  <c r="Y54" i="27" s="1"/>
  <c r="Z55" i="27"/>
  <c r="Y55" i="27" s="1"/>
  <c r="Z68" i="27"/>
  <c r="Y68" i="27" s="1"/>
  <c r="Z53" i="27"/>
  <c r="Z59" i="27"/>
  <c r="Y59" i="27" s="1"/>
  <c r="Z69" i="27"/>
  <c r="Y69" i="27" s="1"/>
  <c r="Z64" i="27"/>
  <c r="Y64" i="27" s="1"/>
  <c r="Z62" i="27"/>
  <c r="Y62" i="27" s="1"/>
  <c r="Z56" i="27"/>
  <c r="Y56" i="27" s="1"/>
  <c r="Z70" i="27"/>
  <c r="Y70" i="27" s="1"/>
  <c r="Z60" i="27"/>
  <c r="Y60" i="27" s="1"/>
  <c r="Z65" i="27"/>
  <c r="Y65" i="27" s="1"/>
  <c r="Z67" i="27"/>
  <c r="Y67" i="27" s="1"/>
  <c r="Z71" i="27"/>
  <c r="Y71" i="27" s="1"/>
  <c r="Z63" i="27"/>
  <c r="Y63" i="27" s="1"/>
  <c r="Z72" i="27"/>
  <c r="Y72" i="27" s="1"/>
  <c r="Z57" i="27"/>
  <c r="Y57" i="27" s="1"/>
  <c r="Z58" i="27"/>
  <c r="Y58" i="27" s="1"/>
  <c r="Z61" i="27"/>
  <c r="Y61" i="27" s="1"/>
  <c r="Z66" i="27"/>
  <c r="Y66" i="27" s="1"/>
  <c r="K140" i="25"/>
  <c r="J141" i="25" s="1"/>
  <c r="M141" i="25"/>
  <c r="D141" i="25"/>
  <c r="E141" i="25"/>
  <c r="F141" i="25"/>
  <c r="H141" i="25" s="1"/>
  <c r="G141" i="25"/>
  <c r="L141" i="25"/>
  <c r="C141" i="25"/>
  <c r="B141" i="25"/>
  <c r="A142" i="25"/>
  <c r="X114" i="25"/>
  <c r="T114" i="25"/>
  <c r="P114" i="25"/>
  <c r="Q114" i="25" s="1"/>
  <c r="Y114" i="25"/>
  <c r="AA114" i="25"/>
  <c r="V114" i="25"/>
  <c r="Z114" i="25"/>
  <c r="W114" i="25"/>
  <c r="R114" i="25"/>
  <c r="S114" i="25" s="1"/>
  <c r="O115" i="25"/>
  <c r="U114" i="25" l="1"/>
  <c r="AB114" i="25"/>
  <c r="M54" i="27"/>
  <c r="D54" i="27"/>
  <c r="J54" i="27"/>
  <c r="G54" i="27"/>
  <c r="S54" i="27"/>
  <c r="P54" i="27"/>
  <c r="V54" i="27"/>
  <c r="V53" i="27"/>
  <c r="Y53" i="27"/>
  <c r="S61" i="27"/>
  <c r="V61" i="27"/>
  <c r="S63" i="27"/>
  <c r="V63" i="27"/>
  <c r="S64" i="27"/>
  <c r="V64" i="27"/>
  <c r="S68" i="27"/>
  <c r="V68" i="27"/>
  <c r="S58" i="27"/>
  <c r="V58" i="27"/>
  <c r="S71" i="27"/>
  <c r="V71" i="27"/>
  <c r="S70" i="27"/>
  <c r="V70" i="27"/>
  <c r="S69" i="27"/>
  <c r="V69" i="27"/>
  <c r="S55" i="27"/>
  <c r="V55" i="27"/>
  <c r="S57" i="27"/>
  <c r="V57" i="27"/>
  <c r="S67" i="27"/>
  <c r="V67" i="27"/>
  <c r="S56" i="27"/>
  <c r="V56" i="27"/>
  <c r="S59" i="27"/>
  <c r="V59" i="27"/>
  <c r="S66" i="27"/>
  <c r="V66" i="27"/>
  <c r="S72" i="27"/>
  <c r="V72" i="27"/>
  <c r="S65" i="27"/>
  <c r="V65" i="27"/>
  <c r="S62" i="27"/>
  <c r="V62" i="27"/>
  <c r="S60" i="27"/>
  <c r="V60" i="27"/>
  <c r="P53" i="27"/>
  <c r="S53" i="27"/>
  <c r="P57" i="27"/>
  <c r="P67" i="27"/>
  <c r="P56" i="27"/>
  <c r="P59" i="27"/>
  <c r="P66" i="27"/>
  <c r="P72" i="27"/>
  <c r="P65" i="27"/>
  <c r="P62" i="27"/>
  <c r="P61" i="27"/>
  <c r="P63" i="27"/>
  <c r="P60" i="27"/>
  <c r="P64" i="27"/>
  <c r="P68" i="27"/>
  <c r="P58" i="27"/>
  <c r="P71" i="27"/>
  <c r="P70" i="27"/>
  <c r="P69" i="27"/>
  <c r="P55" i="27"/>
  <c r="J58" i="27"/>
  <c r="M58" i="27"/>
  <c r="J71" i="27"/>
  <c r="M71" i="27"/>
  <c r="J69" i="27"/>
  <c r="M69" i="27"/>
  <c r="J55" i="27"/>
  <c r="M55" i="27"/>
  <c r="J57" i="27"/>
  <c r="M57" i="27"/>
  <c r="J67" i="27"/>
  <c r="M67" i="27"/>
  <c r="J56" i="27"/>
  <c r="M56" i="27"/>
  <c r="J59" i="27"/>
  <c r="M59" i="27"/>
  <c r="J66" i="27"/>
  <c r="M66" i="27"/>
  <c r="J72" i="27"/>
  <c r="M72" i="27"/>
  <c r="J65" i="27"/>
  <c r="M65" i="27"/>
  <c r="J62" i="27"/>
  <c r="M62" i="27"/>
  <c r="J53" i="27"/>
  <c r="M53" i="27"/>
  <c r="J61" i="27"/>
  <c r="M61" i="27"/>
  <c r="J63" i="27"/>
  <c r="M63" i="27"/>
  <c r="J60" i="27"/>
  <c r="M60" i="27"/>
  <c r="J64" i="27"/>
  <c r="M64" i="27"/>
  <c r="J68" i="27"/>
  <c r="M68" i="27"/>
  <c r="J70" i="27"/>
  <c r="M70" i="27"/>
  <c r="D57" i="27"/>
  <c r="G57" i="27"/>
  <c r="D67" i="27"/>
  <c r="G67" i="27"/>
  <c r="D56" i="27"/>
  <c r="G56" i="27"/>
  <c r="D59" i="27"/>
  <c r="G59" i="27"/>
  <c r="D66" i="27"/>
  <c r="G66" i="27"/>
  <c r="D72" i="27"/>
  <c r="G72" i="27"/>
  <c r="D65" i="27"/>
  <c r="G65" i="27"/>
  <c r="D62" i="27"/>
  <c r="G62" i="27"/>
  <c r="D53" i="27"/>
  <c r="G53" i="27"/>
  <c r="D61" i="27"/>
  <c r="G61" i="27"/>
  <c r="D63" i="27"/>
  <c r="G63" i="27"/>
  <c r="D60" i="27"/>
  <c r="G60" i="27"/>
  <c r="D64" i="27"/>
  <c r="G64" i="27"/>
  <c r="D68" i="27"/>
  <c r="G68" i="27"/>
  <c r="D58" i="27"/>
  <c r="G58" i="27"/>
  <c r="D71" i="27"/>
  <c r="G71" i="27"/>
  <c r="D70" i="27"/>
  <c r="G70" i="27"/>
  <c r="D69" i="27"/>
  <c r="G69" i="27"/>
  <c r="D55" i="27"/>
  <c r="G55" i="27"/>
  <c r="K141" i="25"/>
  <c r="J142" i="25" s="1"/>
  <c r="E142" i="25"/>
  <c r="F142" i="25"/>
  <c r="H142" i="25" s="1"/>
  <c r="B142" i="25"/>
  <c r="L142" i="25"/>
  <c r="C142" i="25"/>
  <c r="M142" i="25"/>
  <c r="D142" i="25"/>
  <c r="G142" i="25"/>
  <c r="A143" i="25"/>
  <c r="AA115" i="25"/>
  <c r="W115" i="25"/>
  <c r="X115" i="25"/>
  <c r="R115" i="25"/>
  <c r="S115" i="25" s="1"/>
  <c r="Z115" i="25"/>
  <c r="P115" i="25"/>
  <c r="Q115" i="25" s="1"/>
  <c r="T115" i="25"/>
  <c r="Y115" i="25"/>
  <c r="V115" i="25"/>
  <c r="O116" i="25"/>
  <c r="AB115" i="25" l="1"/>
  <c r="U115" i="25"/>
  <c r="K142" i="25"/>
  <c r="J143" i="25" s="1"/>
  <c r="M143" i="25"/>
  <c r="D143" i="25"/>
  <c r="L143" i="25"/>
  <c r="F143" i="25"/>
  <c r="H143" i="25" s="1"/>
  <c r="G143" i="25"/>
  <c r="B143" i="25"/>
  <c r="C143" i="25"/>
  <c r="E143" i="25"/>
  <c r="A144" i="25"/>
  <c r="AA116" i="25"/>
  <c r="W116" i="25"/>
  <c r="S116" i="25"/>
  <c r="Z116" i="25"/>
  <c r="P116" i="25"/>
  <c r="Q116" i="25" s="1"/>
  <c r="X116" i="25"/>
  <c r="R116" i="25"/>
  <c r="AB116" i="25"/>
  <c r="V116" i="25"/>
  <c r="T116" i="25"/>
  <c r="U116" i="25" s="1"/>
  <c r="Y116" i="25"/>
  <c r="O117" i="25"/>
  <c r="K143" i="25" l="1"/>
  <c r="J144" i="25" s="1"/>
  <c r="E144" i="25"/>
  <c r="L144" i="25"/>
  <c r="F144" i="25"/>
  <c r="H144" i="25" s="1"/>
  <c r="M144" i="25"/>
  <c r="G144" i="25"/>
  <c r="B144" i="25"/>
  <c r="D144" i="25"/>
  <c r="C144" i="25"/>
  <c r="A145" i="25"/>
  <c r="Y117" i="25"/>
  <c r="AB117" i="25"/>
  <c r="W117" i="25"/>
  <c r="R117" i="25"/>
  <c r="S117" i="25" s="1"/>
  <c r="Z117" i="25"/>
  <c r="T117" i="25"/>
  <c r="X117" i="25"/>
  <c r="V117" i="25"/>
  <c r="AA117" i="25"/>
  <c r="P117" i="25"/>
  <c r="Q117" i="25" s="1"/>
  <c r="O118" i="25"/>
  <c r="U117" i="25" l="1"/>
  <c r="K144" i="25"/>
  <c r="J145" i="25" s="1"/>
  <c r="F145" i="25"/>
  <c r="H145" i="25" s="1"/>
  <c r="B145" i="25"/>
  <c r="L145" i="25"/>
  <c r="E145" i="25"/>
  <c r="M145" i="25"/>
  <c r="G145" i="25"/>
  <c r="C145" i="25"/>
  <c r="D145" i="25"/>
  <c r="A146" i="25"/>
  <c r="Y118" i="25"/>
  <c r="AB118" i="25"/>
  <c r="W118" i="25"/>
  <c r="R118" i="25"/>
  <c r="S118" i="25" s="1"/>
  <c r="U118" i="25" s="1"/>
  <c r="Z118" i="25"/>
  <c r="T118" i="25"/>
  <c r="AA118" i="25"/>
  <c r="X118" i="25"/>
  <c r="V118" i="25"/>
  <c r="P118" i="25"/>
  <c r="Q118" i="25" s="1"/>
  <c r="O119" i="25"/>
  <c r="K145" i="25" l="1"/>
  <c r="J146" i="25" s="1"/>
  <c r="L146" i="25"/>
  <c r="G146" i="25"/>
  <c r="C146" i="25"/>
  <c r="E146" i="25"/>
  <c r="M146" i="25"/>
  <c r="F146" i="25"/>
  <c r="H146" i="25" s="1"/>
  <c r="B146" i="25"/>
  <c r="D146" i="25"/>
  <c r="A147" i="25"/>
  <c r="AA119" i="25"/>
  <c r="W119" i="25"/>
  <c r="S119" i="25"/>
  <c r="Y119" i="25"/>
  <c r="T119" i="25"/>
  <c r="U119" i="25" s="1"/>
  <c r="AB119" i="25"/>
  <c r="V119" i="25"/>
  <c r="Z119" i="25"/>
  <c r="P119" i="25"/>
  <c r="Q119" i="25" s="1"/>
  <c r="X119" i="25"/>
  <c r="R119" i="25"/>
  <c r="O120" i="25"/>
  <c r="K146" i="25" l="1"/>
  <c r="J147" i="25" s="1"/>
  <c r="M147" i="25"/>
  <c r="D147" i="25"/>
  <c r="C147" i="25"/>
  <c r="E147" i="25"/>
  <c r="L147" i="25"/>
  <c r="B147" i="25"/>
  <c r="G147" i="25"/>
  <c r="F147" i="25"/>
  <c r="H147" i="25" s="1"/>
  <c r="A148" i="25"/>
  <c r="AA120" i="25"/>
  <c r="W120" i="25"/>
  <c r="S120" i="25"/>
  <c r="Y120" i="25"/>
  <c r="T120" i="25"/>
  <c r="AB120" i="25"/>
  <c r="V120" i="25"/>
  <c r="Z120" i="25"/>
  <c r="P120" i="25"/>
  <c r="Q120" i="25" s="1"/>
  <c r="X120" i="25"/>
  <c r="U120" i="25"/>
  <c r="R120" i="25"/>
  <c r="O121" i="25"/>
  <c r="K147" i="25" l="1"/>
  <c r="J148" i="25" s="1"/>
  <c r="E148" i="25"/>
  <c r="C148" i="25"/>
  <c r="D148" i="25"/>
  <c r="F148" i="25"/>
  <c r="G148" i="25"/>
  <c r="B148" i="25"/>
  <c r="M148" i="25"/>
  <c r="L148" i="25"/>
  <c r="A149" i="25"/>
  <c r="AA121" i="25"/>
  <c r="W121" i="25"/>
  <c r="S121" i="25"/>
  <c r="Z121" i="25"/>
  <c r="U121" i="25"/>
  <c r="P121" i="25"/>
  <c r="Q121" i="25" s="1"/>
  <c r="X121" i="25"/>
  <c r="R121" i="25"/>
  <c r="AB121" i="25"/>
  <c r="V121" i="25"/>
  <c r="T121" i="25"/>
  <c r="Y121" i="25"/>
  <c r="O122" i="25"/>
  <c r="K148" i="25" l="1"/>
  <c r="J149" i="25" s="1"/>
  <c r="H148" i="25"/>
  <c r="F149" i="25"/>
  <c r="H149" i="25" s="1"/>
  <c r="B149" i="25"/>
  <c r="D149" i="25"/>
  <c r="M149" i="25"/>
  <c r="E149" i="25"/>
  <c r="G149" i="25"/>
  <c r="L149" i="25"/>
  <c r="C149" i="25"/>
  <c r="A150" i="25"/>
  <c r="AB122" i="25"/>
  <c r="X122" i="25"/>
  <c r="T122" i="25"/>
  <c r="P122" i="25"/>
  <c r="Q122" i="25" s="1"/>
  <c r="Y122" i="25"/>
  <c r="S122" i="25"/>
  <c r="AA122" i="25"/>
  <c r="V122" i="25"/>
  <c r="Z122" i="25"/>
  <c r="W122" i="25"/>
  <c r="U122" i="25"/>
  <c r="R122" i="25"/>
  <c r="O123" i="25"/>
  <c r="K149" i="25" l="1"/>
  <c r="J150" i="25" s="1"/>
  <c r="L150" i="25"/>
  <c r="G150" i="25"/>
  <c r="C150" i="25"/>
  <c r="D150" i="25"/>
  <c r="F150" i="25"/>
  <c r="H150" i="25" s="1"/>
  <c r="M150" i="25"/>
  <c r="E150" i="25"/>
  <c r="B150" i="25"/>
  <c r="A151" i="25"/>
  <c r="Z123" i="25"/>
  <c r="V123" i="25"/>
  <c r="R123" i="25"/>
  <c r="AA123" i="25"/>
  <c r="W123" i="25"/>
  <c r="S123" i="25"/>
  <c r="U123" i="25"/>
  <c r="Y123" i="25"/>
  <c r="X123" i="25"/>
  <c r="T123" i="25"/>
  <c r="P123" i="25"/>
  <c r="Q123" i="25" s="1"/>
  <c r="AB123" i="25"/>
  <c r="O124" i="25"/>
  <c r="K150" i="25" l="1"/>
  <c r="J151" i="25" s="1"/>
  <c r="L151" i="25"/>
  <c r="G151" i="25"/>
  <c r="C151" i="25"/>
  <c r="M151" i="25"/>
  <c r="D151" i="25"/>
  <c r="E151" i="25"/>
  <c r="B151" i="25"/>
  <c r="F151" i="25"/>
  <c r="H151" i="25" s="1"/>
  <c r="A152" i="25"/>
  <c r="AA124" i="25"/>
  <c r="W124" i="25"/>
  <c r="S124" i="25"/>
  <c r="AB124" i="25"/>
  <c r="X124" i="25"/>
  <c r="T124" i="25"/>
  <c r="P124" i="25"/>
  <c r="Q124" i="25" s="1"/>
  <c r="Z124" i="25"/>
  <c r="R124" i="25"/>
  <c r="V124" i="25"/>
  <c r="U124" i="25"/>
  <c r="Y124" i="25"/>
  <c r="O125" i="25"/>
  <c r="K151" i="25" l="1"/>
  <c r="J152" i="25" s="1"/>
  <c r="M152" i="25"/>
  <c r="D152" i="25"/>
  <c r="E152" i="25"/>
  <c r="G152" i="25"/>
  <c r="L152" i="25"/>
  <c r="B152" i="25"/>
  <c r="C152" i="25"/>
  <c r="F152" i="25"/>
  <c r="H152" i="25" s="1"/>
  <c r="A153" i="25"/>
  <c r="AB125" i="25"/>
  <c r="X125" i="25"/>
  <c r="T125" i="25"/>
  <c r="P125" i="25"/>
  <c r="Q125" i="25" s="1"/>
  <c r="Y125" i="25"/>
  <c r="U125" i="25"/>
  <c r="W125" i="25"/>
  <c r="AA125" i="25"/>
  <c r="S125" i="25"/>
  <c r="R125" i="25"/>
  <c r="Z125" i="25"/>
  <c r="V125" i="25"/>
  <c r="O126" i="25"/>
  <c r="K152" i="25" l="1"/>
  <c r="J153" i="25" s="1"/>
  <c r="E153" i="25"/>
  <c r="F153" i="25"/>
  <c r="H153" i="25" s="1"/>
  <c r="B153" i="25"/>
  <c r="M153" i="25"/>
  <c r="D153" i="25"/>
  <c r="G153" i="25"/>
  <c r="C153" i="25"/>
  <c r="L153" i="25"/>
  <c r="A154" i="25"/>
  <c r="Y126" i="25"/>
  <c r="Z126" i="25"/>
  <c r="U126" i="25"/>
  <c r="AA126" i="25"/>
  <c r="V126" i="25"/>
  <c r="R126" i="25"/>
  <c r="W126" i="25"/>
  <c r="AB126" i="25"/>
  <c r="S126" i="25"/>
  <c r="P126" i="25"/>
  <c r="Q126" i="25" s="1"/>
  <c r="X126" i="25"/>
  <c r="T126" i="25"/>
  <c r="O127" i="25"/>
  <c r="K153" i="25" l="1"/>
  <c r="J154" i="25" s="1"/>
  <c r="K154" i="25" s="1"/>
  <c r="F154" i="25"/>
  <c r="B154" i="25"/>
  <c r="L154" i="25"/>
  <c r="G154" i="25"/>
  <c r="C154" i="25"/>
  <c r="M154" i="25"/>
  <c r="D154" i="25"/>
  <c r="H154" i="25"/>
  <c r="E154" i="25"/>
  <c r="A155" i="25"/>
  <c r="AA127" i="25"/>
  <c r="W127" i="25"/>
  <c r="S127" i="25"/>
  <c r="AB127" i="25"/>
  <c r="V127" i="25"/>
  <c r="X127" i="25"/>
  <c r="R127" i="25"/>
  <c r="Y127" i="25"/>
  <c r="T127" i="25"/>
  <c r="Z127" i="25"/>
  <c r="P127" i="25"/>
  <c r="Q127" i="25" s="1"/>
  <c r="O128" i="25"/>
  <c r="U127" i="25"/>
  <c r="AB128" i="25" l="1"/>
  <c r="X128" i="25"/>
  <c r="T128" i="25"/>
  <c r="P128" i="25"/>
  <c r="Q128" i="25" s="1"/>
  <c r="W128" i="25"/>
  <c r="R128" i="25"/>
  <c r="Y128" i="25"/>
  <c r="S128" i="25"/>
  <c r="AA128" i="25"/>
  <c r="V128" i="25"/>
  <c r="U128" i="25"/>
  <c r="Z128" i="25"/>
  <c r="O129" i="25"/>
  <c r="L155" i="25"/>
  <c r="G155" i="25"/>
  <c r="C155" i="25"/>
  <c r="M155" i="25"/>
  <c r="D155" i="25"/>
  <c r="E155" i="25"/>
  <c r="B155" i="25"/>
  <c r="F155" i="25"/>
  <c r="F129" i="25" s="1"/>
  <c r="J155" i="25"/>
  <c r="K155" i="25" l="1"/>
  <c r="H155" i="25"/>
  <c r="AA129" i="25"/>
  <c r="W129" i="25"/>
  <c r="S129" i="25"/>
  <c r="AB129" i="25"/>
  <c r="V129" i="25"/>
  <c r="X129" i="25"/>
  <c r="R129" i="25"/>
  <c r="T129" i="25"/>
  <c r="Y129" i="25"/>
  <c r="U129" i="25"/>
  <c r="Z129" i="25"/>
  <c r="P129" i="25"/>
  <c r="Q129" i="25" s="1"/>
  <c r="O130" i="25"/>
  <c r="AB130" i="25" l="1"/>
  <c r="X130" i="25"/>
  <c r="T130" i="25"/>
  <c r="P130" i="25"/>
  <c r="Q130" i="25" s="1"/>
  <c r="W130" i="25"/>
  <c r="R130" i="25"/>
  <c r="Y130" i="25"/>
  <c r="S130" i="25"/>
  <c r="V130" i="25"/>
  <c r="AA130" i="25"/>
  <c r="Z130" i="25"/>
  <c r="U130" i="25"/>
  <c r="O131" i="25"/>
  <c r="Y131" i="25" l="1"/>
  <c r="U131" i="25"/>
  <c r="AB131" i="25"/>
  <c r="W131" i="25"/>
  <c r="R131" i="25"/>
  <c r="X131" i="25"/>
  <c r="S131" i="25"/>
  <c r="Z131" i="25"/>
  <c r="T131" i="25"/>
  <c r="AA131" i="25"/>
  <c r="P131" i="25"/>
  <c r="Q131" i="25" s="1"/>
  <c r="V131" i="25"/>
  <c r="O132" i="25"/>
  <c r="Z132" i="25" l="1"/>
  <c r="V132" i="25"/>
  <c r="R132" i="25"/>
  <c r="AA132" i="25"/>
  <c r="U132" i="25"/>
  <c r="P132" i="25"/>
  <c r="Q132" i="25" s="1"/>
  <c r="AB132" i="25"/>
  <c r="W132" i="25"/>
  <c r="Y132" i="25"/>
  <c r="T132" i="25"/>
  <c r="S132" i="25"/>
  <c r="X132" i="25"/>
  <c r="O133" i="25"/>
  <c r="AA133" i="25" l="1"/>
  <c r="W133" i="25"/>
  <c r="S133" i="25"/>
  <c r="Z133" i="25"/>
  <c r="U133" i="25"/>
  <c r="P133" i="25"/>
  <c r="Q133" i="25" s="1"/>
  <c r="AB133" i="25"/>
  <c r="V133" i="25"/>
  <c r="T133" i="25"/>
  <c r="Y133" i="25"/>
  <c r="X133" i="25"/>
  <c r="R133" i="25"/>
  <c r="O134" i="25"/>
  <c r="AB134" i="25" l="1"/>
  <c r="X134" i="25"/>
  <c r="T134" i="25"/>
  <c r="P134" i="25"/>
  <c r="Q134" i="25" s="1"/>
  <c r="Z134" i="25"/>
  <c r="U134" i="25"/>
  <c r="AA134" i="25"/>
  <c r="V134" i="25"/>
  <c r="Y134" i="25"/>
  <c r="S134" i="25"/>
  <c r="R134" i="25"/>
  <c r="W134" i="25"/>
  <c r="O135" i="25"/>
  <c r="Y135" i="25" l="1"/>
  <c r="U135" i="25"/>
  <c r="Z135" i="25"/>
  <c r="T135" i="25"/>
  <c r="AA135" i="25"/>
  <c r="V135" i="25"/>
  <c r="P135" i="25"/>
  <c r="Q135" i="25" s="1"/>
  <c r="S135" i="25"/>
  <c r="X135" i="25"/>
  <c r="W135" i="25"/>
  <c r="AB135" i="25"/>
  <c r="R135" i="25"/>
  <c r="O136" i="25"/>
  <c r="Z136" i="25" l="1"/>
  <c r="V136" i="25"/>
  <c r="R136" i="25"/>
  <c r="X136" i="25"/>
  <c r="S136" i="25"/>
  <c r="Y136" i="25"/>
  <c r="T136" i="25"/>
  <c r="W136" i="25"/>
  <c r="AB136" i="25"/>
  <c r="AA136" i="25"/>
  <c r="P136" i="25"/>
  <c r="Q136" i="25" s="1"/>
  <c r="U136" i="25"/>
  <c r="O137" i="25"/>
  <c r="AA137" i="25" l="1"/>
  <c r="W137" i="25"/>
  <c r="S137" i="25"/>
  <c r="X137" i="25"/>
  <c r="R137" i="25"/>
  <c r="Y137" i="25"/>
  <c r="T137" i="25"/>
  <c r="Z137" i="25"/>
  <c r="P137" i="25"/>
  <c r="Q137" i="25" s="1"/>
  <c r="U137" i="25"/>
  <c r="AB137" i="25"/>
  <c r="V137" i="25"/>
  <c r="O138" i="25"/>
  <c r="AB138" i="25" l="1"/>
  <c r="X138" i="25"/>
  <c r="T138" i="25"/>
  <c r="P138" i="25"/>
  <c r="Q138" i="25" s="1"/>
  <c r="W138" i="25"/>
  <c r="R138" i="25"/>
  <c r="Y138" i="25"/>
  <c r="S138" i="25"/>
  <c r="AA138" i="25"/>
  <c r="V138" i="25"/>
  <c r="U138" i="25"/>
  <c r="Z138" i="25"/>
  <c r="O139" i="25"/>
  <c r="AB139" i="25" l="1"/>
  <c r="X139" i="25"/>
  <c r="T139" i="25"/>
  <c r="P139" i="25"/>
  <c r="Q139" i="25" s="1"/>
  <c r="Y139" i="25"/>
  <c r="U139" i="25"/>
  <c r="Z139" i="25"/>
  <c r="R139" i="25"/>
  <c r="AA139" i="25"/>
  <c r="S139" i="25"/>
  <c r="V139" i="25"/>
  <c r="W139" i="25"/>
  <c r="O140" i="25"/>
  <c r="Y140" i="25" l="1"/>
  <c r="U140" i="25"/>
  <c r="Z140" i="25"/>
  <c r="V140" i="25"/>
  <c r="R140" i="25"/>
  <c r="AB140" i="25"/>
  <c r="T140" i="25"/>
  <c r="W140" i="25"/>
  <c r="P140" i="25"/>
  <c r="Q140" i="25" s="1"/>
  <c r="X140" i="25"/>
  <c r="S140" i="25"/>
  <c r="AA140" i="25"/>
  <c r="O141" i="25"/>
  <c r="Z141" i="25" l="1"/>
  <c r="V141" i="25"/>
  <c r="R141" i="25"/>
  <c r="AA141" i="25"/>
  <c r="W141" i="25"/>
  <c r="S141" i="25"/>
  <c r="X141" i="25"/>
  <c r="P141" i="25"/>
  <c r="Q141" i="25" s="1"/>
  <c r="Y141" i="25"/>
  <c r="U141" i="25"/>
  <c r="T141" i="25"/>
  <c r="AB141" i="25"/>
  <c r="O142" i="25"/>
  <c r="Y142" i="25" l="1"/>
  <c r="U142" i="25"/>
  <c r="Z142" i="25"/>
  <c r="T142" i="25"/>
  <c r="AA142" i="25"/>
  <c r="V142" i="25"/>
  <c r="P142" i="25"/>
  <c r="Q142" i="25" s="1"/>
  <c r="W142" i="25"/>
  <c r="X142" i="25"/>
  <c r="S142" i="25"/>
  <c r="AB142" i="25"/>
  <c r="R142" i="25"/>
  <c r="O143" i="25"/>
  <c r="Z143" i="25" l="1"/>
  <c r="V143" i="25"/>
  <c r="R143" i="25"/>
  <c r="X143" i="25"/>
  <c r="S143" i="25"/>
  <c r="Y143" i="25"/>
  <c r="T143" i="25"/>
  <c r="AA143" i="25"/>
  <c r="P143" i="25"/>
  <c r="Q143" i="25" s="1"/>
  <c r="AB143" i="25"/>
  <c r="W143" i="25"/>
  <c r="U143" i="25"/>
  <c r="O144" i="25"/>
  <c r="AA144" i="25" l="1"/>
  <c r="W144" i="25"/>
  <c r="S144" i="25"/>
  <c r="X144" i="25"/>
  <c r="R144" i="25"/>
  <c r="Y144" i="25"/>
  <c r="T144" i="25"/>
  <c r="AB144" i="25"/>
  <c r="U144" i="25"/>
  <c r="Z144" i="25"/>
  <c r="P144" i="25"/>
  <c r="Q144" i="25" s="1"/>
  <c r="V144" i="25"/>
  <c r="O145" i="25"/>
  <c r="AB145" i="25" l="1"/>
  <c r="X145" i="25"/>
  <c r="T145" i="25"/>
  <c r="P145" i="25"/>
  <c r="Q145" i="25" s="1"/>
  <c r="W145" i="25"/>
  <c r="R145" i="25"/>
  <c r="Y145" i="25"/>
  <c r="S145" i="25"/>
  <c r="U145" i="25"/>
  <c r="V145" i="25"/>
  <c r="Z145" i="25"/>
  <c r="AA145" i="25"/>
  <c r="O146" i="25"/>
  <c r="Y146" i="25" l="1"/>
  <c r="U146" i="25"/>
  <c r="AB146" i="25"/>
  <c r="W146" i="25"/>
  <c r="R146" i="25"/>
  <c r="X146" i="25"/>
  <c r="S146" i="25"/>
  <c r="V146" i="25"/>
  <c r="Z146" i="25"/>
  <c r="T146" i="25"/>
  <c r="AA146" i="25"/>
  <c r="P146" i="25"/>
  <c r="Q146" i="25" s="1"/>
  <c r="O147" i="25"/>
  <c r="Z147" i="25" l="1"/>
  <c r="V147" i="25"/>
  <c r="R147" i="25"/>
  <c r="AA147" i="25"/>
  <c r="U147" i="25"/>
  <c r="P147" i="25"/>
  <c r="Q147" i="25" s="1"/>
  <c r="AB147" i="25"/>
  <c r="W147" i="25"/>
  <c r="X147" i="25"/>
  <c r="Y147" i="25"/>
  <c r="T147" i="25"/>
  <c r="S147" i="25"/>
  <c r="O148" i="25"/>
  <c r="AA148" i="25" l="1"/>
  <c r="AB148" i="25"/>
  <c r="W148" i="25"/>
  <c r="S148" i="25"/>
  <c r="Z148" i="25"/>
  <c r="U148" i="25"/>
  <c r="P148" i="25"/>
  <c r="Q148" i="25" s="1"/>
  <c r="V148" i="25"/>
  <c r="R148" i="25"/>
  <c r="T148" i="25"/>
  <c r="Y148" i="25"/>
  <c r="X148" i="25"/>
  <c r="O149" i="25"/>
  <c r="AB149" i="25" l="1"/>
  <c r="X149" i="25"/>
  <c r="T149" i="25"/>
  <c r="P149" i="25"/>
  <c r="Q149" i="25" s="1"/>
  <c r="AA149" i="25"/>
  <c r="V149" i="25"/>
  <c r="U149" i="25"/>
  <c r="W149" i="25"/>
  <c r="Z149" i="25"/>
  <c r="R149" i="25"/>
  <c r="S149" i="25"/>
  <c r="Y149" i="25"/>
  <c r="O150" i="25"/>
  <c r="AB150" i="25" l="1"/>
  <c r="Y150" i="25"/>
  <c r="U150" i="25"/>
  <c r="AA150" i="25"/>
  <c r="V150" i="25"/>
  <c r="P150" i="25"/>
  <c r="Q150" i="25" s="1"/>
  <c r="W150" i="25"/>
  <c r="X150" i="25"/>
  <c r="R150" i="25"/>
  <c r="Z150" i="25"/>
  <c r="T150" i="25"/>
  <c r="S150" i="25"/>
  <c r="O151" i="25"/>
  <c r="Y151" i="25" l="1"/>
  <c r="U151" i="25"/>
  <c r="Z151" i="25"/>
  <c r="V151" i="25"/>
  <c r="R151" i="25"/>
  <c r="W151" i="25"/>
  <c r="X151" i="25"/>
  <c r="AA151" i="25"/>
  <c r="P151" i="25"/>
  <c r="Q151" i="25" s="1"/>
  <c r="S151" i="25"/>
  <c r="T151" i="25"/>
  <c r="AB151" i="25"/>
  <c r="O152" i="25"/>
  <c r="Z152" i="25" l="1"/>
  <c r="V152" i="25"/>
  <c r="R152" i="25"/>
  <c r="AA152" i="25"/>
  <c r="W152" i="25"/>
  <c r="S152" i="25"/>
  <c r="Y152" i="25"/>
  <c r="X152" i="25"/>
  <c r="AB152" i="25"/>
  <c r="P152" i="25"/>
  <c r="Q152" i="25" s="1"/>
  <c r="T152" i="25"/>
  <c r="U152" i="25"/>
  <c r="O153" i="25"/>
  <c r="AA153" i="25" l="1"/>
  <c r="W153" i="25"/>
  <c r="S153" i="25"/>
  <c r="AB153" i="25"/>
  <c r="X153" i="25"/>
  <c r="T153" i="25"/>
  <c r="P153" i="25"/>
  <c r="Q153" i="25" s="1"/>
  <c r="V153" i="25"/>
  <c r="R153" i="25"/>
  <c r="U153" i="25"/>
  <c r="Y153" i="25"/>
  <c r="Z153" i="25"/>
  <c r="O154" i="25"/>
  <c r="AB154" i="25" l="1"/>
  <c r="X154" i="25"/>
  <c r="T154" i="25"/>
  <c r="P154" i="25"/>
  <c r="Q154" i="25" s="1"/>
  <c r="Y154" i="25"/>
  <c r="U154" i="25"/>
  <c r="AA154" i="25"/>
  <c r="S154" i="25"/>
  <c r="W154" i="25"/>
  <c r="Z154" i="25"/>
  <c r="R154" i="25"/>
  <c r="V154" i="25"/>
  <c r="O155" i="25"/>
  <c r="Y155" i="25" l="1"/>
  <c r="U155" i="25"/>
  <c r="Z155" i="25"/>
  <c r="V155" i="25"/>
  <c r="R155" i="25"/>
  <c r="W155" i="25"/>
  <c r="AA155" i="25"/>
  <c r="P155" i="25"/>
  <c r="Q155" i="25" s="1"/>
  <c r="AB155" i="25"/>
  <c r="S155" i="25"/>
  <c r="X155" i="25"/>
  <c r="T155" i="25"/>
  <c r="O156" i="25"/>
  <c r="Z156" i="25" l="1"/>
  <c r="V156" i="25"/>
  <c r="R156" i="25"/>
  <c r="AA156" i="25"/>
  <c r="W156" i="25"/>
  <c r="S156" i="25"/>
  <c r="U156" i="25"/>
  <c r="AB156" i="25"/>
  <c r="T156" i="25"/>
  <c r="Y156" i="25"/>
  <c r="P156" i="25"/>
  <c r="Q156" i="25" s="1"/>
  <c r="X156" i="25"/>
  <c r="O157" i="25"/>
  <c r="AA157" i="25" l="1"/>
  <c r="W157" i="25"/>
  <c r="S157" i="25"/>
  <c r="AB157" i="25"/>
  <c r="X157" i="25"/>
  <c r="T157" i="25"/>
  <c r="P157" i="25"/>
  <c r="Q157" i="25" s="1"/>
  <c r="V157" i="25"/>
  <c r="U157" i="25"/>
  <c r="Y157" i="25"/>
  <c r="Z157" i="25"/>
  <c r="R157" i="25"/>
  <c r="O158" i="25"/>
  <c r="AB158" i="25" l="1"/>
  <c r="X158" i="25"/>
  <c r="T158" i="25"/>
  <c r="P158" i="25"/>
  <c r="Q158" i="25" s="1"/>
  <c r="Y158" i="25"/>
  <c r="U158" i="25"/>
  <c r="W158" i="25"/>
  <c r="AA158" i="25"/>
  <c r="R158" i="25"/>
  <c r="S158" i="25"/>
  <c r="V158" i="25"/>
  <c r="Z158" i="25"/>
  <c r="O159" i="25"/>
  <c r="Y159" i="25" l="1"/>
  <c r="U159" i="25"/>
  <c r="Z159" i="25"/>
  <c r="V159" i="25"/>
  <c r="R159" i="25"/>
  <c r="AA159" i="25"/>
  <c r="S159" i="25"/>
  <c r="W159" i="25"/>
  <c r="X159" i="25"/>
  <c r="AB159" i="25"/>
  <c r="P159" i="25"/>
  <c r="Q159" i="25" s="1"/>
  <c r="T159" i="25"/>
  <c r="O160" i="25"/>
  <c r="Z160" i="25" l="1"/>
  <c r="V160" i="25"/>
  <c r="R160" i="25"/>
  <c r="AA160" i="25"/>
  <c r="W160" i="25"/>
  <c r="S160" i="25"/>
  <c r="Y160" i="25"/>
  <c r="U160" i="25"/>
  <c r="T160" i="25"/>
  <c r="X160" i="25"/>
  <c r="P160" i="25"/>
  <c r="Q160" i="25" s="1"/>
  <c r="AB160" i="25"/>
  <c r="O161" i="25"/>
  <c r="AA161" i="25" l="1"/>
  <c r="W161" i="25"/>
  <c r="S161" i="25"/>
  <c r="AB161" i="25"/>
  <c r="X161" i="25"/>
  <c r="T161" i="25"/>
  <c r="P161" i="25"/>
  <c r="Q161" i="25" s="1"/>
  <c r="Z161" i="25"/>
  <c r="R161" i="25"/>
  <c r="V161" i="25"/>
  <c r="U161" i="25"/>
  <c r="Y161" i="25"/>
  <c r="O162" i="25"/>
  <c r="Y162" i="25" l="1"/>
  <c r="U162" i="25"/>
  <c r="Z162" i="25"/>
  <c r="V162" i="25"/>
  <c r="R162" i="25"/>
  <c r="AB162" i="25"/>
  <c r="T162" i="25"/>
  <c r="X162" i="25"/>
  <c r="P162" i="25"/>
  <c r="Q162" i="25" s="1"/>
  <c r="S162" i="25"/>
  <c r="W162" i="25"/>
  <c r="AA162" i="25"/>
  <c r="O163" i="25"/>
  <c r="AA163" i="25" l="1"/>
  <c r="W163" i="25"/>
  <c r="S163" i="25"/>
  <c r="AB163" i="25"/>
  <c r="X163" i="25"/>
  <c r="T163" i="25"/>
  <c r="P163" i="25"/>
  <c r="Q163" i="25" s="1"/>
  <c r="V163" i="25"/>
  <c r="Z163" i="25"/>
  <c r="R163" i="25"/>
  <c r="U163" i="25"/>
  <c r="Y163" i="25"/>
  <c r="O164" i="25"/>
  <c r="Y164" i="25" l="1"/>
  <c r="U164" i="25"/>
  <c r="Z164" i="25"/>
  <c r="V164" i="25"/>
  <c r="R164" i="25"/>
  <c r="X164" i="25"/>
  <c r="P164" i="25"/>
  <c r="Q164" i="25" s="1"/>
  <c r="AB164" i="25"/>
  <c r="T164" i="25"/>
  <c r="W164" i="25"/>
  <c r="AA164" i="25"/>
  <c r="S164" i="25"/>
  <c r="O165" i="25"/>
  <c r="AA165" i="25" l="1"/>
  <c r="W165" i="25"/>
  <c r="S165" i="25"/>
  <c r="AB165" i="25"/>
  <c r="X165" i="25"/>
  <c r="T165" i="25"/>
  <c r="P165" i="25"/>
  <c r="Q165" i="25" s="1"/>
  <c r="Z165" i="25"/>
  <c r="R165" i="25"/>
  <c r="V165" i="25"/>
  <c r="Y165" i="25"/>
  <c r="U165" i="25"/>
  <c r="O166" i="25"/>
  <c r="Y166" i="25" l="1"/>
  <c r="U166" i="25"/>
  <c r="Z166" i="25"/>
  <c r="V166" i="25"/>
  <c r="R166" i="25"/>
  <c r="AB166" i="25"/>
  <c r="T166" i="25"/>
  <c r="T167" i="25" s="1"/>
  <c r="X166" i="25"/>
  <c r="P166" i="25"/>
  <c r="Q166" i="25" s="1"/>
  <c r="AA166" i="25"/>
  <c r="W166" i="25"/>
  <c r="S166" i="25"/>
  <c r="C1" i="23" l="1"/>
  <c r="D1" i="23"/>
  <c r="G1" i="23" s="1"/>
  <c r="H1" i="23" s="1"/>
  <c r="F1" i="23"/>
  <c r="J1" i="23"/>
  <c r="C13" i="23"/>
  <c r="F13" i="23"/>
  <c r="B104" i="22"/>
  <c r="D128" i="22" s="1"/>
  <c r="D127" i="22" s="1"/>
  <c r="D104" i="22"/>
  <c r="C105" i="22"/>
  <c r="B110" i="22"/>
  <c r="D110" i="22"/>
  <c r="D112" i="22"/>
  <c r="D111" i="22" s="1"/>
  <c r="D114" i="22"/>
  <c r="B115" i="22"/>
  <c r="G112" i="22" s="1"/>
  <c r="C118" i="22"/>
  <c r="B119" i="22"/>
  <c r="B120" i="22"/>
  <c r="D144" i="22" s="1"/>
  <c r="D143" i="22" s="1"/>
  <c r="D120" i="22"/>
  <c r="C121" i="22"/>
  <c r="B126" i="22"/>
  <c r="D126" i="22"/>
  <c r="B131" i="22"/>
  <c r="F128" i="22" s="1"/>
  <c r="C134" i="22"/>
  <c r="B135" i="22"/>
  <c r="B136" i="22"/>
  <c r="D136" i="22"/>
  <c r="C137" i="22"/>
  <c r="B142" i="22"/>
  <c r="D142" i="22"/>
  <c r="B147" i="22"/>
  <c r="F144" i="22" s="1"/>
  <c r="C150" i="22"/>
  <c r="A2" i="21"/>
  <c r="B2" i="21"/>
  <c r="E2" i="21" s="1"/>
  <c r="C2" i="21"/>
  <c r="F2" i="21"/>
  <c r="I2" i="21" s="1"/>
  <c r="A3" i="21"/>
  <c r="B3" i="21"/>
  <c r="D3" i="21" s="1"/>
  <c r="C3" i="21"/>
  <c r="F3" i="21"/>
  <c r="H3" i="21" s="1"/>
  <c r="A4" i="21"/>
  <c r="B4" i="21"/>
  <c r="D4" i="21" s="1"/>
  <c r="C4" i="21"/>
  <c r="F4" i="21"/>
  <c r="G4" i="21" s="1"/>
  <c r="A5" i="21"/>
  <c r="B5" i="21"/>
  <c r="D5" i="21" s="1"/>
  <c r="C5" i="21"/>
  <c r="F5" i="21"/>
  <c r="H5" i="21" s="1"/>
  <c r="A6" i="21"/>
  <c r="B6" i="21"/>
  <c r="E6" i="21" s="1"/>
  <c r="C6" i="21"/>
  <c r="F6" i="21"/>
  <c r="I6" i="21" s="1"/>
  <c r="A7" i="21"/>
  <c r="B7" i="21"/>
  <c r="D7" i="21" s="1"/>
  <c r="C7" i="21"/>
  <c r="F7" i="21"/>
  <c r="A8" i="21"/>
  <c r="B8" i="21"/>
  <c r="D8" i="21" s="1"/>
  <c r="C8" i="21"/>
  <c r="F8" i="21"/>
  <c r="G8" i="21" s="1"/>
  <c r="A9" i="21"/>
  <c r="B9" i="21"/>
  <c r="D9" i="21" s="1"/>
  <c r="C9" i="21"/>
  <c r="F9" i="21"/>
  <c r="I9" i="21" s="1"/>
  <c r="A10" i="21"/>
  <c r="B10" i="21"/>
  <c r="E10" i="21" s="1"/>
  <c r="C10" i="21"/>
  <c r="F10" i="21"/>
  <c r="A11" i="21"/>
  <c r="B11" i="21"/>
  <c r="D11" i="21" s="1"/>
  <c r="C11" i="21"/>
  <c r="F11" i="21"/>
  <c r="H11" i="21" s="1"/>
  <c r="A12" i="21"/>
  <c r="B12" i="21"/>
  <c r="D12" i="21" s="1"/>
  <c r="C12" i="21"/>
  <c r="F12" i="21"/>
  <c r="G12" i="21" s="1"/>
  <c r="A13" i="21"/>
  <c r="B13" i="21"/>
  <c r="E13" i="21" s="1"/>
  <c r="C13" i="21"/>
  <c r="F13" i="21"/>
  <c r="I13" i="21" s="1"/>
  <c r="A14" i="21"/>
  <c r="B14" i="21"/>
  <c r="C14" i="21"/>
  <c r="F14" i="21"/>
  <c r="I14" i="21" s="1"/>
  <c r="A15" i="21"/>
  <c r="B15" i="21"/>
  <c r="D15" i="21" s="1"/>
  <c r="C15" i="21"/>
  <c r="F15" i="21"/>
  <c r="H15" i="21" s="1"/>
  <c r="A16" i="21"/>
  <c r="B16" i="21"/>
  <c r="D16" i="21" s="1"/>
  <c r="C16" i="21"/>
  <c r="F16" i="21"/>
  <c r="G16" i="21" s="1"/>
  <c r="A17" i="21"/>
  <c r="B17" i="21"/>
  <c r="D17" i="21" s="1"/>
  <c r="C17" i="21"/>
  <c r="F17" i="21"/>
  <c r="H17" i="21" s="1"/>
  <c r="A18" i="21"/>
  <c r="B18" i="21"/>
  <c r="E18" i="21" s="1"/>
  <c r="C18" i="21"/>
  <c r="F18" i="21"/>
  <c r="I18" i="21" s="1"/>
  <c r="A19" i="21"/>
  <c r="B19" i="21"/>
  <c r="D19" i="21" s="1"/>
  <c r="C19" i="21"/>
  <c r="F19" i="21"/>
  <c r="H19" i="21" s="1"/>
  <c r="A20" i="21"/>
  <c r="B20" i="21"/>
  <c r="D20" i="21" s="1"/>
  <c r="C20" i="21"/>
  <c r="F20" i="21"/>
  <c r="G20" i="21" s="1"/>
  <c r="H128" i="22" l="1"/>
  <c r="H127" i="22" s="1"/>
  <c r="L112" i="22"/>
  <c r="L111" i="22" s="1"/>
  <c r="H14" i="21"/>
  <c r="H2" i="21"/>
  <c r="I11" i="21"/>
  <c r="I17" i="21"/>
  <c r="H6" i="21"/>
  <c r="G9" i="23"/>
  <c r="H9" i="23" s="1"/>
  <c r="E1" i="23"/>
  <c r="B4" i="23" s="1"/>
  <c r="G13" i="21"/>
  <c r="B10" i="23"/>
  <c r="D9" i="23"/>
  <c r="I144" i="22"/>
  <c r="I143" i="22" s="1"/>
  <c r="G17" i="21"/>
  <c r="E5" i="21"/>
  <c r="G3" i="21"/>
  <c r="M144" i="22"/>
  <c r="H144" i="22"/>
  <c r="H143" i="22" s="1"/>
  <c r="H112" i="22"/>
  <c r="H111" i="22" s="1"/>
  <c r="I19" i="21"/>
  <c r="D13" i="21"/>
  <c r="D6" i="21"/>
  <c r="I5" i="21"/>
  <c r="L144" i="22"/>
  <c r="G144" i="22"/>
  <c r="G143" i="22" s="1"/>
  <c r="G19" i="21"/>
  <c r="H13" i="21"/>
  <c r="G5" i="21"/>
  <c r="K144" i="22"/>
  <c r="E144" i="22"/>
  <c r="E143" i="22" s="1"/>
  <c r="L128" i="22"/>
  <c r="L127" i="22" s="1"/>
  <c r="F127" i="22"/>
  <c r="I10" i="21"/>
  <c r="H10" i="21"/>
  <c r="E3" i="21"/>
  <c r="E19" i="21"/>
  <c r="H18" i="21"/>
  <c r="E17" i="21"/>
  <c r="G15" i="21"/>
  <c r="E14" i="21"/>
  <c r="D14" i="21"/>
  <c r="H9" i="21"/>
  <c r="G9" i="21"/>
  <c r="H7" i="21"/>
  <c r="G7" i="21"/>
  <c r="F143" i="22"/>
  <c r="D113" i="22"/>
  <c r="D118" i="22" s="1"/>
  <c r="G111" i="22"/>
  <c r="G11" i="21"/>
  <c r="E128" i="22"/>
  <c r="I128" i="22"/>
  <c r="M128" i="22"/>
  <c r="G128" i="22"/>
  <c r="K128" i="22"/>
  <c r="J128" i="22"/>
  <c r="J112" i="22"/>
  <c r="F112" i="22"/>
  <c r="E11" i="21"/>
  <c r="E9" i="21"/>
  <c r="I3" i="21"/>
  <c r="J144" i="22"/>
  <c r="M112" i="22"/>
  <c r="I112" i="22"/>
  <c r="E112" i="22"/>
  <c r="K112" i="22"/>
  <c r="D18" i="21"/>
  <c r="E15" i="21"/>
  <c r="D10" i="21"/>
  <c r="E7" i="21"/>
  <c r="D2" i="21"/>
  <c r="I15" i="21"/>
  <c r="I7" i="21"/>
  <c r="I20" i="21"/>
  <c r="E20" i="21"/>
  <c r="G18" i="21"/>
  <c r="I16" i="21"/>
  <c r="E16" i="21"/>
  <c r="G14" i="21"/>
  <c r="I12" i="21"/>
  <c r="E12" i="21"/>
  <c r="G10" i="21"/>
  <c r="I8" i="21"/>
  <c r="E8" i="21"/>
  <c r="G6" i="21"/>
  <c r="I4" i="21"/>
  <c r="E4" i="21"/>
  <c r="G2" i="21"/>
  <c r="H20" i="21"/>
  <c r="H16" i="21"/>
  <c r="H12" i="21"/>
  <c r="H8" i="21"/>
  <c r="H4" i="21"/>
  <c r="C4" i="23" l="1"/>
  <c r="G4" i="23"/>
  <c r="D4" i="23"/>
  <c r="H4" i="23"/>
  <c r="E4" i="23"/>
  <c r="I4" i="23"/>
  <c r="F4" i="23"/>
  <c r="J4" i="23"/>
  <c r="J10" i="23"/>
  <c r="H10" i="23"/>
  <c r="I10" i="23"/>
  <c r="E9" i="23"/>
  <c r="F10" i="23" s="1"/>
  <c r="G13" i="23"/>
  <c r="H13" i="23" s="1"/>
  <c r="D13" i="23"/>
  <c r="E13" i="23" s="1"/>
  <c r="K143" i="22"/>
  <c r="L143" i="22"/>
  <c r="M143" i="22"/>
  <c r="I111" i="22"/>
  <c r="F111" i="22"/>
  <c r="K127" i="22"/>
  <c r="E127" i="22"/>
  <c r="M111" i="22"/>
  <c r="J111" i="22"/>
  <c r="G127" i="22"/>
  <c r="K111" i="22"/>
  <c r="J143" i="22"/>
  <c r="M127" i="22"/>
  <c r="E111" i="22"/>
  <c r="E113" i="22"/>
  <c r="E115" i="22" s="1"/>
  <c r="J127" i="22"/>
  <c r="I127" i="22"/>
  <c r="G10" i="23" l="1"/>
  <c r="G11" i="23" s="1"/>
  <c r="E114" i="22"/>
  <c r="E116" i="22" s="1"/>
  <c r="E117" i="22" s="1"/>
  <c r="F113" i="22"/>
  <c r="G113" i="22" s="1"/>
  <c r="F11" i="23"/>
  <c r="F12" i="23"/>
  <c r="I11" i="23"/>
  <c r="I12" i="23"/>
  <c r="J5" i="23"/>
  <c r="J6" i="23"/>
  <c r="J8" i="23" s="1"/>
  <c r="H5" i="23"/>
  <c r="H6" i="23"/>
  <c r="H8" i="23" s="1"/>
  <c r="E10" i="23"/>
  <c r="C10" i="23"/>
  <c r="F5" i="23"/>
  <c r="F6" i="23"/>
  <c r="F8" i="23" s="1"/>
  <c r="D5" i="23"/>
  <c r="D6" i="23"/>
  <c r="D8" i="23" s="1"/>
  <c r="H11" i="23"/>
  <c r="H12" i="23"/>
  <c r="J11" i="23"/>
  <c r="J12" i="23"/>
  <c r="I5" i="23"/>
  <c r="I6" i="23"/>
  <c r="I8" i="23" s="1"/>
  <c r="G5" i="23"/>
  <c r="G6" i="23"/>
  <c r="G8" i="23" s="1"/>
  <c r="D10" i="23"/>
  <c r="E5" i="23"/>
  <c r="E6" i="23"/>
  <c r="E8" i="23" s="1"/>
  <c r="C5" i="23"/>
  <c r="C6" i="23"/>
  <c r="C8" i="23" s="1"/>
  <c r="G12" i="23" l="1"/>
  <c r="F114" i="22"/>
  <c r="F115" i="22"/>
  <c r="E11" i="23"/>
  <c r="E12" i="23"/>
  <c r="C11" i="23"/>
  <c r="C12" i="23"/>
  <c r="D11" i="23"/>
  <c r="D12" i="23"/>
  <c r="G115" i="22"/>
  <c r="G114" i="22"/>
  <c r="H113" i="22"/>
  <c r="I113" i="22" s="1"/>
  <c r="J113" i="22" s="1"/>
  <c r="J115" i="22" l="1"/>
  <c r="J114" i="22"/>
  <c r="K113" i="22"/>
  <c r="L113" i="22" s="1"/>
  <c r="M113" i="22" s="1"/>
  <c r="I115" i="22"/>
  <c r="I114" i="22"/>
  <c r="F116" i="22"/>
  <c r="F117" i="22" s="1"/>
  <c r="G116" i="22"/>
  <c r="G117" i="22" s="1"/>
  <c r="H115" i="22"/>
  <c r="H114" i="22"/>
  <c r="M115" i="22" l="1"/>
  <c r="M114" i="22"/>
  <c r="L115" i="22"/>
  <c r="L114" i="22"/>
  <c r="K115" i="22"/>
  <c r="K114" i="22"/>
  <c r="J116" i="22"/>
  <c r="J117" i="22" s="1"/>
  <c r="I116" i="22"/>
  <c r="I117" i="22" s="1"/>
  <c r="H116" i="22"/>
  <c r="H117" i="22" s="1"/>
  <c r="M116" i="22" l="1"/>
  <c r="M117" i="22" s="1"/>
  <c r="B106" i="22"/>
  <c r="B105" i="22" s="1"/>
  <c r="D129" i="22" s="1"/>
  <c r="E129" i="22" s="1"/>
  <c r="E131" i="22" s="1"/>
  <c r="L116" i="22"/>
  <c r="L117" i="22" s="1"/>
  <c r="K116" i="22"/>
  <c r="K117" i="22" s="1"/>
  <c r="D106" i="22" l="1"/>
  <c r="D105" i="22" s="1"/>
  <c r="F129" i="22"/>
  <c r="G129" i="22" s="1"/>
  <c r="G130" i="22" s="1"/>
  <c r="B107" i="22"/>
  <c r="D131" i="22" s="1"/>
  <c r="E130" i="22"/>
  <c r="E132" i="22" s="1"/>
  <c r="E133" i="22" s="1"/>
  <c r="D130" i="22"/>
  <c r="D134" i="22" s="1"/>
  <c r="I165" i="19"/>
  <c r="H165" i="19"/>
  <c r="G165" i="19"/>
  <c r="F165" i="19"/>
  <c r="D165" i="19"/>
  <c r="C165" i="19"/>
  <c r="L167" i="19" s="1"/>
  <c r="B165" i="19"/>
  <c r="E166" i="19" s="1"/>
  <c r="A165" i="19"/>
  <c r="A164" i="19"/>
  <c r="L165" i="19" s="1"/>
  <c r="I161" i="19"/>
  <c r="H161" i="19"/>
  <c r="G161" i="19"/>
  <c r="F161" i="19"/>
  <c r="D161" i="19"/>
  <c r="C161" i="19"/>
  <c r="L163" i="19" s="1"/>
  <c r="B161" i="19"/>
  <c r="E162" i="19" s="1"/>
  <c r="A161" i="19"/>
  <c r="A160" i="19"/>
  <c r="L161" i="19" s="1"/>
  <c r="I157" i="19"/>
  <c r="H157" i="19"/>
  <c r="G157" i="19"/>
  <c r="F157" i="19"/>
  <c r="D157" i="19"/>
  <c r="C157" i="19"/>
  <c r="L159" i="19" s="1"/>
  <c r="B157" i="19"/>
  <c r="E158" i="19" s="1"/>
  <c r="A157" i="19"/>
  <c r="A156" i="19"/>
  <c r="L157" i="19" s="1"/>
  <c r="I153" i="19"/>
  <c r="H153" i="19"/>
  <c r="G153" i="19"/>
  <c r="F153" i="19"/>
  <c r="D153" i="19"/>
  <c r="C153" i="19"/>
  <c r="L155" i="19" s="1"/>
  <c r="B153" i="19"/>
  <c r="E154" i="19" s="1"/>
  <c r="A153" i="19"/>
  <c r="A152" i="19"/>
  <c r="L153" i="19" s="1"/>
  <c r="I149" i="19"/>
  <c r="H149" i="19"/>
  <c r="G149" i="19"/>
  <c r="F149" i="19"/>
  <c r="D149" i="19"/>
  <c r="C149" i="19"/>
  <c r="L151" i="19" s="1"/>
  <c r="B149" i="19"/>
  <c r="E150" i="19" s="1"/>
  <c r="A149" i="19"/>
  <c r="A148" i="19"/>
  <c r="L149" i="19" s="1"/>
  <c r="I145" i="19"/>
  <c r="H145" i="19"/>
  <c r="G145" i="19"/>
  <c r="F145" i="19"/>
  <c r="D145" i="19"/>
  <c r="C145" i="19"/>
  <c r="L147" i="19" s="1"/>
  <c r="B145" i="19"/>
  <c r="E146" i="19" s="1"/>
  <c r="A145" i="19"/>
  <c r="A144" i="19"/>
  <c r="L145" i="19" s="1"/>
  <c r="I141" i="19"/>
  <c r="H141" i="19"/>
  <c r="G141" i="19"/>
  <c r="F141" i="19"/>
  <c r="D141" i="19"/>
  <c r="C141" i="19"/>
  <c r="L143" i="19" s="1"/>
  <c r="B141" i="19"/>
  <c r="E142" i="19" s="1"/>
  <c r="A141" i="19"/>
  <c r="A140" i="19"/>
  <c r="L141" i="19" s="1"/>
  <c r="I137" i="19"/>
  <c r="H137" i="19"/>
  <c r="G137" i="19"/>
  <c r="F137" i="19"/>
  <c r="D137" i="19"/>
  <c r="C137" i="19"/>
  <c r="L139" i="19" s="1"/>
  <c r="B137" i="19"/>
  <c r="E138" i="19" s="1"/>
  <c r="A137" i="19"/>
  <c r="A136" i="19"/>
  <c r="L137" i="19" s="1"/>
  <c r="I133" i="19"/>
  <c r="H133" i="19"/>
  <c r="G133" i="19"/>
  <c r="F133" i="19"/>
  <c r="D133" i="19"/>
  <c r="C133" i="19"/>
  <c r="L135" i="19" s="1"/>
  <c r="B133" i="19"/>
  <c r="E134" i="19" s="1"/>
  <c r="A133" i="19"/>
  <c r="A132" i="19"/>
  <c r="K133" i="19" s="1"/>
  <c r="I129" i="19"/>
  <c r="H129" i="19"/>
  <c r="G129" i="19"/>
  <c r="F129" i="19"/>
  <c r="D129" i="19"/>
  <c r="C129" i="19"/>
  <c r="L131" i="19" s="1"/>
  <c r="B129" i="19"/>
  <c r="E130" i="19" s="1"/>
  <c r="A129" i="19"/>
  <c r="A128" i="19"/>
  <c r="K129" i="19" s="1"/>
  <c r="I125" i="19"/>
  <c r="H125" i="19"/>
  <c r="G125" i="19"/>
  <c r="F125" i="19"/>
  <c r="D125" i="19"/>
  <c r="C125" i="19"/>
  <c r="L127" i="19" s="1"/>
  <c r="B125" i="19"/>
  <c r="E126" i="19" s="1"/>
  <c r="A125" i="19"/>
  <c r="A124" i="19"/>
  <c r="K125" i="19" s="1"/>
  <c r="I121" i="19"/>
  <c r="H121" i="19"/>
  <c r="G121" i="19"/>
  <c r="F121" i="19"/>
  <c r="D121" i="19"/>
  <c r="C121" i="19"/>
  <c r="L123" i="19" s="1"/>
  <c r="B121" i="19"/>
  <c r="E122" i="19" s="1"/>
  <c r="A121" i="19"/>
  <c r="A120" i="19"/>
  <c r="K121" i="19" s="1"/>
  <c r="I117" i="19"/>
  <c r="H117" i="19"/>
  <c r="G117" i="19"/>
  <c r="F117" i="19"/>
  <c r="D117" i="19"/>
  <c r="C117" i="19"/>
  <c r="L119" i="19" s="1"/>
  <c r="B117" i="19"/>
  <c r="E118" i="19" s="1"/>
  <c r="A117" i="19"/>
  <c r="A116" i="19"/>
  <c r="K117" i="19" s="1"/>
  <c r="I113" i="19"/>
  <c r="H113" i="19"/>
  <c r="G113" i="19"/>
  <c r="F113" i="19"/>
  <c r="D113" i="19"/>
  <c r="C113" i="19"/>
  <c r="L115" i="19" s="1"/>
  <c r="B113" i="19"/>
  <c r="E114" i="19" s="1"/>
  <c r="A113" i="19"/>
  <c r="A112" i="19"/>
  <c r="K113" i="19" s="1"/>
  <c r="I109" i="19"/>
  <c r="H109" i="19"/>
  <c r="G109" i="19"/>
  <c r="F109" i="19"/>
  <c r="D109" i="19"/>
  <c r="C109" i="19"/>
  <c r="L111" i="19" s="1"/>
  <c r="B109" i="19"/>
  <c r="E110" i="19" s="1"/>
  <c r="A109" i="19"/>
  <c r="A108" i="19"/>
  <c r="K109" i="19" s="1"/>
  <c r="AG107" i="19"/>
  <c r="AE107" i="19"/>
  <c r="AD107" i="19"/>
  <c r="AC107" i="19"/>
  <c r="AB107" i="19"/>
  <c r="AG106" i="19"/>
  <c r="I105" i="19"/>
  <c r="H105" i="19"/>
  <c r="G105" i="19"/>
  <c r="F105" i="19"/>
  <c r="D105" i="19"/>
  <c r="AG103" i="19" s="1"/>
  <c r="C105" i="19"/>
  <c r="J107" i="19" s="1"/>
  <c r="B105" i="19"/>
  <c r="E106" i="19" s="1"/>
  <c r="AG104" i="19" s="1"/>
  <c r="A105" i="19"/>
  <c r="H112" i="30" s="1"/>
  <c r="N115" i="30" s="1"/>
  <c r="A104" i="19"/>
  <c r="K105" i="19" s="1"/>
  <c r="AC103" i="19"/>
  <c r="U100" i="19"/>
  <c r="V100" i="19" s="1"/>
  <c r="U99" i="19"/>
  <c r="V99" i="19" s="1"/>
  <c r="U98" i="19"/>
  <c r="V98" i="19" s="1"/>
  <c r="U97" i="19"/>
  <c r="V97" i="19" s="1"/>
  <c r="U96" i="19"/>
  <c r="V96" i="19" s="1"/>
  <c r="U95" i="19"/>
  <c r="V95" i="19" s="1"/>
  <c r="U94" i="19"/>
  <c r="V94" i="19" s="1"/>
  <c r="U93" i="19"/>
  <c r="V93" i="19" s="1"/>
  <c r="U92" i="19"/>
  <c r="V92" i="19" s="1"/>
  <c r="U91" i="19"/>
  <c r="V91" i="19" s="1"/>
  <c r="U90" i="19"/>
  <c r="V90" i="19" s="1"/>
  <c r="U89" i="19"/>
  <c r="V89" i="19" s="1"/>
  <c r="U88" i="19"/>
  <c r="V88" i="19" s="1"/>
  <c r="U87" i="19"/>
  <c r="V87" i="19" s="1"/>
  <c r="U86" i="19"/>
  <c r="V86" i="19" s="1"/>
  <c r="U85" i="19"/>
  <c r="V85" i="19" s="1"/>
  <c r="U84" i="19"/>
  <c r="V84" i="19" s="1"/>
  <c r="U83" i="19"/>
  <c r="V83" i="19" s="1"/>
  <c r="U82" i="19"/>
  <c r="V82" i="19" s="1"/>
  <c r="U81" i="19"/>
  <c r="V81" i="19" s="1"/>
  <c r="U80" i="19"/>
  <c r="V80" i="19" s="1"/>
  <c r="U79" i="19"/>
  <c r="V79" i="19" s="1"/>
  <c r="U78" i="19"/>
  <c r="V78" i="19" s="1"/>
  <c r="U77" i="19"/>
  <c r="V77" i="19" s="1"/>
  <c r="U76" i="19"/>
  <c r="V76" i="19" s="1"/>
  <c r="U75" i="19"/>
  <c r="V75" i="19" s="1"/>
  <c r="U74" i="19"/>
  <c r="V74" i="19" s="1"/>
  <c r="U73" i="19"/>
  <c r="V73" i="19" s="1"/>
  <c r="U72" i="19"/>
  <c r="V72" i="19" s="1"/>
  <c r="U71" i="19"/>
  <c r="V71" i="19" s="1"/>
  <c r="U70" i="19"/>
  <c r="V70" i="19" s="1"/>
  <c r="U69" i="19"/>
  <c r="V69" i="19" s="1"/>
  <c r="U68" i="19"/>
  <c r="V68" i="19" s="1"/>
  <c r="U67" i="19"/>
  <c r="V67" i="19" s="1"/>
  <c r="U66" i="19"/>
  <c r="V66" i="19" s="1"/>
  <c r="U65" i="19"/>
  <c r="V65" i="19" s="1"/>
  <c r="U64" i="19"/>
  <c r="V64" i="19" s="1"/>
  <c r="U63" i="19"/>
  <c r="V63" i="19" s="1"/>
  <c r="U62" i="19"/>
  <c r="V62" i="19" s="1"/>
  <c r="U61" i="19"/>
  <c r="V61" i="19" s="1"/>
  <c r="U60" i="19"/>
  <c r="V60" i="19" s="1"/>
  <c r="U59" i="19"/>
  <c r="V59" i="19" s="1"/>
  <c r="U58" i="19"/>
  <c r="V58" i="19" s="1"/>
  <c r="U57" i="19"/>
  <c r="V57" i="19" s="1"/>
  <c r="U56" i="19"/>
  <c r="V56" i="19" s="1"/>
  <c r="U55" i="19"/>
  <c r="V55" i="19" s="1"/>
  <c r="U54" i="19"/>
  <c r="V54" i="19" s="1"/>
  <c r="U53" i="19"/>
  <c r="V53" i="19" s="1"/>
  <c r="U52" i="19"/>
  <c r="V52" i="19" s="1"/>
  <c r="U51" i="19"/>
  <c r="V51" i="19" s="1"/>
  <c r="U50" i="19"/>
  <c r="V50" i="19" s="1"/>
  <c r="U49" i="19"/>
  <c r="V49" i="19" s="1"/>
  <c r="U48" i="19"/>
  <c r="V48" i="19" s="1"/>
  <c r="U47" i="19"/>
  <c r="V47" i="19" s="1"/>
  <c r="U46" i="19"/>
  <c r="V46" i="19" s="1"/>
  <c r="U45" i="19"/>
  <c r="V45" i="19" s="1"/>
  <c r="U44" i="19"/>
  <c r="V44" i="19" s="1"/>
  <c r="U43" i="19"/>
  <c r="V43" i="19" s="1"/>
  <c r="U42" i="19"/>
  <c r="V42" i="19" s="1"/>
  <c r="U41" i="19"/>
  <c r="V41" i="19" s="1"/>
  <c r="U40" i="19"/>
  <c r="V40" i="19" s="1"/>
  <c r="U39" i="19"/>
  <c r="V39" i="19" s="1"/>
  <c r="U38" i="19"/>
  <c r="V38" i="19" s="1"/>
  <c r="U37" i="19"/>
  <c r="V37" i="19" s="1"/>
  <c r="U36" i="19"/>
  <c r="V36" i="19" s="1"/>
  <c r="U35" i="19"/>
  <c r="V35" i="19" s="1"/>
  <c r="U34" i="19"/>
  <c r="V34" i="19" s="1"/>
  <c r="U33" i="19"/>
  <c r="V33" i="19" s="1"/>
  <c r="U32" i="19"/>
  <c r="V32" i="19" s="1"/>
  <c r="U31" i="19"/>
  <c r="V31" i="19" s="1"/>
  <c r="U30" i="19"/>
  <c r="V30" i="19" s="1"/>
  <c r="U29" i="19"/>
  <c r="V29" i="19" s="1"/>
  <c r="U28" i="19"/>
  <c r="V28" i="19" s="1"/>
  <c r="U27" i="19"/>
  <c r="V27" i="19" s="1"/>
  <c r="U26" i="19"/>
  <c r="V26" i="19" s="1"/>
  <c r="U25" i="19"/>
  <c r="V25" i="19" s="1"/>
  <c r="U24" i="19"/>
  <c r="V24" i="19" s="1"/>
  <c r="U23" i="19"/>
  <c r="V23" i="19" s="1"/>
  <c r="U22" i="19"/>
  <c r="V22" i="19" s="1"/>
  <c r="U21" i="19"/>
  <c r="V21" i="19" s="1"/>
  <c r="U20" i="19"/>
  <c r="V20" i="19" s="1"/>
  <c r="U19" i="19"/>
  <c r="V19" i="19" s="1"/>
  <c r="U18" i="19"/>
  <c r="V18" i="19" s="1"/>
  <c r="U17" i="19"/>
  <c r="V17" i="19" s="1"/>
  <c r="U16" i="19"/>
  <c r="V16" i="19" s="1"/>
  <c r="U15" i="19"/>
  <c r="V15" i="19" s="1"/>
  <c r="U14" i="19"/>
  <c r="V14" i="19" s="1"/>
  <c r="U13" i="19"/>
  <c r="V13" i="19" s="1"/>
  <c r="U12" i="19"/>
  <c r="V12" i="19" s="1"/>
  <c r="U11" i="19"/>
  <c r="V11" i="19" s="1"/>
  <c r="U10" i="19"/>
  <c r="V10" i="19" s="1"/>
  <c r="U9" i="19"/>
  <c r="V9" i="19" s="1"/>
  <c r="U8" i="19"/>
  <c r="V8" i="19" s="1"/>
  <c r="U7" i="19"/>
  <c r="V7" i="19" s="1"/>
  <c r="U6" i="19"/>
  <c r="V6" i="19" s="1"/>
  <c r="U5" i="19"/>
  <c r="V5" i="19" s="1"/>
  <c r="U4" i="19"/>
  <c r="V4" i="19" s="1"/>
  <c r="U3" i="19"/>
  <c r="V3" i="19" s="1"/>
  <c r="U2" i="19"/>
  <c r="V2" i="19" s="1"/>
  <c r="U1" i="19"/>
  <c r="V1" i="19" s="1"/>
  <c r="BN1" i="34" l="1"/>
  <c r="H133" i="34" s="1"/>
  <c r="H110" i="30"/>
  <c r="L206" i="30" s="1"/>
  <c r="D107" i="22"/>
  <c r="D108" i="22" s="1"/>
  <c r="D109" i="22" s="1"/>
  <c r="H129" i="22"/>
  <c r="I129" i="22" s="1"/>
  <c r="I130" i="22" s="1"/>
  <c r="F131" i="22"/>
  <c r="F130" i="22"/>
  <c r="G131" i="22"/>
  <c r="G132" i="22" s="1"/>
  <c r="G133" i="22" s="1"/>
  <c r="B108" i="22"/>
  <c r="D132" i="22" s="1"/>
  <c r="D133" i="22" s="1"/>
  <c r="A126" i="19"/>
  <c r="E127" i="19" s="1"/>
  <c r="I147" i="19"/>
  <c r="I155" i="19"/>
  <c r="K137" i="19"/>
  <c r="K127" i="19"/>
  <c r="K159" i="19"/>
  <c r="A130" i="19"/>
  <c r="G131" i="19" s="1"/>
  <c r="K111" i="19"/>
  <c r="I123" i="19"/>
  <c r="K123" i="19"/>
  <c r="I127" i="19"/>
  <c r="K131" i="19"/>
  <c r="A138" i="19"/>
  <c r="D139" i="19" s="1"/>
  <c r="A146" i="19"/>
  <c r="D147" i="19" s="1"/>
  <c r="A150" i="19"/>
  <c r="D151" i="19" s="1"/>
  <c r="K155" i="19"/>
  <c r="A110" i="19"/>
  <c r="E111" i="19" s="1"/>
  <c r="A114" i="19"/>
  <c r="G115" i="19" s="1"/>
  <c r="A122" i="19"/>
  <c r="F123" i="19" s="1"/>
  <c r="K139" i="19"/>
  <c r="I111" i="19"/>
  <c r="K115" i="19"/>
  <c r="K147" i="19"/>
  <c r="A154" i="19"/>
  <c r="D155" i="19" s="1"/>
  <c r="A158" i="19"/>
  <c r="D159" i="19" s="1"/>
  <c r="K167" i="19"/>
  <c r="B143" i="19"/>
  <c r="I135" i="19"/>
  <c r="K145" i="19"/>
  <c r="K153" i="19"/>
  <c r="K165" i="19"/>
  <c r="I119" i="19"/>
  <c r="I115" i="19"/>
  <c r="A118" i="19"/>
  <c r="D119" i="19" s="1"/>
  <c r="K119" i="19"/>
  <c r="I131" i="19"/>
  <c r="A134" i="19"/>
  <c r="E135" i="19" s="1"/>
  <c r="I139" i="19"/>
  <c r="A142" i="19"/>
  <c r="E143" i="19" s="1"/>
  <c r="K143" i="19"/>
  <c r="K149" i="19"/>
  <c r="K151" i="19"/>
  <c r="K157" i="19"/>
  <c r="I159" i="19"/>
  <c r="K163" i="19"/>
  <c r="B159" i="19"/>
  <c r="H167" i="19"/>
  <c r="B167" i="19"/>
  <c r="K135" i="19"/>
  <c r="K141" i="19"/>
  <c r="I143" i="19"/>
  <c r="I151" i="19"/>
  <c r="K161" i="19"/>
  <c r="L105" i="19"/>
  <c r="B111" i="19"/>
  <c r="B115" i="19"/>
  <c r="B119" i="19"/>
  <c r="B123" i="19"/>
  <c r="B127" i="19"/>
  <c r="B131" i="19"/>
  <c r="B135" i="19"/>
  <c r="B151" i="19"/>
  <c r="B163" i="19"/>
  <c r="I107" i="19"/>
  <c r="K107" i="19"/>
  <c r="A106" i="19"/>
  <c r="H107" i="19"/>
  <c r="L109" i="19"/>
  <c r="J109" i="19"/>
  <c r="L113" i="19"/>
  <c r="J113" i="19"/>
  <c r="L117" i="19"/>
  <c r="J117" i="19"/>
  <c r="L121" i="19"/>
  <c r="J121" i="19"/>
  <c r="L125" i="19"/>
  <c r="J125" i="19"/>
  <c r="L129" i="19"/>
  <c r="J129" i="19"/>
  <c r="L133" i="19"/>
  <c r="J133" i="19"/>
  <c r="B147" i="19"/>
  <c r="H111" i="19"/>
  <c r="B107" i="19"/>
  <c r="AG105" i="19"/>
  <c r="J105" i="19"/>
  <c r="L107" i="19"/>
  <c r="B139" i="19"/>
  <c r="B155" i="19"/>
  <c r="A162" i="19"/>
  <c r="I163" i="19"/>
  <c r="A166" i="19"/>
  <c r="I167" i="19"/>
  <c r="J111" i="19"/>
  <c r="J115" i="19"/>
  <c r="J119" i="19"/>
  <c r="J123" i="19"/>
  <c r="J127" i="19"/>
  <c r="J131" i="19"/>
  <c r="J135" i="19"/>
  <c r="J137" i="19"/>
  <c r="J139" i="19"/>
  <c r="J141" i="19"/>
  <c r="J143" i="19"/>
  <c r="J145" i="19"/>
  <c r="J147" i="19"/>
  <c r="J149" i="19"/>
  <c r="J151" i="19"/>
  <c r="J153" i="19"/>
  <c r="J155" i="19"/>
  <c r="J157" i="19"/>
  <c r="J159" i="19"/>
  <c r="J161" i="19"/>
  <c r="J163" i="19"/>
  <c r="J165" i="19"/>
  <c r="J167" i="19"/>
  <c r="H115" i="19"/>
  <c r="H119" i="19"/>
  <c r="H123" i="19"/>
  <c r="H127" i="19"/>
  <c r="H131" i="19"/>
  <c r="H135" i="19"/>
  <c r="H139" i="19"/>
  <c r="H143" i="19"/>
  <c r="H147" i="19"/>
  <c r="H151" i="19"/>
  <c r="H155" i="19"/>
  <c r="H159" i="19"/>
  <c r="H163" i="19"/>
  <c r="I131" i="22" l="1"/>
  <c r="I132" i="22" s="1"/>
  <c r="I133" i="22" s="1"/>
  <c r="H130" i="22"/>
  <c r="H131" i="22"/>
  <c r="J129" i="22"/>
  <c r="J131" i="22" s="1"/>
  <c r="B109" i="22"/>
  <c r="F132" i="22"/>
  <c r="F133" i="22" s="1"/>
  <c r="F139" i="19"/>
  <c r="F127" i="19"/>
  <c r="G155" i="19"/>
  <c r="D127" i="19"/>
  <c r="G127" i="19"/>
  <c r="F119" i="19"/>
  <c r="F159" i="19"/>
  <c r="G159" i="19"/>
  <c r="G139" i="19"/>
  <c r="F155" i="19"/>
  <c r="F143" i="19"/>
  <c r="E155" i="19"/>
  <c r="F151" i="19"/>
  <c r="F131" i="19"/>
  <c r="E151" i="19"/>
  <c r="D131" i="19"/>
  <c r="D123" i="19"/>
  <c r="E131" i="19"/>
  <c r="G151" i="19"/>
  <c r="G147" i="19"/>
  <c r="F135" i="19"/>
  <c r="D115" i="19"/>
  <c r="D111" i="19"/>
  <c r="G111" i="19"/>
  <c r="E123" i="19"/>
  <c r="G123" i="19"/>
  <c r="E147" i="19"/>
  <c r="F147" i="19"/>
  <c r="E159" i="19"/>
  <c r="E139" i="19"/>
  <c r="F115" i="19"/>
  <c r="F111" i="19"/>
  <c r="E115" i="19"/>
  <c r="D135" i="19"/>
  <c r="G135" i="19"/>
  <c r="E119" i="19"/>
  <c r="G119" i="19"/>
  <c r="D143" i="19"/>
  <c r="G143" i="19"/>
  <c r="D163" i="19"/>
  <c r="F163" i="19"/>
  <c r="E163" i="19"/>
  <c r="G163" i="19"/>
  <c r="E107" i="19"/>
  <c r="G107" i="19"/>
  <c r="D107" i="19"/>
  <c r="F107" i="19"/>
  <c r="D167" i="19"/>
  <c r="F167" i="19"/>
  <c r="E167" i="19"/>
  <c r="G167" i="19"/>
  <c r="H132" i="22" l="1"/>
  <c r="H133" i="22" s="1"/>
  <c r="J130" i="22"/>
  <c r="J132" i="22" s="1"/>
  <c r="J133" i="22" s="1"/>
  <c r="K129" i="22"/>
  <c r="L129" i="22" s="1"/>
  <c r="L131" i="22" s="1"/>
  <c r="D6" i="18"/>
  <c r="C6" i="18"/>
  <c r="B6" i="18"/>
  <c r="A6" i="18"/>
  <c r="J5" i="18"/>
  <c r="I5" i="18"/>
  <c r="H5" i="18"/>
  <c r="C5" i="18"/>
  <c r="D14" i="18" s="1"/>
  <c r="J4" i="18"/>
  <c r="I4" i="18"/>
  <c r="H4" i="18"/>
  <c r="G4" i="18"/>
  <c r="F4" i="18"/>
  <c r="E4" i="18"/>
  <c r="D4" i="18"/>
  <c r="B4" i="18"/>
  <c r="J3" i="18"/>
  <c r="I3" i="18"/>
  <c r="H3" i="18"/>
  <c r="G3" i="18"/>
  <c r="F3" i="18"/>
  <c r="E3" i="18"/>
  <c r="D3" i="18"/>
  <c r="C3" i="18"/>
  <c r="B3" i="18"/>
  <c r="A3" i="18"/>
  <c r="D13" i="18" l="1"/>
  <c r="D12" i="18"/>
  <c r="M129" i="22"/>
  <c r="M131" i="22" s="1"/>
  <c r="L130" i="22"/>
  <c r="L132" i="22" s="1"/>
  <c r="L133" i="22" s="1"/>
  <c r="K130" i="22"/>
  <c r="K131" i="22"/>
  <c r="A2" i="17"/>
  <c r="A3" i="17" s="1"/>
  <c r="A4" i="17" s="1"/>
  <c r="A5" i="17" s="1"/>
  <c r="A6" i="17" s="1"/>
  <c r="A7" i="17" s="1"/>
  <c r="A8" i="17" s="1"/>
  <c r="A9" i="17" s="1"/>
  <c r="A10" i="17" s="1"/>
  <c r="AW3" i="17"/>
  <c r="AW4" i="17" s="1"/>
  <c r="AW5" i="17" s="1"/>
  <c r="AW6" i="17" s="1"/>
  <c r="AW7" i="17" s="1"/>
  <c r="AW8" i="17" s="1"/>
  <c r="AW9" i="17" s="1"/>
  <c r="AW10" i="17" s="1"/>
  <c r="AW11" i="17" s="1"/>
  <c r="AW12" i="17" s="1"/>
  <c r="AW13" i="17" s="1"/>
  <c r="AW14" i="17" s="1"/>
  <c r="C30" i="17"/>
  <c r="E30" i="17"/>
  <c r="F30" i="17"/>
  <c r="G30" i="17"/>
  <c r="H30" i="17"/>
  <c r="I30" i="17"/>
  <c r="J30" i="17"/>
  <c r="K30" i="17"/>
  <c r="L30" i="17"/>
  <c r="M30" i="17"/>
  <c r="N30" i="17"/>
  <c r="O30" i="17"/>
  <c r="P30" i="17"/>
  <c r="Q30" i="17"/>
  <c r="R30" i="17"/>
  <c r="S30" i="17"/>
  <c r="T30" i="17"/>
  <c r="U30" i="17"/>
  <c r="C31" i="17"/>
  <c r="D31" i="17"/>
  <c r="S32" i="17" s="1"/>
  <c r="E31" i="17"/>
  <c r="F31" i="17"/>
  <c r="G31" i="17"/>
  <c r="H31" i="17"/>
  <c r="I31" i="17"/>
  <c r="K31" i="17"/>
  <c r="B34" i="17"/>
  <c r="C35" i="17"/>
  <c r="D35" i="17" s="1"/>
  <c r="E35" i="17"/>
  <c r="F35" i="17"/>
  <c r="G35" i="17"/>
  <c r="H35" i="17"/>
  <c r="I35" i="17"/>
  <c r="J35" i="17"/>
  <c r="J36" i="17" s="1"/>
  <c r="K35" i="17"/>
  <c r="L35" i="17"/>
  <c r="M35" i="17"/>
  <c r="N35" i="17"/>
  <c r="O35" i="17"/>
  <c r="P35" i="17"/>
  <c r="Q35" i="17"/>
  <c r="R35" i="17"/>
  <c r="S35" i="17"/>
  <c r="T35" i="17"/>
  <c r="U35" i="17"/>
  <c r="C36" i="17"/>
  <c r="D36" i="17"/>
  <c r="E36" i="17"/>
  <c r="F36" i="17"/>
  <c r="G36" i="17"/>
  <c r="H36" i="17"/>
  <c r="I36" i="17"/>
  <c r="K36" i="17"/>
  <c r="B39" i="17"/>
  <c r="C40" i="17"/>
  <c r="D40" i="17" s="1"/>
  <c r="E40" i="17"/>
  <c r="F40" i="17"/>
  <c r="G40" i="17"/>
  <c r="H40" i="17"/>
  <c r="I40" i="17"/>
  <c r="J40" i="17"/>
  <c r="J41" i="17" s="1"/>
  <c r="K40" i="17"/>
  <c r="L40" i="17"/>
  <c r="M40" i="17"/>
  <c r="N40" i="17"/>
  <c r="O40" i="17"/>
  <c r="P40" i="17"/>
  <c r="Q40" i="17"/>
  <c r="R40" i="17"/>
  <c r="S40" i="17"/>
  <c r="T40" i="17"/>
  <c r="U40" i="17"/>
  <c r="C41" i="17"/>
  <c r="D41" i="17"/>
  <c r="E41" i="17"/>
  <c r="F41" i="17"/>
  <c r="G41" i="17"/>
  <c r="H41" i="17"/>
  <c r="I41" i="17"/>
  <c r="K41" i="17"/>
  <c r="B44" i="17"/>
  <c r="C45" i="17"/>
  <c r="D45" i="17" s="1"/>
  <c r="E45" i="17"/>
  <c r="F45" i="17"/>
  <c r="G45" i="17"/>
  <c r="H45" i="17"/>
  <c r="I45" i="17"/>
  <c r="J45" i="17"/>
  <c r="J46" i="17" s="1"/>
  <c r="K45" i="17"/>
  <c r="L45" i="17"/>
  <c r="R46" i="17" s="1"/>
  <c r="M45" i="17"/>
  <c r="N45" i="17"/>
  <c r="O45" i="17"/>
  <c r="P45" i="17"/>
  <c r="Q45" i="17"/>
  <c r="R45" i="17"/>
  <c r="S45" i="17"/>
  <c r="T45" i="17"/>
  <c r="U45" i="17"/>
  <c r="C46" i="17"/>
  <c r="D46" i="17"/>
  <c r="E46" i="17"/>
  <c r="F46" i="17"/>
  <c r="G46" i="17"/>
  <c r="H46" i="17"/>
  <c r="I46" i="17"/>
  <c r="K46" i="17"/>
  <c r="B49" i="17"/>
  <c r="C50" i="17"/>
  <c r="D50" i="17" s="1"/>
  <c r="E50" i="17"/>
  <c r="F50" i="17"/>
  <c r="G50" i="17"/>
  <c r="H50" i="17"/>
  <c r="I50" i="17"/>
  <c r="J50" i="17"/>
  <c r="J51" i="17" s="1"/>
  <c r="K50" i="17"/>
  <c r="L50" i="17"/>
  <c r="R51" i="17" s="1"/>
  <c r="M50" i="17"/>
  <c r="N50" i="17"/>
  <c r="O50" i="17"/>
  <c r="P50" i="17"/>
  <c r="Q50" i="17"/>
  <c r="R50" i="17"/>
  <c r="S50" i="17"/>
  <c r="T50" i="17"/>
  <c r="U50" i="17"/>
  <c r="C51" i="17"/>
  <c r="D51" i="17"/>
  <c r="E51" i="17"/>
  <c r="F51" i="17"/>
  <c r="G51" i="17"/>
  <c r="H51" i="17"/>
  <c r="I51" i="17"/>
  <c r="K51" i="17"/>
  <c r="B54" i="17"/>
  <c r="C55" i="17"/>
  <c r="D55" i="17" s="1"/>
  <c r="E55" i="17"/>
  <c r="F55" i="17"/>
  <c r="G55" i="17"/>
  <c r="H55" i="17"/>
  <c r="I55" i="17"/>
  <c r="J55" i="17"/>
  <c r="J56" i="17" s="1"/>
  <c r="K55" i="17"/>
  <c r="L55" i="17"/>
  <c r="M55" i="17"/>
  <c r="N55" i="17"/>
  <c r="O55" i="17"/>
  <c r="P55" i="17"/>
  <c r="Q55" i="17"/>
  <c r="R55" i="17"/>
  <c r="S55" i="17"/>
  <c r="T55" i="17"/>
  <c r="U55" i="17"/>
  <c r="C56" i="17"/>
  <c r="D56" i="17"/>
  <c r="E56" i="17"/>
  <c r="F56" i="17"/>
  <c r="G56" i="17"/>
  <c r="H56" i="17"/>
  <c r="I56" i="17"/>
  <c r="K56" i="17"/>
  <c r="B59" i="17"/>
  <c r="C60" i="17"/>
  <c r="D60" i="17" s="1"/>
  <c r="E60" i="17"/>
  <c r="F60" i="17"/>
  <c r="G60" i="17"/>
  <c r="H60" i="17"/>
  <c r="I60" i="17"/>
  <c r="J60" i="17"/>
  <c r="J61" i="17" s="1"/>
  <c r="K60" i="17"/>
  <c r="L60" i="17"/>
  <c r="M60" i="17"/>
  <c r="N60" i="17"/>
  <c r="O60" i="17"/>
  <c r="P60" i="17"/>
  <c r="Q60" i="17"/>
  <c r="R60" i="17"/>
  <c r="S60" i="17"/>
  <c r="T60" i="17"/>
  <c r="U60" i="17"/>
  <c r="C61" i="17"/>
  <c r="D61" i="17"/>
  <c r="E61" i="17"/>
  <c r="F61" i="17"/>
  <c r="G61" i="17"/>
  <c r="H61" i="17"/>
  <c r="I61" i="17"/>
  <c r="K61" i="17"/>
  <c r="B64" i="17"/>
  <c r="C65" i="17"/>
  <c r="D65" i="17" s="1"/>
  <c r="E65" i="17"/>
  <c r="F65" i="17"/>
  <c r="G65" i="17"/>
  <c r="H65" i="17"/>
  <c r="I65" i="17"/>
  <c r="J65" i="17"/>
  <c r="J66" i="17" s="1"/>
  <c r="K65" i="17"/>
  <c r="L65" i="17"/>
  <c r="R66" i="17" s="1"/>
  <c r="M65" i="17"/>
  <c r="N65" i="17"/>
  <c r="O65" i="17"/>
  <c r="P65" i="17"/>
  <c r="Q65" i="17"/>
  <c r="R65" i="17"/>
  <c r="S65" i="17"/>
  <c r="T65" i="17"/>
  <c r="U65" i="17"/>
  <c r="C66" i="17"/>
  <c r="D66" i="17"/>
  <c r="E66" i="17"/>
  <c r="F66" i="17"/>
  <c r="G66" i="17"/>
  <c r="H66" i="17"/>
  <c r="I66" i="17"/>
  <c r="K66" i="17"/>
  <c r="B69" i="17"/>
  <c r="C70" i="17"/>
  <c r="D70" i="17" s="1"/>
  <c r="E70" i="17"/>
  <c r="F70" i="17"/>
  <c r="G70" i="17"/>
  <c r="H70" i="17"/>
  <c r="I70" i="17"/>
  <c r="J70" i="17"/>
  <c r="J71" i="17" s="1"/>
  <c r="K70" i="17"/>
  <c r="L70" i="17"/>
  <c r="R71" i="17" s="1"/>
  <c r="M70" i="17"/>
  <c r="N70" i="17"/>
  <c r="O70" i="17"/>
  <c r="P70" i="17"/>
  <c r="Q70" i="17"/>
  <c r="R70" i="17"/>
  <c r="S70" i="17"/>
  <c r="T70" i="17"/>
  <c r="U70" i="17"/>
  <c r="C71" i="17"/>
  <c r="D71" i="17"/>
  <c r="E71" i="17"/>
  <c r="F71" i="17"/>
  <c r="G71" i="17"/>
  <c r="H71" i="17"/>
  <c r="I71" i="17"/>
  <c r="K71" i="17"/>
  <c r="B74" i="17"/>
  <c r="C75" i="17"/>
  <c r="D75" i="17" s="1"/>
  <c r="E75" i="17"/>
  <c r="F75" i="17"/>
  <c r="G75" i="17"/>
  <c r="H75" i="17"/>
  <c r="I75" i="17"/>
  <c r="J75" i="17"/>
  <c r="J76" i="17" s="1"/>
  <c r="K75" i="17"/>
  <c r="L75" i="17"/>
  <c r="M75" i="17"/>
  <c r="N75" i="17"/>
  <c r="O75" i="17"/>
  <c r="P75" i="17"/>
  <c r="Q75" i="17"/>
  <c r="R75" i="17"/>
  <c r="S75" i="17"/>
  <c r="T75" i="17"/>
  <c r="U75" i="17"/>
  <c r="C76" i="17"/>
  <c r="D76" i="17"/>
  <c r="E76" i="17"/>
  <c r="F76" i="17"/>
  <c r="G76" i="17"/>
  <c r="H76" i="17"/>
  <c r="I76" i="17"/>
  <c r="K76" i="17"/>
  <c r="B79" i="17"/>
  <c r="H166" i="15"/>
  <c r="L166" i="15" s="1"/>
  <c r="G166" i="15"/>
  <c r="E166" i="15"/>
  <c r="H165" i="15"/>
  <c r="G165" i="15"/>
  <c r="C165" i="15"/>
  <c r="B165" i="15"/>
  <c r="J165" i="15" s="1"/>
  <c r="A164" i="15"/>
  <c r="H162" i="15"/>
  <c r="J162" i="15" s="1"/>
  <c r="G162" i="15"/>
  <c r="E162" i="15"/>
  <c r="H161" i="15"/>
  <c r="G161" i="15"/>
  <c r="C161" i="15"/>
  <c r="B161" i="15"/>
  <c r="J161" i="15" s="1"/>
  <c r="A160" i="15"/>
  <c r="H158" i="15"/>
  <c r="G158" i="15"/>
  <c r="E158" i="15"/>
  <c r="H157" i="15"/>
  <c r="G157" i="15"/>
  <c r="C157" i="15"/>
  <c r="B157" i="15"/>
  <c r="J157" i="15" s="1"/>
  <c r="A156" i="15"/>
  <c r="H154" i="15"/>
  <c r="J154" i="15" s="1"/>
  <c r="G154" i="15"/>
  <c r="E154" i="15"/>
  <c r="H153" i="15"/>
  <c r="G153" i="15"/>
  <c r="C153" i="15"/>
  <c r="B153" i="15"/>
  <c r="I153" i="15" s="1"/>
  <c r="A152" i="15"/>
  <c r="H150" i="15"/>
  <c r="L150" i="15" s="1"/>
  <c r="G150" i="15"/>
  <c r="E150" i="15"/>
  <c r="H149" i="15"/>
  <c r="G149" i="15"/>
  <c r="C149" i="15"/>
  <c r="B149" i="15"/>
  <c r="J149" i="15" s="1"/>
  <c r="A148" i="15"/>
  <c r="H146" i="15"/>
  <c r="J146" i="15" s="1"/>
  <c r="G146" i="15"/>
  <c r="E146" i="15"/>
  <c r="H145" i="15"/>
  <c r="G145" i="15"/>
  <c r="C145" i="15"/>
  <c r="B145" i="15"/>
  <c r="J145" i="15" s="1"/>
  <c r="A144" i="15"/>
  <c r="H142" i="15"/>
  <c r="G142" i="15"/>
  <c r="E142" i="15"/>
  <c r="H141" i="15"/>
  <c r="G141" i="15"/>
  <c r="C141" i="15"/>
  <c r="B141" i="15"/>
  <c r="K141" i="15" s="1"/>
  <c r="A140" i="15"/>
  <c r="H138" i="15"/>
  <c r="J138" i="15" s="1"/>
  <c r="G138" i="15"/>
  <c r="E138" i="15"/>
  <c r="H137" i="15"/>
  <c r="G137" i="15"/>
  <c r="C137" i="15"/>
  <c r="B137" i="15"/>
  <c r="I137" i="15" s="1"/>
  <c r="A136" i="15"/>
  <c r="H134" i="15"/>
  <c r="K134" i="15" s="1"/>
  <c r="G134" i="15"/>
  <c r="E134" i="15"/>
  <c r="H133" i="15"/>
  <c r="G133" i="15"/>
  <c r="C133" i="15"/>
  <c r="B133" i="15"/>
  <c r="J133" i="15" s="1"/>
  <c r="A132" i="15"/>
  <c r="H130" i="15"/>
  <c r="J130" i="15" s="1"/>
  <c r="G130" i="15"/>
  <c r="E130" i="15"/>
  <c r="H129" i="15"/>
  <c r="G129" i="15"/>
  <c r="C129" i="15"/>
  <c r="B129" i="15"/>
  <c r="J129" i="15" s="1"/>
  <c r="A128" i="15"/>
  <c r="H126" i="15"/>
  <c r="G126" i="15"/>
  <c r="E126" i="15"/>
  <c r="H125" i="15"/>
  <c r="G125" i="15"/>
  <c r="C125" i="15"/>
  <c r="B125" i="15"/>
  <c r="J125" i="15" s="1"/>
  <c r="A124" i="15"/>
  <c r="H122" i="15"/>
  <c r="J122" i="15" s="1"/>
  <c r="G122" i="15"/>
  <c r="E122" i="15"/>
  <c r="H121" i="15"/>
  <c r="G121" i="15"/>
  <c r="C121" i="15"/>
  <c r="B121" i="15"/>
  <c r="I121" i="15" s="1"/>
  <c r="A120" i="15"/>
  <c r="H118" i="15"/>
  <c r="J118" i="15" s="1"/>
  <c r="G118" i="15"/>
  <c r="E118" i="15"/>
  <c r="H117" i="15"/>
  <c r="G117" i="15"/>
  <c r="C117" i="15"/>
  <c r="B117" i="15"/>
  <c r="J117" i="15" s="1"/>
  <c r="A116" i="15"/>
  <c r="H114" i="15"/>
  <c r="J114" i="15" s="1"/>
  <c r="G114" i="15"/>
  <c r="E114" i="15"/>
  <c r="H113" i="15"/>
  <c r="G113" i="15"/>
  <c r="C113" i="15"/>
  <c r="B113" i="15"/>
  <c r="J113" i="15" s="1"/>
  <c r="A112" i="15"/>
  <c r="H110" i="15"/>
  <c r="G110" i="15"/>
  <c r="E110" i="15"/>
  <c r="H109" i="15"/>
  <c r="G109" i="15"/>
  <c r="C109" i="15"/>
  <c r="B109" i="15"/>
  <c r="K109" i="15" s="1"/>
  <c r="A108" i="15"/>
  <c r="H106" i="15"/>
  <c r="J106" i="15" s="1"/>
  <c r="G106" i="15"/>
  <c r="E106" i="15"/>
  <c r="H105" i="15"/>
  <c r="G105" i="15"/>
  <c r="C105" i="15"/>
  <c r="B105" i="15"/>
  <c r="I105" i="15" s="1"/>
  <c r="A104" i="15"/>
  <c r="U100" i="15"/>
  <c r="V100" i="15" s="1"/>
  <c r="U99" i="15"/>
  <c r="V99" i="15" s="1"/>
  <c r="U98" i="15"/>
  <c r="V98" i="15" s="1"/>
  <c r="U97" i="15"/>
  <c r="V97" i="15" s="1"/>
  <c r="U96" i="15"/>
  <c r="V96" i="15" s="1"/>
  <c r="U95" i="15"/>
  <c r="V95" i="15" s="1"/>
  <c r="U94" i="15"/>
  <c r="V94" i="15" s="1"/>
  <c r="U93" i="15"/>
  <c r="V93" i="15" s="1"/>
  <c r="U92" i="15"/>
  <c r="V92" i="15" s="1"/>
  <c r="U91" i="15"/>
  <c r="V91" i="15" s="1"/>
  <c r="U90" i="15"/>
  <c r="V90" i="15" s="1"/>
  <c r="U89" i="15"/>
  <c r="V89" i="15" s="1"/>
  <c r="U88" i="15"/>
  <c r="V88" i="15" s="1"/>
  <c r="U87" i="15"/>
  <c r="V87" i="15" s="1"/>
  <c r="U86" i="15"/>
  <c r="V86" i="15" s="1"/>
  <c r="U85" i="15"/>
  <c r="V85" i="15" s="1"/>
  <c r="U84" i="15"/>
  <c r="V84" i="15" s="1"/>
  <c r="U83" i="15"/>
  <c r="V83" i="15" s="1"/>
  <c r="U82" i="15"/>
  <c r="V82" i="15" s="1"/>
  <c r="U81" i="15"/>
  <c r="V81" i="15" s="1"/>
  <c r="U80" i="15"/>
  <c r="V80" i="15" s="1"/>
  <c r="U79" i="15"/>
  <c r="V79" i="15" s="1"/>
  <c r="U78" i="15"/>
  <c r="V78" i="15" s="1"/>
  <c r="U77" i="15"/>
  <c r="V77" i="15" s="1"/>
  <c r="U76" i="15"/>
  <c r="V76" i="15" s="1"/>
  <c r="U75" i="15"/>
  <c r="V75" i="15" s="1"/>
  <c r="U74" i="15"/>
  <c r="V74" i="15" s="1"/>
  <c r="U73" i="15"/>
  <c r="V73" i="15" s="1"/>
  <c r="U72" i="15"/>
  <c r="V72" i="15" s="1"/>
  <c r="U71" i="15"/>
  <c r="V71" i="15" s="1"/>
  <c r="U70" i="15"/>
  <c r="V70" i="15" s="1"/>
  <c r="U69" i="15"/>
  <c r="V69" i="15" s="1"/>
  <c r="U68" i="15"/>
  <c r="V68" i="15" s="1"/>
  <c r="U67" i="15"/>
  <c r="V67" i="15" s="1"/>
  <c r="U66" i="15"/>
  <c r="V66" i="15" s="1"/>
  <c r="U65" i="15"/>
  <c r="V65" i="15" s="1"/>
  <c r="U64" i="15"/>
  <c r="V64" i="15" s="1"/>
  <c r="U63" i="15"/>
  <c r="V63" i="15" s="1"/>
  <c r="U62" i="15"/>
  <c r="V62" i="15" s="1"/>
  <c r="U61" i="15"/>
  <c r="V61" i="15" s="1"/>
  <c r="U60" i="15"/>
  <c r="V60" i="15" s="1"/>
  <c r="U59" i="15"/>
  <c r="V59" i="15" s="1"/>
  <c r="U58" i="15"/>
  <c r="V58" i="15" s="1"/>
  <c r="U57" i="15"/>
  <c r="V57" i="15" s="1"/>
  <c r="U56" i="15"/>
  <c r="V56" i="15" s="1"/>
  <c r="U55" i="15"/>
  <c r="V55" i="15" s="1"/>
  <c r="U54" i="15"/>
  <c r="V54" i="15" s="1"/>
  <c r="U53" i="15"/>
  <c r="V53" i="15" s="1"/>
  <c r="U52" i="15"/>
  <c r="V52" i="15" s="1"/>
  <c r="U51" i="15"/>
  <c r="V51" i="15" s="1"/>
  <c r="U50" i="15"/>
  <c r="V50" i="15" s="1"/>
  <c r="U49" i="15"/>
  <c r="V49" i="15" s="1"/>
  <c r="U48" i="15"/>
  <c r="V48" i="15" s="1"/>
  <c r="U47" i="15"/>
  <c r="V47" i="15" s="1"/>
  <c r="U46" i="15"/>
  <c r="V46" i="15" s="1"/>
  <c r="U45" i="15"/>
  <c r="V45" i="15" s="1"/>
  <c r="U44" i="15"/>
  <c r="V44" i="15" s="1"/>
  <c r="U43" i="15"/>
  <c r="V43" i="15" s="1"/>
  <c r="U42" i="15"/>
  <c r="V42" i="15" s="1"/>
  <c r="U41" i="15"/>
  <c r="V41" i="15" s="1"/>
  <c r="U40" i="15"/>
  <c r="V40" i="15" s="1"/>
  <c r="U39" i="15"/>
  <c r="V39" i="15" s="1"/>
  <c r="U38" i="15"/>
  <c r="V38" i="15" s="1"/>
  <c r="U37" i="15"/>
  <c r="V37" i="15" s="1"/>
  <c r="U36" i="15"/>
  <c r="V36" i="15" s="1"/>
  <c r="U35" i="15"/>
  <c r="V35" i="15" s="1"/>
  <c r="U34" i="15"/>
  <c r="V34" i="15" s="1"/>
  <c r="U33" i="15"/>
  <c r="V33" i="15" s="1"/>
  <c r="U32" i="15"/>
  <c r="V32" i="15" s="1"/>
  <c r="U31" i="15"/>
  <c r="V31" i="15" s="1"/>
  <c r="U30" i="15"/>
  <c r="V30" i="15" s="1"/>
  <c r="U29" i="15"/>
  <c r="V29" i="15" s="1"/>
  <c r="U28" i="15"/>
  <c r="V28" i="15" s="1"/>
  <c r="U27" i="15"/>
  <c r="V27" i="15" s="1"/>
  <c r="U26" i="15"/>
  <c r="V26" i="15" s="1"/>
  <c r="U25" i="15"/>
  <c r="V25" i="15" s="1"/>
  <c r="U24" i="15"/>
  <c r="V24" i="15" s="1"/>
  <c r="U23" i="15"/>
  <c r="V23" i="15" s="1"/>
  <c r="U22" i="15"/>
  <c r="V22" i="15" s="1"/>
  <c r="U21" i="15"/>
  <c r="V21" i="15" s="1"/>
  <c r="U20" i="15"/>
  <c r="V20" i="15" s="1"/>
  <c r="U19" i="15"/>
  <c r="V19" i="15" s="1"/>
  <c r="U18" i="15"/>
  <c r="V18" i="15" s="1"/>
  <c r="U17" i="15"/>
  <c r="V17" i="15" s="1"/>
  <c r="U16" i="15"/>
  <c r="V16" i="15" s="1"/>
  <c r="U15" i="15"/>
  <c r="V15" i="15" s="1"/>
  <c r="U14" i="15"/>
  <c r="V14" i="15" s="1"/>
  <c r="U13" i="15"/>
  <c r="V13" i="15" s="1"/>
  <c r="U12" i="15"/>
  <c r="V12" i="15" s="1"/>
  <c r="U11" i="15"/>
  <c r="V11" i="15" s="1"/>
  <c r="U10" i="15"/>
  <c r="V10" i="15" s="1"/>
  <c r="U9" i="15"/>
  <c r="V9" i="15" s="1"/>
  <c r="U8" i="15"/>
  <c r="V8" i="15" s="1"/>
  <c r="U7" i="15"/>
  <c r="V7" i="15" s="1"/>
  <c r="U6" i="15"/>
  <c r="V6" i="15" s="1"/>
  <c r="U5" i="15"/>
  <c r="V5" i="15" s="1"/>
  <c r="U4" i="15"/>
  <c r="V4" i="15" s="1"/>
  <c r="U3" i="15"/>
  <c r="V3" i="15" s="1"/>
  <c r="U2" i="15"/>
  <c r="V2" i="15" s="1"/>
  <c r="U1" i="15"/>
  <c r="V1" i="15" s="1"/>
  <c r="B25" i="14"/>
  <c r="B26" i="14" s="1"/>
  <c r="C25" i="14"/>
  <c r="C26" i="14" s="1"/>
  <c r="D25" i="14"/>
  <c r="D26" i="14" s="1"/>
  <c r="E25" i="14"/>
  <c r="E26" i="14" s="1"/>
  <c r="F25" i="14"/>
  <c r="F26" i="14" s="1"/>
  <c r="G25" i="14"/>
  <c r="G26" i="14" s="1"/>
  <c r="B27" i="14"/>
  <c r="B28" i="14" s="1"/>
  <c r="C27" i="14"/>
  <c r="C28" i="14" s="1"/>
  <c r="D27" i="14"/>
  <c r="D28" i="14" s="1"/>
  <c r="E27" i="14"/>
  <c r="E28" i="14" s="1"/>
  <c r="F27" i="14"/>
  <c r="F28" i="14" s="1"/>
  <c r="G27" i="14"/>
  <c r="G28" i="14" s="1"/>
  <c r="B29" i="14"/>
  <c r="B30" i="14" s="1"/>
  <c r="C29" i="14"/>
  <c r="C30" i="14" s="1"/>
  <c r="D29" i="14"/>
  <c r="D30" i="14" s="1"/>
  <c r="E29" i="14"/>
  <c r="E30" i="14" s="1"/>
  <c r="F29" i="14"/>
  <c r="F30" i="14" s="1"/>
  <c r="G29" i="14"/>
  <c r="G30" i="14" s="1"/>
  <c r="A46" i="13"/>
  <c r="D46" i="13" s="1"/>
  <c r="B2" i="12"/>
  <c r="C2" i="12"/>
  <c r="D2" i="12"/>
  <c r="E2" i="12"/>
  <c r="H2" i="12" s="1"/>
  <c r="F2" i="12"/>
  <c r="I2" i="12" s="1"/>
  <c r="G2" i="12"/>
  <c r="K2" i="12"/>
  <c r="L2" i="12"/>
  <c r="M2" i="12"/>
  <c r="N2" i="12"/>
  <c r="O2" i="12"/>
  <c r="P2" i="12"/>
  <c r="Q2" i="12"/>
  <c r="R2" i="12"/>
  <c r="S2" i="12"/>
  <c r="T2" i="12"/>
  <c r="U2" i="12"/>
  <c r="V2" i="12"/>
  <c r="B3" i="12"/>
  <c r="C3" i="12"/>
  <c r="D3" i="12"/>
  <c r="E3" i="12"/>
  <c r="H3" i="12" s="1"/>
  <c r="F3" i="12"/>
  <c r="G3" i="12"/>
  <c r="K3" i="12"/>
  <c r="L3" i="12"/>
  <c r="M3" i="12"/>
  <c r="N3" i="12"/>
  <c r="O3" i="12"/>
  <c r="P3" i="12"/>
  <c r="Q3" i="12"/>
  <c r="R3" i="12"/>
  <c r="S3" i="12"/>
  <c r="T3" i="12"/>
  <c r="U3" i="12"/>
  <c r="V3" i="12"/>
  <c r="B4" i="12"/>
  <c r="C4" i="12"/>
  <c r="D4" i="12"/>
  <c r="E4" i="12"/>
  <c r="H4" i="12" s="1"/>
  <c r="F4" i="12"/>
  <c r="I4" i="12" s="1"/>
  <c r="G4" i="12"/>
  <c r="K4" i="12"/>
  <c r="L4" i="12"/>
  <c r="M4" i="12"/>
  <c r="N4" i="12"/>
  <c r="O4" i="12"/>
  <c r="P4" i="12"/>
  <c r="Q4" i="12"/>
  <c r="R4" i="12"/>
  <c r="S4" i="12"/>
  <c r="T4" i="12"/>
  <c r="U4" i="12"/>
  <c r="V4" i="12"/>
  <c r="B5" i="12"/>
  <c r="C5" i="12"/>
  <c r="D5" i="12"/>
  <c r="E5" i="12"/>
  <c r="H5" i="12" s="1"/>
  <c r="F5" i="12"/>
  <c r="I5" i="12" s="1"/>
  <c r="G5" i="12"/>
  <c r="K5" i="12"/>
  <c r="L5" i="12"/>
  <c r="M5" i="12"/>
  <c r="N5" i="12"/>
  <c r="O5" i="12"/>
  <c r="P5" i="12"/>
  <c r="Q5" i="12"/>
  <c r="R5" i="12"/>
  <c r="S5" i="12"/>
  <c r="T5" i="12"/>
  <c r="U5" i="12"/>
  <c r="V5" i="12"/>
  <c r="B6" i="12"/>
  <c r="C6" i="12"/>
  <c r="D6" i="12"/>
  <c r="E6" i="12"/>
  <c r="H6" i="12" s="1"/>
  <c r="F6" i="12"/>
  <c r="I6" i="12" s="1"/>
  <c r="G6" i="12"/>
  <c r="K6" i="12"/>
  <c r="L6" i="12"/>
  <c r="M6" i="12"/>
  <c r="N6" i="12"/>
  <c r="O6" i="12"/>
  <c r="P6" i="12"/>
  <c r="Q6" i="12"/>
  <c r="R6" i="12"/>
  <c r="S6" i="12"/>
  <c r="T6" i="12"/>
  <c r="U6" i="12"/>
  <c r="V6" i="12"/>
  <c r="B7" i="12"/>
  <c r="C7" i="12"/>
  <c r="D7" i="12"/>
  <c r="E7" i="12"/>
  <c r="H7" i="12" s="1"/>
  <c r="F7" i="12"/>
  <c r="I7" i="12" s="1"/>
  <c r="G7" i="12"/>
  <c r="K7" i="12"/>
  <c r="L7" i="12"/>
  <c r="M7" i="12"/>
  <c r="N7" i="12"/>
  <c r="O7" i="12"/>
  <c r="P7" i="12"/>
  <c r="Q7" i="12"/>
  <c r="R7" i="12"/>
  <c r="S7" i="12"/>
  <c r="T7" i="12"/>
  <c r="U7" i="12"/>
  <c r="V7" i="12"/>
  <c r="B8" i="12"/>
  <c r="C8" i="12"/>
  <c r="D8" i="12"/>
  <c r="E8" i="12"/>
  <c r="H8" i="12" s="1"/>
  <c r="F8" i="12"/>
  <c r="I8" i="12" s="1"/>
  <c r="G8" i="12"/>
  <c r="K8" i="12"/>
  <c r="L8" i="12"/>
  <c r="M8" i="12"/>
  <c r="N8" i="12"/>
  <c r="O8" i="12"/>
  <c r="P8" i="12"/>
  <c r="Q8" i="12"/>
  <c r="R8" i="12"/>
  <c r="S8" i="12"/>
  <c r="T8" i="12"/>
  <c r="U8" i="12"/>
  <c r="V8" i="12"/>
  <c r="B9" i="12"/>
  <c r="C9" i="12"/>
  <c r="D9" i="12"/>
  <c r="E9" i="12"/>
  <c r="H9" i="12" s="1"/>
  <c r="F9" i="12"/>
  <c r="I9" i="12" s="1"/>
  <c r="G9" i="12"/>
  <c r="K9" i="12"/>
  <c r="L9" i="12"/>
  <c r="M9" i="12"/>
  <c r="N9" i="12"/>
  <c r="O9" i="12"/>
  <c r="P9" i="12"/>
  <c r="Q9" i="12"/>
  <c r="R9" i="12"/>
  <c r="S9" i="12"/>
  <c r="T9" i="12"/>
  <c r="U9" i="12"/>
  <c r="V9" i="12"/>
  <c r="B10" i="12"/>
  <c r="C10" i="12"/>
  <c r="D10" i="12"/>
  <c r="E10" i="12"/>
  <c r="H10" i="12" s="1"/>
  <c r="F10" i="12"/>
  <c r="I10" i="12" s="1"/>
  <c r="G10" i="12"/>
  <c r="K10" i="12"/>
  <c r="L10" i="12"/>
  <c r="M10" i="12"/>
  <c r="N10" i="12"/>
  <c r="O10" i="12"/>
  <c r="P10" i="12"/>
  <c r="Q10" i="12"/>
  <c r="R10" i="12"/>
  <c r="S10" i="12"/>
  <c r="T10" i="12"/>
  <c r="U10" i="12"/>
  <c r="V10" i="12"/>
  <c r="B11" i="12"/>
  <c r="C11" i="12"/>
  <c r="D11" i="12"/>
  <c r="E11" i="12"/>
  <c r="H11" i="12" s="1"/>
  <c r="F11" i="12"/>
  <c r="I11" i="12" s="1"/>
  <c r="G11" i="12"/>
  <c r="K11" i="12"/>
  <c r="L11" i="12"/>
  <c r="M11" i="12"/>
  <c r="N11" i="12"/>
  <c r="O11" i="12"/>
  <c r="P11" i="12"/>
  <c r="Q11" i="12"/>
  <c r="R11" i="12"/>
  <c r="S11" i="12"/>
  <c r="T11" i="12"/>
  <c r="U11" i="12"/>
  <c r="V11" i="12"/>
  <c r="B12" i="12"/>
  <c r="C12" i="12"/>
  <c r="D12" i="12"/>
  <c r="E12" i="12"/>
  <c r="H12" i="12" s="1"/>
  <c r="F12" i="12"/>
  <c r="I12" i="12" s="1"/>
  <c r="G12" i="12"/>
  <c r="K12" i="12"/>
  <c r="L12" i="12"/>
  <c r="M12" i="12"/>
  <c r="N12" i="12"/>
  <c r="O12" i="12"/>
  <c r="P12" i="12"/>
  <c r="Q12" i="12"/>
  <c r="R12" i="12"/>
  <c r="S12" i="12"/>
  <c r="T12" i="12"/>
  <c r="U12" i="12"/>
  <c r="V12" i="12"/>
  <c r="B13" i="12"/>
  <c r="C13" i="12"/>
  <c r="D13" i="12"/>
  <c r="E13" i="12"/>
  <c r="H13" i="12" s="1"/>
  <c r="F13" i="12"/>
  <c r="I13" i="12" s="1"/>
  <c r="G13" i="12"/>
  <c r="K13" i="12"/>
  <c r="L13" i="12"/>
  <c r="M13" i="12"/>
  <c r="N13" i="12"/>
  <c r="O13" i="12"/>
  <c r="P13" i="12"/>
  <c r="Q13" i="12"/>
  <c r="R13" i="12"/>
  <c r="S13" i="12"/>
  <c r="T13" i="12"/>
  <c r="U13" i="12"/>
  <c r="V13" i="12"/>
  <c r="B14" i="12"/>
  <c r="C14" i="12"/>
  <c r="D14" i="12"/>
  <c r="E14" i="12"/>
  <c r="H14" i="12" s="1"/>
  <c r="F14" i="12"/>
  <c r="I14" i="12" s="1"/>
  <c r="G14" i="12"/>
  <c r="K14" i="12"/>
  <c r="L14" i="12"/>
  <c r="M14" i="12"/>
  <c r="N14" i="12"/>
  <c r="O14" i="12"/>
  <c r="P14" i="12"/>
  <c r="Q14" i="12"/>
  <c r="R14" i="12"/>
  <c r="S14" i="12"/>
  <c r="T14" i="12"/>
  <c r="U14" i="12"/>
  <c r="V14" i="12"/>
  <c r="B15" i="12"/>
  <c r="C15" i="12"/>
  <c r="D15" i="12"/>
  <c r="E15" i="12"/>
  <c r="H15" i="12" s="1"/>
  <c r="F15" i="12"/>
  <c r="I15" i="12" s="1"/>
  <c r="G15" i="12"/>
  <c r="K15" i="12"/>
  <c r="L15" i="12"/>
  <c r="M15" i="12"/>
  <c r="N15" i="12"/>
  <c r="O15" i="12"/>
  <c r="P15" i="12"/>
  <c r="Q15" i="12"/>
  <c r="R15" i="12"/>
  <c r="S15" i="12"/>
  <c r="T15" i="12"/>
  <c r="U15" i="12"/>
  <c r="V15" i="12"/>
  <c r="B16" i="12"/>
  <c r="C16" i="12"/>
  <c r="D16" i="12"/>
  <c r="E16" i="12"/>
  <c r="H16" i="12" s="1"/>
  <c r="F16" i="12"/>
  <c r="I16" i="12" s="1"/>
  <c r="G16" i="12"/>
  <c r="K16" i="12"/>
  <c r="L16" i="12"/>
  <c r="M16" i="12"/>
  <c r="N16" i="12"/>
  <c r="O16" i="12"/>
  <c r="P16" i="12"/>
  <c r="Q16" i="12"/>
  <c r="R16" i="12"/>
  <c r="S16" i="12"/>
  <c r="T16" i="12"/>
  <c r="U16" i="12"/>
  <c r="V16" i="12"/>
  <c r="B17" i="12"/>
  <c r="C17" i="12"/>
  <c r="D17" i="12"/>
  <c r="E17" i="12"/>
  <c r="H17" i="12" s="1"/>
  <c r="F17" i="12"/>
  <c r="I17" i="12" s="1"/>
  <c r="G17" i="12"/>
  <c r="K17" i="12"/>
  <c r="L17" i="12"/>
  <c r="M17" i="12"/>
  <c r="N17" i="12"/>
  <c r="O17" i="12"/>
  <c r="P17" i="12"/>
  <c r="Q17" i="12"/>
  <c r="R17" i="12"/>
  <c r="S17" i="12"/>
  <c r="T17" i="12"/>
  <c r="U17" i="12"/>
  <c r="V17" i="12"/>
  <c r="B18" i="12"/>
  <c r="C18" i="12"/>
  <c r="D18" i="12"/>
  <c r="E18" i="12"/>
  <c r="H18" i="12" s="1"/>
  <c r="F18" i="12"/>
  <c r="I18" i="12" s="1"/>
  <c r="G18" i="12"/>
  <c r="K18" i="12"/>
  <c r="L18" i="12"/>
  <c r="M18" i="12"/>
  <c r="N18" i="12"/>
  <c r="O18" i="12"/>
  <c r="P18" i="12"/>
  <c r="Q18" i="12"/>
  <c r="R18" i="12"/>
  <c r="S18" i="12"/>
  <c r="T18" i="12"/>
  <c r="U18" i="12"/>
  <c r="V18" i="12"/>
  <c r="B19" i="12"/>
  <c r="C19" i="12"/>
  <c r="D19" i="12"/>
  <c r="E19" i="12"/>
  <c r="H19" i="12" s="1"/>
  <c r="F19" i="12"/>
  <c r="I19" i="12" s="1"/>
  <c r="G19" i="12"/>
  <c r="K19" i="12"/>
  <c r="L19" i="12"/>
  <c r="M19" i="12"/>
  <c r="N19" i="12"/>
  <c r="O19" i="12"/>
  <c r="P19" i="12"/>
  <c r="Q19" i="12"/>
  <c r="R19" i="12"/>
  <c r="S19" i="12"/>
  <c r="T19" i="12"/>
  <c r="U19" i="12"/>
  <c r="V19" i="12"/>
  <c r="B20" i="12"/>
  <c r="C20" i="12"/>
  <c r="D20" i="12"/>
  <c r="E20" i="12"/>
  <c r="H20" i="12" s="1"/>
  <c r="F20" i="12"/>
  <c r="I20" i="12" s="1"/>
  <c r="G20" i="12"/>
  <c r="K20" i="12"/>
  <c r="L20" i="12"/>
  <c r="M20" i="12"/>
  <c r="N20" i="12"/>
  <c r="O20" i="12"/>
  <c r="P20" i="12"/>
  <c r="Q20" i="12"/>
  <c r="R20" i="12"/>
  <c r="S20" i="12"/>
  <c r="T20" i="12"/>
  <c r="U20" i="12"/>
  <c r="V20" i="12"/>
  <c r="B21" i="12"/>
  <c r="C21" i="12"/>
  <c r="D21" i="12"/>
  <c r="E21" i="12"/>
  <c r="H21" i="12" s="1"/>
  <c r="F21" i="12"/>
  <c r="I21" i="12" s="1"/>
  <c r="G21" i="12"/>
  <c r="K21" i="12"/>
  <c r="L21" i="12"/>
  <c r="M21" i="12"/>
  <c r="N21" i="12"/>
  <c r="O21" i="12"/>
  <c r="P21" i="12"/>
  <c r="Q21" i="12"/>
  <c r="R21" i="12"/>
  <c r="S21" i="12"/>
  <c r="T21" i="12"/>
  <c r="U21" i="12"/>
  <c r="V21" i="12"/>
  <c r="B22" i="12"/>
  <c r="C22" i="12"/>
  <c r="D22" i="12"/>
  <c r="E22" i="12"/>
  <c r="H22" i="12" s="1"/>
  <c r="F22" i="12"/>
  <c r="I22" i="12" s="1"/>
  <c r="G22" i="12"/>
  <c r="K22" i="12"/>
  <c r="L22" i="12"/>
  <c r="M22" i="12"/>
  <c r="N22" i="12"/>
  <c r="O22" i="12"/>
  <c r="P22" i="12"/>
  <c r="Q22" i="12"/>
  <c r="R22" i="12"/>
  <c r="S22" i="12"/>
  <c r="T22" i="12"/>
  <c r="U22" i="12"/>
  <c r="V22" i="12"/>
  <c r="B23" i="12"/>
  <c r="C23" i="12"/>
  <c r="D23" i="12"/>
  <c r="E23" i="12"/>
  <c r="H23" i="12" s="1"/>
  <c r="F23" i="12"/>
  <c r="I23" i="12" s="1"/>
  <c r="G23" i="12"/>
  <c r="K23" i="12"/>
  <c r="L23" i="12"/>
  <c r="M23" i="12"/>
  <c r="N23" i="12"/>
  <c r="O23" i="12"/>
  <c r="P23" i="12"/>
  <c r="Q23" i="12"/>
  <c r="R23" i="12"/>
  <c r="S23" i="12"/>
  <c r="T23" i="12"/>
  <c r="U23" i="12"/>
  <c r="V23" i="12"/>
  <c r="B24" i="12"/>
  <c r="C24" i="12"/>
  <c r="D24" i="12"/>
  <c r="E24" i="12"/>
  <c r="H24" i="12" s="1"/>
  <c r="F24" i="12"/>
  <c r="I24" i="12" s="1"/>
  <c r="G24" i="12"/>
  <c r="K24" i="12"/>
  <c r="L24" i="12"/>
  <c r="M24" i="12"/>
  <c r="N24" i="12"/>
  <c r="O24" i="12"/>
  <c r="P24" i="12"/>
  <c r="Q24" i="12"/>
  <c r="R24" i="12"/>
  <c r="S24" i="12"/>
  <c r="T24" i="12"/>
  <c r="U24" i="12"/>
  <c r="V24" i="12"/>
  <c r="B25" i="12"/>
  <c r="C25" i="12"/>
  <c r="D25" i="12"/>
  <c r="E25" i="12"/>
  <c r="H25" i="12" s="1"/>
  <c r="F25" i="12"/>
  <c r="I25" i="12" s="1"/>
  <c r="G25" i="12"/>
  <c r="K25" i="12"/>
  <c r="L25" i="12"/>
  <c r="M25" i="12"/>
  <c r="N25" i="12"/>
  <c r="O25" i="12"/>
  <c r="P25" i="12"/>
  <c r="Q25" i="12"/>
  <c r="R25" i="12"/>
  <c r="S25" i="12"/>
  <c r="T25" i="12"/>
  <c r="U25" i="12"/>
  <c r="V25" i="12"/>
  <c r="B26" i="12"/>
  <c r="C26" i="12"/>
  <c r="D26" i="12"/>
  <c r="E26" i="12"/>
  <c r="H26" i="12" s="1"/>
  <c r="F26" i="12"/>
  <c r="I26" i="12" s="1"/>
  <c r="G26" i="12"/>
  <c r="K26" i="12"/>
  <c r="L26" i="12"/>
  <c r="M26" i="12"/>
  <c r="N26" i="12"/>
  <c r="O26" i="12"/>
  <c r="P26" i="12"/>
  <c r="Q26" i="12"/>
  <c r="R26" i="12"/>
  <c r="S26" i="12"/>
  <c r="T26" i="12"/>
  <c r="U26" i="12"/>
  <c r="V26" i="12"/>
  <c r="B27" i="12"/>
  <c r="C27" i="12"/>
  <c r="D27" i="12"/>
  <c r="E27" i="12"/>
  <c r="H27" i="12" s="1"/>
  <c r="F27" i="12"/>
  <c r="I27" i="12" s="1"/>
  <c r="G27" i="12"/>
  <c r="K27" i="12"/>
  <c r="L27" i="12"/>
  <c r="M27" i="12"/>
  <c r="N27" i="12"/>
  <c r="O27" i="12"/>
  <c r="P27" i="12"/>
  <c r="Q27" i="12"/>
  <c r="R27" i="12"/>
  <c r="S27" i="12"/>
  <c r="T27" i="12"/>
  <c r="U27" i="12"/>
  <c r="V27" i="12"/>
  <c r="B28" i="12"/>
  <c r="C28" i="12"/>
  <c r="D28" i="12"/>
  <c r="E28" i="12"/>
  <c r="H28" i="12" s="1"/>
  <c r="F28" i="12"/>
  <c r="I28" i="12" s="1"/>
  <c r="G28" i="12"/>
  <c r="K28" i="12"/>
  <c r="L28" i="12"/>
  <c r="M28" i="12"/>
  <c r="N28" i="12"/>
  <c r="O28" i="12"/>
  <c r="P28" i="12"/>
  <c r="Q28" i="12"/>
  <c r="R28" i="12"/>
  <c r="S28" i="12"/>
  <c r="T28" i="12"/>
  <c r="U28" i="12"/>
  <c r="V28" i="12"/>
  <c r="B29" i="12"/>
  <c r="C29" i="12"/>
  <c r="D29" i="12"/>
  <c r="E29" i="12"/>
  <c r="H29" i="12" s="1"/>
  <c r="F29" i="12"/>
  <c r="I29" i="12" s="1"/>
  <c r="G29" i="12"/>
  <c r="K29" i="12"/>
  <c r="L29" i="12"/>
  <c r="M29" i="12"/>
  <c r="N29" i="12"/>
  <c r="O29" i="12"/>
  <c r="P29" i="12"/>
  <c r="Q29" i="12"/>
  <c r="R29" i="12"/>
  <c r="S29" i="12"/>
  <c r="T29" i="12"/>
  <c r="U29" i="12"/>
  <c r="V29" i="12"/>
  <c r="B30" i="12"/>
  <c r="C30" i="12"/>
  <c r="D30" i="12"/>
  <c r="E30" i="12"/>
  <c r="H30" i="12" s="1"/>
  <c r="F30" i="12"/>
  <c r="I30" i="12" s="1"/>
  <c r="G30" i="12"/>
  <c r="K30" i="12"/>
  <c r="L30" i="12"/>
  <c r="M30" i="12"/>
  <c r="N30" i="12"/>
  <c r="O30" i="12"/>
  <c r="P30" i="12"/>
  <c r="Q30" i="12"/>
  <c r="R30" i="12"/>
  <c r="S30" i="12"/>
  <c r="T30" i="12"/>
  <c r="U30" i="12"/>
  <c r="V30" i="12"/>
  <c r="B31" i="12"/>
  <c r="C31" i="12"/>
  <c r="D31" i="12"/>
  <c r="E31" i="12"/>
  <c r="H31" i="12" s="1"/>
  <c r="F31" i="12"/>
  <c r="I31" i="12" s="1"/>
  <c r="G31" i="12"/>
  <c r="K31" i="12"/>
  <c r="L31" i="12"/>
  <c r="M31" i="12"/>
  <c r="N31" i="12"/>
  <c r="O31" i="12"/>
  <c r="P31" i="12"/>
  <c r="Q31" i="12"/>
  <c r="R31" i="12"/>
  <c r="S31" i="12"/>
  <c r="T31" i="12"/>
  <c r="U31" i="12"/>
  <c r="V31" i="12"/>
  <c r="B32" i="12"/>
  <c r="C32" i="12"/>
  <c r="D32" i="12"/>
  <c r="E32" i="12"/>
  <c r="H32" i="12" s="1"/>
  <c r="F32" i="12"/>
  <c r="I32" i="12" s="1"/>
  <c r="G32" i="12"/>
  <c r="K32" i="12"/>
  <c r="L32" i="12"/>
  <c r="M32" i="12"/>
  <c r="N32" i="12"/>
  <c r="O32" i="12"/>
  <c r="P32" i="12"/>
  <c r="Q32" i="12"/>
  <c r="R32" i="12"/>
  <c r="S32" i="12"/>
  <c r="T32" i="12"/>
  <c r="U32" i="12"/>
  <c r="V32" i="12"/>
  <c r="B33" i="12"/>
  <c r="C33" i="12"/>
  <c r="D33" i="12"/>
  <c r="E33" i="12"/>
  <c r="H33" i="12" s="1"/>
  <c r="F33" i="12"/>
  <c r="I33" i="12" s="1"/>
  <c r="G33" i="12"/>
  <c r="K33" i="12"/>
  <c r="L33" i="12"/>
  <c r="M33" i="12"/>
  <c r="N33" i="12"/>
  <c r="O33" i="12"/>
  <c r="P33" i="12"/>
  <c r="Q33" i="12"/>
  <c r="R33" i="12"/>
  <c r="S33" i="12"/>
  <c r="T33" i="12"/>
  <c r="U33" i="12"/>
  <c r="V33" i="12"/>
  <c r="B34" i="12"/>
  <c r="C34" i="12"/>
  <c r="D34" i="12"/>
  <c r="E34" i="12"/>
  <c r="H34" i="12" s="1"/>
  <c r="F34" i="12"/>
  <c r="I34" i="12" s="1"/>
  <c r="G34" i="12"/>
  <c r="K34" i="12"/>
  <c r="L34" i="12"/>
  <c r="M34" i="12"/>
  <c r="N34" i="12"/>
  <c r="O34" i="12"/>
  <c r="P34" i="12"/>
  <c r="Q34" i="12"/>
  <c r="R34" i="12"/>
  <c r="S34" i="12"/>
  <c r="T34" i="12"/>
  <c r="U34" i="12"/>
  <c r="V34" i="12"/>
  <c r="B35" i="12"/>
  <c r="C35" i="12"/>
  <c r="D35" i="12"/>
  <c r="E35" i="12"/>
  <c r="H35" i="12" s="1"/>
  <c r="F35" i="12"/>
  <c r="I35" i="12" s="1"/>
  <c r="G35" i="12"/>
  <c r="K35" i="12"/>
  <c r="L35" i="12"/>
  <c r="M35" i="12"/>
  <c r="N35" i="12"/>
  <c r="O35" i="12"/>
  <c r="P35" i="12"/>
  <c r="Q35" i="12"/>
  <c r="R35" i="12"/>
  <c r="S35" i="12"/>
  <c r="T35" i="12"/>
  <c r="U35" i="12"/>
  <c r="V35" i="12"/>
  <c r="B36" i="12"/>
  <c r="C36" i="12"/>
  <c r="D36" i="12"/>
  <c r="E36" i="12"/>
  <c r="H36" i="12" s="1"/>
  <c r="F36" i="12"/>
  <c r="I36" i="12" s="1"/>
  <c r="G36" i="12"/>
  <c r="K36" i="12"/>
  <c r="L36" i="12"/>
  <c r="M36" i="12"/>
  <c r="N36" i="12"/>
  <c r="O36" i="12"/>
  <c r="P36" i="12"/>
  <c r="Q36" i="12"/>
  <c r="R36" i="12"/>
  <c r="S36" i="12"/>
  <c r="T36" i="12"/>
  <c r="U36" i="12"/>
  <c r="V36" i="12"/>
  <c r="B37" i="12"/>
  <c r="C37" i="12"/>
  <c r="D37" i="12"/>
  <c r="E37" i="12"/>
  <c r="H37" i="12" s="1"/>
  <c r="F37" i="12"/>
  <c r="I37" i="12" s="1"/>
  <c r="G37" i="12"/>
  <c r="K37" i="12"/>
  <c r="L37" i="12"/>
  <c r="M37" i="12"/>
  <c r="N37" i="12"/>
  <c r="O37" i="12"/>
  <c r="P37" i="12"/>
  <c r="Q37" i="12"/>
  <c r="R37" i="12"/>
  <c r="S37" i="12"/>
  <c r="T37" i="12"/>
  <c r="U37" i="12"/>
  <c r="V37" i="12"/>
  <c r="B38" i="12"/>
  <c r="C38" i="12"/>
  <c r="D38" i="12"/>
  <c r="E38" i="12"/>
  <c r="H38" i="12" s="1"/>
  <c r="F38" i="12"/>
  <c r="I38" i="12" s="1"/>
  <c r="G38" i="12"/>
  <c r="K38" i="12"/>
  <c r="L38" i="12"/>
  <c r="M38" i="12"/>
  <c r="N38" i="12"/>
  <c r="O38" i="12"/>
  <c r="P38" i="12"/>
  <c r="Q38" i="12"/>
  <c r="R38" i="12"/>
  <c r="S38" i="12"/>
  <c r="T38" i="12"/>
  <c r="U38" i="12"/>
  <c r="V38" i="12"/>
  <c r="B39" i="12"/>
  <c r="C39" i="12"/>
  <c r="D39" i="12"/>
  <c r="E39" i="12"/>
  <c r="H39" i="12" s="1"/>
  <c r="F39" i="12"/>
  <c r="I39" i="12" s="1"/>
  <c r="G39" i="12"/>
  <c r="K39" i="12"/>
  <c r="L39" i="12"/>
  <c r="M39" i="12"/>
  <c r="N39" i="12"/>
  <c r="O39" i="12"/>
  <c r="P39" i="12"/>
  <c r="Q39" i="12"/>
  <c r="R39" i="12"/>
  <c r="S39" i="12"/>
  <c r="T39" i="12"/>
  <c r="U39" i="12"/>
  <c r="V39" i="12"/>
  <c r="B40" i="12"/>
  <c r="C40" i="12"/>
  <c r="D40" i="12"/>
  <c r="E40" i="12"/>
  <c r="H40" i="12" s="1"/>
  <c r="F40" i="12"/>
  <c r="I40" i="12" s="1"/>
  <c r="G40" i="12"/>
  <c r="K40" i="12"/>
  <c r="L40" i="12"/>
  <c r="M40" i="12"/>
  <c r="N40" i="12"/>
  <c r="O40" i="12"/>
  <c r="P40" i="12"/>
  <c r="Q40" i="12"/>
  <c r="R40" i="12"/>
  <c r="S40" i="12"/>
  <c r="T40" i="12"/>
  <c r="U40" i="12"/>
  <c r="V40" i="12"/>
  <c r="B41" i="12"/>
  <c r="C41" i="12"/>
  <c r="D41" i="12"/>
  <c r="E41" i="12"/>
  <c r="H41" i="12" s="1"/>
  <c r="F41" i="12"/>
  <c r="I41" i="12" s="1"/>
  <c r="G41" i="12"/>
  <c r="K41" i="12"/>
  <c r="L41" i="12"/>
  <c r="M41" i="12"/>
  <c r="N41" i="12"/>
  <c r="O41" i="12"/>
  <c r="P41" i="12"/>
  <c r="Q41" i="12"/>
  <c r="R41" i="12"/>
  <c r="S41" i="12"/>
  <c r="T41" i="12"/>
  <c r="U41" i="12"/>
  <c r="V41" i="12"/>
  <c r="B42" i="12"/>
  <c r="C42" i="12"/>
  <c r="D42" i="12"/>
  <c r="E42" i="12"/>
  <c r="H42" i="12" s="1"/>
  <c r="F42" i="12"/>
  <c r="I42" i="12" s="1"/>
  <c r="G42" i="12"/>
  <c r="K42" i="12"/>
  <c r="L42" i="12"/>
  <c r="M42" i="12"/>
  <c r="N42" i="12"/>
  <c r="O42" i="12"/>
  <c r="P42" i="12"/>
  <c r="Q42" i="12"/>
  <c r="R42" i="12"/>
  <c r="S42" i="12"/>
  <c r="T42" i="12"/>
  <c r="U42" i="12"/>
  <c r="V42" i="12"/>
  <c r="B43" i="12"/>
  <c r="C43" i="12"/>
  <c r="D43" i="12"/>
  <c r="E43" i="12"/>
  <c r="H43" i="12" s="1"/>
  <c r="F43" i="12"/>
  <c r="I43" i="12" s="1"/>
  <c r="G43" i="12"/>
  <c r="K43" i="12"/>
  <c r="L43" i="12"/>
  <c r="M43" i="12"/>
  <c r="N43" i="12"/>
  <c r="O43" i="12"/>
  <c r="P43" i="12"/>
  <c r="Q43" i="12"/>
  <c r="R43" i="12"/>
  <c r="S43" i="12"/>
  <c r="T43" i="12"/>
  <c r="U43" i="12"/>
  <c r="V43" i="12"/>
  <c r="B44" i="12"/>
  <c r="C44" i="12"/>
  <c r="D44" i="12"/>
  <c r="E44" i="12"/>
  <c r="H44" i="12" s="1"/>
  <c r="F44" i="12"/>
  <c r="I44" i="12" s="1"/>
  <c r="G44" i="12"/>
  <c r="K44" i="12"/>
  <c r="L44" i="12"/>
  <c r="M44" i="12"/>
  <c r="N44" i="12"/>
  <c r="O44" i="12"/>
  <c r="P44" i="12"/>
  <c r="Q44" i="12"/>
  <c r="R44" i="12"/>
  <c r="S44" i="12"/>
  <c r="T44" i="12"/>
  <c r="U44" i="12"/>
  <c r="V44" i="12"/>
  <c r="B45" i="12"/>
  <c r="C45" i="12"/>
  <c r="D45" i="12"/>
  <c r="E45" i="12"/>
  <c r="H45" i="12" s="1"/>
  <c r="F45" i="12"/>
  <c r="I45" i="12" s="1"/>
  <c r="G45" i="12"/>
  <c r="K45" i="12"/>
  <c r="L45" i="12"/>
  <c r="M45" i="12"/>
  <c r="N45" i="12"/>
  <c r="O45" i="12"/>
  <c r="P45" i="12"/>
  <c r="Q45" i="12"/>
  <c r="R45" i="12"/>
  <c r="S45" i="12"/>
  <c r="T45" i="12"/>
  <c r="U45" i="12"/>
  <c r="V45" i="12"/>
  <c r="B46" i="12"/>
  <c r="C46" i="12"/>
  <c r="D46" i="12"/>
  <c r="E46" i="12"/>
  <c r="H46" i="12" s="1"/>
  <c r="F46" i="12"/>
  <c r="I46" i="12" s="1"/>
  <c r="G46" i="12"/>
  <c r="K46" i="12"/>
  <c r="L46" i="12"/>
  <c r="M46" i="12"/>
  <c r="N46" i="12"/>
  <c r="O46" i="12"/>
  <c r="P46" i="12"/>
  <c r="Q46" i="12"/>
  <c r="R46" i="12"/>
  <c r="S46" i="12"/>
  <c r="T46" i="12"/>
  <c r="U46" i="12"/>
  <c r="V46" i="12"/>
  <c r="B47" i="12"/>
  <c r="C47" i="12"/>
  <c r="D47" i="12"/>
  <c r="E47" i="12"/>
  <c r="H47" i="12" s="1"/>
  <c r="F47" i="12"/>
  <c r="I47" i="12" s="1"/>
  <c r="G47" i="12"/>
  <c r="K47" i="12"/>
  <c r="L47" i="12"/>
  <c r="M47" i="12"/>
  <c r="N47" i="12"/>
  <c r="O47" i="12"/>
  <c r="P47" i="12"/>
  <c r="Q47" i="12"/>
  <c r="R47" i="12"/>
  <c r="S47" i="12"/>
  <c r="T47" i="12"/>
  <c r="U47" i="12"/>
  <c r="V47" i="12"/>
  <c r="B48" i="12"/>
  <c r="C48" i="12"/>
  <c r="D48" i="12"/>
  <c r="E48" i="12"/>
  <c r="H48" i="12" s="1"/>
  <c r="F48" i="12"/>
  <c r="I48" i="12" s="1"/>
  <c r="G48" i="12"/>
  <c r="K48" i="12"/>
  <c r="L48" i="12"/>
  <c r="M48" i="12"/>
  <c r="N48" i="12"/>
  <c r="O48" i="12"/>
  <c r="P48" i="12"/>
  <c r="Q48" i="12"/>
  <c r="R48" i="12"/>
  <c r="S48" i="12"/>
  <c r="T48" i="12"/>
  <c r="U48" i="12"/>
  <c r="V48" i="12"/>
  <c r="B49" i="12"/>
  <c r="C49" i="12"/>
  <c r="D49" i="12"/>
  <c r="E49" i="12"/>
  <c r="H49" i="12" s="1"/>
  <c r="F49" i="12"/>
  <c r="I49" i="12" s="1"/>
  <c r="G49" i="12"/>
  <c r="K49" i="12"/>
  <c r="L49" i="12"/>
  <c r="M49" i="12"/>
  <c r="N49" i="12"/>
  <c r="O49" i="12"/>
  <c r="P49" i="12"/>
  <c r="Q49" i="12"/>
  <c r="R49" i="12"/>
  <c r="S49" i="12"/>
  <c r="T49" i="12"/>
  <c r="U49" i="12"/>
  <c r="V49" i="12"/>
  <c r="B50" i="12"/>
  <c r="C50" i="12"/>
  <c r="D50" i="12"/>
  <c r="E50" i="12"/>
  <c r="H50" i="12" s="1"/>
  <c r="F50" i="12"/>
  <c r="I50" i="12" s="1"/>
  <c r="G50" i="12"/>
  <c r="K50" i="12"/>
  <c r="L50" i="12"/>
  <c r="M50" i="12"/>
  <c r="N50" i="12"/>
  <c r="O50" i="12"/>
  <c r="P50" i="12"/>
  <c r="Q50" i="12"/>
  <c r="R50" i="12"/>
  <c r="S50" i="12"/>
  <c r="T50" i="12"/>
  <c r="U50" i="12"/>
  <c r="V50" i="12"/>
  <c r="B51" i="12"/>
  <c r="C51" i="12"/>
  <c r="D51" i="12"/>
  <c r="E51" i="12"/>
  <c r="H51" i="12" s="1"/>
  <c r="F51" i="12"/>
  <c r="I51" i="12" s="1"/>
  <c r="G51" i="12"/>
  <c r="K51" i="12"/>
  <c r="L51" i="12"/>
  <c r="M51" i="12"/>
  <c r="N51" i="12"/>
  <c r="O51" i="12"/>
  <c r="P51" i="12"/>
  <c r="Q51" i="12"/>
  <c r="R51" i="12"/>
  <c r="S51" i="12"/>
  <c r="T51" i="12"/>
  <c r="U51" i="12"/>
  <c r="V51" i="12"/>
  <c r="B52" i="12"/>
  <c r="C52" i="12"/>
  <c r="D52" i="12"/>
  <c r="E52" i="12"/>
  <c r="H52" i="12" s="1"/>
  <c r="F52" i="12"/>
  <c r="I52" i="12" s="1"/>
  <c r="G52" i="12"/>
  <c r="K52" i="12"/>
  <c r="L52" i="12"/>
  <c r="M52" i="12"/>
  <c r="N52" i="12"/>
  <c r="O52" i="12"/>
  <c r="P52" i="12"/>
  <c r="Q52" i="12"/>
  <c r="R52" i="12"/>
  <c r="S52" i="12"/>
  <c r="T52" i="12"/>
  <c r="U52" i="12"/>
  <c r="V52" i="12"/>
  <c r="B53" i="12"/>
  <c r="C53" i="12"/>
  <c r="D53" i="12"/>
  <c r="E53" i="12"/>
  <c r="H53" i="12" s="1"/>
  <c r="F53" i="12"/>
  <c r="I53" i="12" s="1"/>
  <c r="G53" i="12"/>
  <c r="K53" i="12"/>
  <c r="L53" i="12"/>
  <c r="M53" i="12"/>
  <c r="N53" i="12"/>
  <c r="O53" i="12"/>
  <c r="P53" i="12"/>
  <c r="Q53" i="12"/>
  <c r="R53" i="12"/>
  <c r="S53" i="12"/>
  <c r="T53" i="12"/>
  <c r="U53" i="12"/>
  <c r="V53" i="12"/>
  <c r="B54" i="12"/>
  <c r="C54" i="12"/>
  <c r="D54" i="12"/>
  <c r="E54" i="12"/>
  <c r="H54" i="12" s="1"/>
  <c r="F54" i="12"/>
  <c r="I54" i="12" s="1"/>
  <c r="G54" i="12"/>
  <c r="K54" i="12"/>
  <c r="L54" i="12"/>
  <c r="M54" i="12"/>
  <c r="N54" i="12"/>
  <c r="O54" i="12"/>
  <c r="P54" i="12"/>
  <c r="Q54" i="12"/>
  <c r="R54" i="12"/>
  <c r="S54" i="12"/>
  <c r="T54" i="12"/>
  <c r="U54" i="12"/>
  <c r="V54" i="12"/>
  <c r="B55" i="12"/>
  <c r="C55" i="12"/>
  <c r="D55" i="12"/>
  <c r="E55" i="12"/>
  <c r="H55" i="12" s="1"/>
  <c r="F55" i="12"/>
  <c r="I55" i="12" s="1"/>
  <c r="G55" i="12"/>
  <c r="K55" i="12"/>
  <c r="L55" i="12"/>
  <c r="M55" i="12"/>
  <c r="N55" i="12"/>
  <c r="O55" i="12"/>
  <c r="P55" i="12"/>
  <c r="Q55" i="12"/>
  <c r="R55" i="12"/>
  <c r="S55" i="12"/>
  <c r="T55" i="12"/>
  <c r="U55" i="12"/>
  <c r="V55" i="12"/>
  <c r="B56" i="12"/>
  <c r="C56" i="12"/>
  <c r="D56" i="12"/>
  <c r="E56" i="12"/>
  <c r="H56" i="12" s="1"/>
  <c r="F56" i="12"/>
  <c r="I56" i="12" s="1"/>
  <c r="G56" i="12"/>
  <c r="K56" i="12"/>
  <c r="L56" i="12"/>
  <c r="M56" i="12"/>
  <c r="N56" i="12"/>
  <c r="O56" i="12"/>
  <c r="P56" i="12"/>
  <c r="Q56" i="12"/>
  <c r="R56" i="12"/>
  <c r="S56" i="12"/>
  <c r="T56" i="12"/>
  <c r="U56" i="12"/>
  <c r="V56" i="12"/>
  <c r="B57" i="12"/>
  <c r="C57" i="12"/>
  <c r="D57" i="12"/>
  <c r="E57" i="12"/>
  <c r="H57" i="12" s="1"/>
  <c r="F57" i="12"/>
  <c r="I57" i="12" s="1"/>
  <c r="G57" i="12"/>
  <c r="K57" i="12"/>
  <c r="L57" i="12"/>
  <c r="M57" i="12"/>
  <c r="N57" i="12"/>
  <c r="O57" i="12"/>
  <c r="P57" i="12"/>
  <c r="Q57" i="12"/>
  <c r="R57" i="12"/>
  <c r="S57" i="12"/>
  <c r="T57" i="12"/>
  <c r="U57" i="12"/>
  <c r="V57" i="12"/>
  <c r="B58" i="12"/>
  <c r="C58" i="12"/>
  <c r="D58" i="12"/>
  <c r="E58" i="12"/>
  <c r="H58" i="12" s="1"/>
  <c r="F58" i="12"/>
  <c r="I58" i="12" s="1"/>
  <c r="G58" i="12"/>
  <c r="K58" i="12"/>
  <c r="L58" i="12"/>
  <c r="M58" i="12"/>
  <c r="N58" i="12"/>
  <c r="O58" i="12"/>
  <c r="P58" i="12"/>
  <c r="Q58" i="12"/>
  <c r="R58" i="12"/>
  <c r="S58" i="12"/>
  <c r="T58" i="12"/>
  <c r="U58" i="12"/>
  <c r="V58" i="12"/>
  <c r="B59" i="12"/>
  <c r="C59" i="12"/>
  <c r="D59" i="12"/>
  <c r="E59" i="12"/>
  <c r="H59" i="12" s="1"/>
  <c r="F59" i="12"/>
  <c r="I59" i="12" s="1"/>
  <c r="G59" i="12"/>
  <c r="K59" i="12"/>
  <c r="L59" i="12"/>
  <c r="M59" i="12"/>
  <c r="N59" i="12"/>
  <c r="O59" i="12"/>
  <c r="P59" i="12"/>
  <c r="Q59" i="12"/>
  <c r="R59" i="12"/>
  <c r="S59" i="12"/>
  <c r="T59" i="12"/>
  <c r="U59" i="12"/>
  <c r="V59" i="12"/>
  <c r="B60" i="12"/>
  <c r="C60" i="12"/>
  <c r="D60" i="12"/>
  <c r="E60" i="12"/>
  <c r="H60" i="12" s="1"/>
  <c r="F60" i="12"/>
  <c r="I60" i="12" s="1"/>
  <c r="G60" i="12"/>
  <c r="K60" i="12"/>
  <c r="L60" i="12"/>
  <c r="M60" i="12"/>
  <c r="N60" i="12"/>
  <c r="O60" i="12"/>
  <c r="P60" i="12"/>
  <c r="Q60" i="12"/>
  <c r="R60" i="12"/>
  <c r="S60" i="12"/>
  <c r="T60" i="12"/>
  <c r="U60" i="12"/>
  <c r="V60" i="12"/>
  <c r="B61" i="12"/>
  <c r="C61" i="12"/>
  <c r="D61" i="12"/>
  <c r="E61" i="12"/>
  <c r="H61" i="12" s="1"/>
  <c r="F61" i="12"/>
  <c r="I61" i="12" s="1"/>
  <c r="G61" i="12"/>
  <c r="K61" i="12"/>
  <c r="L61" i="12"/>
  <c r="M61" i="12"/>
  <c r="N61" i="12"/>
  <c r="O61" i="12"/>
  <c r="P61" i="12"/>
  <c r="Q61" i="12"/>
  <c r="R61" i="12"/>
  <c r="S61" i="12"/>
  <c r="T61" i="12"/>
  <c r="U61" i="12"/>
  <c r="V61" i="12"/>
  <c r="J3" i="11"/>
  <c r="K3" i="11"/>
  <c r="L3" i="11"/>
  <c r="M3" i="11"/>
  <c r="N3" i="11"/>
  <c r="O3" i="11"/>
  <c r="P3" i="11"/>
  <c r="J4" i="11"/>
  <c r="Q4" i="11" s="1"/>
  <c r="K4" i="11"/>
  <c r="R4" i="11" s="1"/>
  <c r="L4" i="11"/>
  <c r="S4" i="11" s="1"/>
  <c r="M4" i="11"/>
  <c r="T4" i="11" s="1"/>
  <c r="N4" i="11"/>
  <c r="U4" i="11" s="1"/>
  <c r="O4" i="11"/>
  <c r="V4" i="11" s="1"/>
  <c r="P4" i="11"/>
  <c r="J5" i="11"/>
  <c r="Q5" i="11" s="1"/>
  <c r="K5" i="11"/>
  <c r="R5" i="11" s="1"/>
  <c r="L5" i="11"/>
  <c r="S5" i="11" s="1"/>
  <c r="M5" i="11"/>
  <c r="T5" i="11" s="1"/>
  <c r="N5" i="11"/>
  <c r="U5" i="11" s="1"/>
  <c r="O5" i="11"/>
  <c r="V5" i="11" s="1"/>
  <c r="P5" i="11"/>
  <c r="J6" i="11"/>
  <c r="Q6" i="11" s="1"/>
  <c r="K6" i="11"/>
  <c r="R6" i="11" s="1"/>
  <c r="L6" i="11"/>
  <c r="S6" i="11" s="1"/>
  <c r="M6" i="11"/>
  <c r="T6" i="11" s="1"/>
  <c r="N6" i="11"/>
  <c r="U6" i="11" s="1"/>
  <c r="O6" i="11"/>
  <c r="V6" i="11" s="1"/>
  <c r="P6" i="11"/>
  <c r="J7" i="11"/>
  <c r="K7" i="11"/>
  <c r="L7" i="11"/>
  <c r="M7" i="11"/>
  <c r="N7" i="11"/>
  <c r="O7" i="11"/>
  <c r="P7" i="11"/>
  <c r="J8" i="11"/>
  <c r="Q8" i="11" s="1"/>
  <c r="K8" i="11"/>
  <c r="R8" i="11" s="1"/>
  <c r="L8" i="11"/>
  <c r="S8" i="11" s="1"/>
  <c r="M8" i="11"/>
  <c r="T8" i="11" s="1"/>
  <c r="N8" i="11"/>
  <c r="U8" i="11" s="1"/>
  <c r="O8" i="11"/>
  <c r="V8" i="11" s="1"/>
  <c r="P8" i="11"/>
  <c r="J9" i="11"/>
  <c r="Q9" i="11" s="1"/>
  <c r="K9" i="11"/>
  <c r="R9" i="11" s="1"/>
  <c r="L9" i="11"/>
  <c r="S9" i="11" s="1"/>
  <c r="M9" i="11"/>
  <c r="T9" i="11" s="1"/>
  <c r="N9" i="11"/>
  <c r="U9" i="11" s="1"/>
  <c r="O9" i="11"/>
  <c r="V9" i="11" s="1"/>
  <c r="P9" i="11"/>
  <c r="J10" i="11"/>
  <c r="K10" i="11"/>
  <c r="L10" i="11"/>
  <c r="M10" i="11"/>
  <c r="N10" i="11"/>
  <c r="O10" i="11"/>
  <c r="P10" i="11"/>
  <c r="J11" i="11"/>
  <c r="Q11" i="11" s="1"/>
  <c r="K11" i="11"/>
  <c r="R11" i="11" s="1"/>
  <c r="L11" i="11"/>
  <c r="S11" i="11" s="1"/>
  <c r="M11" i="11"/>
  <c r="T11" i="11" s="1"/>
  <c r="N11" i="11"/>
  <c r="U11" i="11" s="1"/>
  <c r="O11" i="11"/>
  <c r="V11" i="11" s="1"/>
  <c r="P11" i="11"/>
  <c r="J12" i="11"/>
  <c r="Q12" i="11" s="1"/>
  <c r="K12" i="11"/>
  <c r="R12" i="11" s="1"/>
  <c r="L12" i="11"/>
  <c r="S12" i="11" s="1"/>
  <c r="M12" i="11"/>
  <c r="T12" i="11" s="1"/>
  <c r="N12" i="11"/>
  <c r="U12" i="11" s="1"/>
  <c r="O12" i="11"/>
  <c r="V12" i="11" s="1"/>
  <c r="P12" i="11"/>
  <c r="J13" i="11"/>
  <c r="Q13" i="11" s="1"/>
  <c r="K13" i="11"/>
  <c r="R13" i="11" s="1"/>
  <c r="L13" i="11"/>
  <c r="S13" i="11" s="1"/>
  <c r="M13" i="11"/>
  <c r="T13" i="11" s="1"/>
  <c r="N13" i="11"/>
  <c r="U13" i="11" s="1"/>
  <c r="O13" i="11"/>
  <c r="V13" i="11" s="1"/>
  <c r="P13" i="11"/>
  <c r="J14" i="11"/>
  <c r="Q14" i="11" s="1"/>
  <c r="K14" i="11"/>
  <c r="R14" i="11" s="1"/>
  <c r="L14" i="11"/>
  <c r="S14" i="11" s="1"/>
  <c r="M14" i="11"/>
  <c r="T14" i="11" s="1"/>
  <c r="N14" i="11"/>
  <c r="U14" i="11" s="1"/>
  <c r="O14" i="11"/>
  <c r="V14" i="11" s="1"/>
  <c r="P14" i="11"/>
  <c r="J15" i="11"/>
  <c r="K15" i="11"/>
  <c r="L15" i="11"/>
  <c r="M15" i="11"/>
  <c r="N15" i="11"/>
  <c r="O15" i="11"/>
  <c r="P15" i="11"/>
  <c r="J16" i="11"/>
  <c r="Q16" i="11" s="1"/>
  <c r="K16" i="11"/>
  <c r="R16" i="11" s="1"/>
  <c r="L16" i="11"/>
  <c r="S16" i="11" s="1"/>
  <c r="M16" i="11"/>
  <c r="T16" i="11" s="1"/>
  <c r="N16" i="11"/>
  <c r="U16" i="11" s="1"/>
  <c r="O16" i="11"/>
  <c r="V16" i="11" s="1"/>
  <c r="P16" i="11"/>
  <c r="J17" i="11"/>
  <c r="Q17" i="11" s="1"/>
  <c r="K17" i="11"/>
  <c r="R17" i="11" s="1"/>
  <c r="L17" i="11"/>
  <c r="S17" i="11" s="1"/>
  <c r="M17" i="11"/>
  <c r="T17" i="11" s="1"/>
  <c r="N17" i="11"/>
  <c r="U17" i="11" s="1"/>
  <c r="O17" i="11"/>
  <c r="V17" i="11" s="1"/>
  <c r="P17" i="11"/>
  <c r="J18" i="11"/>
  <c r="Q18" i="11" s="1"/>
  <c r="K18" i="11"/>
  <c r="R18" i="11" s="1"/>
  <c r="L18" i="11"/>
  <c r="S18" i="11" s="1"/>
  <c r="M18" i="11"/>
  <c r="T18" i="11" s="1"/>
  <c r="N18" i="11"/>
  <c r="U18" i="11" s="1"/>
  <c r="O18" i="11"/>
  <c r="V18" i="11" s="1"/>
  <c r="P18" i="11"/>
  <c r="J19" i="11"/>
  <c r="K19" i="11"/>
  <c r="L19" i="11"/>
  <c r="M19" i="11"/>
  <c r="N19" i="11"/>
  <c r="O19" i="11"/>
  <c r="P19" i="11"/>
  <c r="J20" i="11"/>
  <c r="Q20" i="11" s="1"/>
  <c r="K20" i="11"/>
  <c r="R20" i="11" s="1"/>
  <c r="L20" i="11"/>
  <c r="S20" i="11" s="1"/>
  <c r="M20" i="11"/>
  <c r="T20" i="11" s="1"/>
  <c r="N20" i="11"/>
  <c r="U20" i="11" s="1"/>
  <c r="O20" i="11"/>
  <c r="V20" i="11" s="1"/>
  <c r="P20" i="11"/>
  <c r="J21" i="11"/>
  <c r="Q21" i="11" s="1"/>
  <c r="K21" i="11"/>
  <c r="R21" i="11" s="1"/>
  <c r="L21" i="11"/>
  <c r="S21" i="11" s="1"/>
  <c r="M21" i="11"/>
  <c r="T21" i="11" s="1"/>
  <c r="N21" i="11"/>
  <c r="U21" i="11" s="1"/>
  <c r="O21" i="11"/>
  <c r="V21" i="11" s="1"/>
  <c r="P21" i="11"/>
  <c r="J22" i="11"/>
  <c r="Q22" i="11" s="1"/>
  <c r="K22" i="11"/>
  <c r="R22" i="11" s="1"/>
  <c r="L22" i="11"/>
  <c r="S22" i="11" s="1"/>
  <c r="M22" i="11"/>
  <c r="T22" i="11" s="1"/>
  <c r="N22" i="11"/>
  <c r="U22" i="11" s="1"/>
  <c r="O22" i="11"/>
  <c r="V22" i="11" s="1"/>
  <c r="P22" i="11"/>
  <c r="J23" i="11"/>
  <c r="Q23" i="11" s="1"/>
  <c r="K23" i="11"/>
  <c r="R23" i="11" s="1"/>
  <c r="L23" i="11"/>
  <c r="S23" i="11" s="1"/>
  <c r="M23" i="11"/>
  <c r="T23" i="11" s="1"/>
  <c r="N23" i="11"/>
  <c r="U23" i="11" s="1"/>
  <c r="O23" i="11"/>
  <c r="V23" i="11" s="1"/>
  <c r="P23" i="11"/>
  <c r="J24" i="11"/>
  <c r="Q24" i="11" s="1"/>
  <c r="K24" i="11"/>
  <c r="R24" i="11" s="1"/>
  <c r="L24" i="11"/>
  <c r="S24" i="11" s="1"/>
  <c r="M24" i="11"/>
  <c r="T24" i="11" s="1"/>
  <c r="N24" i="11"/>
  <c r="U24" i="11" s="1"/>
  <c r="O24" i="11"/>
  <c r="V24" i="11" s="1"/>
  <c r="P24" i="11"/>
  <c r="J25" i="11"/>
  <c r="K25" i="11"/>
  <c r="L25" i="11"/>
  <c r="M25" i="11"/>
  <c r="N25" i="11"/>
  <c r="O25" i="11"/>
  <c r="P25" i="11"/>
  <c r="J26" i="11"/>
  <c r="Q26" i="11" s="1"/>
  <c r="K26" i="11"/>
  <c r="R26" i="11" s="1"/>
  <c r="L26" i="11"/>
  <c r="S26" i="11" s="1"/>
  <c r="M26" i="11"/>
  <c r="T26" i="11" s="1"/>
  <c r="N26" i="11"/>
  <c r="U26" i="11" s="1"/>
  <c r="O26" i="11"/>
  <c r="V26" i="11" s="1"/>
  <c r="P26" i="11"/>
  <c r="J27" i="11"/>
  <c r="Q27" i="11" s="1"/>
  <c r="K27" i="11"/>
  <c r="R27" i="11" s="1"/>
  <c r="L27" i="11"/>
  <c r="S27" i="11" s="1"/>
  <c r="M27" i="11"/>
  <c r="T27" i="11" s="1"/>
  <c r="N27" i="11"/>
  <c r="U27" i="11" s="1"/>
  <c r="O27" i="11"/>
  <c r="V27" i="11" s="1"/>
  <c r="P27" i="11"/>
  <c r="J28" i="11"/>
  <c r="Q28" i="11" s="1"/>
  <c r="K28" i="11"/>
  <c r="R28" i="11" s="1"/>
  <c r="L28" i="11"/>
  <c r="S28" i="11" s="1"/>
  <c r="M28" i="11"/>
  <c r="T28" i="11" s="1"/>
  <c r="N28" i="11"/>
  <c r="U28" i="11" s="1"/>
  <c r="O28" i="11"/>
  <c r="V28" i="11" s="1"/>
  <c r="P28" i="11"/>
  <c r="G77" i="17" l="1"/>
  <c r="G78" i="17" s="1"/>
  <c r="S77" i="17"/>
  <c r="S78" i="17" s="1"/>
  <c r="H72" i="17"/>
  <c r="H73" i="17" s="1"/>
  <c r="S72" i="17"/>
  <c r="S73" i="17" s="1"/>
  <c r="J67" i="17"/>
  <c r="J68" i="17" s="1"/>
  <c r="S67" i="17"/>
  <c r="S68" i="17" s="1"/>
  <c r="I62" i="17"/>
  <c r="I63" i="17" s="1"/>
  <c r="S62" i="17"/>
  <c r="S63" i="17" s="1"/>
  <c r="I57" i="17"/>
  <c r="I58" i="17" s="1"/>
  <c r="S57" i="17"/>
  <c r="S58" i="17" s="1"/>
  <c r="J52" i="17"/>
  <c r="J53" i="17" s="1"/>
  <c r="S52" i="17"/>
  <c r="S53" i="17" s="1"/>
  <c r="H47" i="17"/>
  <c r="S47" i="17"/>
  <c r="S48" i="17" s="1"/>
  <c r="I42" i="17"/>
  <c r="I43" i="17" s="1"/>
  <c r="S42" i="17"/>
  <c r="S43" i="17" s="1"/>
  <c r="I37" i="17"/>
  <c r="I38" i="17" s="1"/>
  <c r="S37" i="17"/>
  <c r="S38" i="17" s="1"/>
  <c r="R31" i="17"/>
  <c r="D30" i="17"/>
  <c r="J32" i="17"/>
  <c r="S33" i="17"/>
  <c r="J31" i="17"/>
  <c r="Q31" i="17" s="1"/>
  <c r="A47" i="13"/>
  <c r="M130" i="22"/>
  <c r="M132" i="22" s="1"/>
  <c r="M133" i="22" s="1"/>
  <c r="K132" i="22"/>
  <c r="K133" i="22" s="1"/>
  <c r="Q77" i="17"/>
  <c r="Q78" i="17" s="1"/>
  <c r="I72" i="17"/>
  <c r="I73" i="17" s="1"/>
  <c r="Q46" i="17"/>
  <c r="T41" i="17"/>
  <c r="I32" i="17"/>
  <c r="G72" i="17"/>
  <c r="G73" i="17" s="1"/>
  <c r="O62" i="17"/>
  <c r="O63" i="17" s="1"/>
  <c r="I67" i="17"/>
  <c r="I68" i="17" s="1"/>
  <c r="H57" i="17"/>
  <c r="H58" i="17" s="1"/>
  <c r="L51" i="17"/>
  <c r="N52" i="17" s="1"/>
  <c r="H37" i="17"/>
  <c r="H38" i="17" s="1"/>
  <c r="S76" i="17"/>
  <c r="H77" i="17"/>
  <c r="H78" i="17" s="1"/>
  <c r="T76" i="17"/>
  <c r="M61" i="17"/>
  <c r="T36" i="17"/>
  <c r="Q32" i="17"/>
  <c r="M76" i="17"/>
  <c r="J62" i="17"/>
  <c r="S56" i="17"/>
  <c r="N51" i="17"/>
  <c r="J42" i="17"/>
  <c r="J43" i="17" s="1"/>
  <c r="G32" i="17"/>
  <c r="Q61" i="17"/>
  <c r="G52" i="17"/>
  <c r="G53" i="17" s="1"/>
  <c r="I47" i="17"/>
  <c r="I48" i="17" s="1"/>
  <c r="U46" i="17"/>
  <c r="S41" i="17"/>
  <c r="J77" i="17"/>
  <c r="J78" i="17" s="1"/>
  <c r="U76" i="17"/>
  <c r="T71" i="17"/>
  <c r="O67" i="17"/>
  <c r="O68" i="17" s="1"/>
  <c r="Q66" i="17"/>
  <c r="S61" i="17"/>
  <c r="G47" i="17"/>
  <c r="G48" i="17" s="1"/>
  <c r="O42" i="17"/>
  <c r="O43" i="17" s="1"/>
  <c r="M41" i="17"/>
  <c r="L31" i="17"/>
  <c r="U66" i="17"/>
  <c r="N71" i="17"/>
  <c r="L71" i="17"/>
  <c r="M72" i="17" s="1"/>
  <c r="G67" i="17"/>
  <c r="G68" i="17" s="1"/>
  <c r="T56" i="17"/>
  <c r="O47" i="17"/>
  <c r="O48" i="17" s="1"/>
  <c r="Q41" i="17"/>
  <c r="N31" i="17"/>
  <c r="H48" i="17"/>
  <c r="M46" i="17"/>
  <c r="S36" i="17"/>
  <c r="I77" i="17"/>
  <c r="I78" i="17" s="1"/>
  <c r="Q72" i="17"/>
  <c r="Q73" i="17" s="1"/>
  <c r="Q67" i="17"/>
  <c r="Q68" i="17" s="1"/>
  <c r="H67" i="17"/>
  <c r="H68" i="17" s="1"/>
  <c r="U61" i="17"/>
  <c r="J47" i="17"/>
  <c r="J48" i="17" s="1"/>
  <c r="N46" i="17"/>
  <c r="H32" i="17"/>
  <c r="M31" i="17"/>
  <c r="M66" i="17"/>
  <c r="T61" i="17"/>
  <c r="Q52" i="17"/>
  <c r="Q53" i="17" s="1"/>
  <c r="I52" i="17"/>
  <c r="I53" i="17" s="1"/>
  <c r="O77" i="17"/>
  <c r="O78" i="17" s="1"/>
  <c r="S71" i="17"/>
  <c r="N66" i="17"/>
  <c r="H52" i="17"/>
  <c r="H53" i="17" s="1"/>
  <c r="M51" i="17"/>
  <c r="Q47" i="17"/>
  <c r="Q48" i="17" s="1"/>
  <c r="U41" i="17"/>
  <c r="AW15" i="17"/>
  <c r="AW16" i="17" s="1"/>
  <c r="AW17" i="17" s="1"/>
  <c r="AW18" i="17" s="1"/>
  <c r="AW19" i="17" s="1"/>
  <c r="AW20" i="17" s="1"/>
  <c r="AW21" i="17" s="1"/>
  <c r="AW22" i="17" s="1"/>
  <c r="AW23" i="17" s="1"/>
  <c r="AW24" i="17" s="1"/>
  <c r="AW25" i="17" s="1"/>
  <c r="AW26" i="17" s="1"/>
  <c r="AW27" i="17" s="1"/>
  <c r="R61" i="17"/>
  <c r="L61" i="17"/>
  <c r="O61" i="17" s="1"/>
  <c r="R41" i="17"/>
  <c r="L41" i="17"/>
  <c r="R76" i="17"/>
  <c r="L76" i="17"/>
  <c r="Q76" i="17"/>
  <c r="T51" i="17"/>
  <c r="S51" i="17"/>
  <c r="T31" i="17"/>
  <c r="S31" i="17"/>
  <c r="M56" i="17"/>
  <c r="U56" i="17"/>
  <c r="Q56" i="17"/>
  <c r="R56" i="17"/>
  <c r="L56" i="17"/>
  <c r="M36" i="17"/>
  <c r="U36" i="17"/>
  <c r="Q36" i="17"/>
  <c r="R36" i="17"/>
  <c r="L36" i="17"/>
  <c r="Q71" i="17"/>
  <c r="S66" i="17"/>
  <c r="L66" i="17"/>
  <c r="O66" i="17" s="1"/>
  <c r="N61" i="17"/>
  <c r="J57" i="17"/>
  <c r="O57" i="17"/>
  <c r="G57" i="17"/>
  <c r="Q57" i="17"/>
  <c r="S46" i="17"/>
  <c r="L46" i="17"/>
  <c r="O46" i="17" s="1"/>
  <c r="N41" i="17"/>
  <c r="J37" i="17"/>
  <c r="J38" i="17" s="1"/>
  <c r="O37" i="17"/>
  <c r="O38" i="17" s="1"/>
  <c r="G37" i="17"/>
  <c r="G38" i="17" s="1"/>
  <c r="Q37" i="17"/>
  <c r="Q38" i="17" s="1"/>
  <c r="N76" i="17"/>
  <c r="J72" i="17"/>
  <c r="J73" i="17" s="1"/>
  <c r="O72" i="17"/>
  <c r="O73" i="17" s="1"/>
  <c r="M71" i="17"/>
  <c r="U71" i="17"/>
  <c r="T66" i="17"/>
  <c r="G62" i="17"/>
  <c r="Q62" i="17"/>
  <c r="H62" i="17"/>
  <c r="N56" i="17"/>
  <c r="Q51" i="17"/>
  <c r="T46" i="17"/>
  <c r="G42" i="17"/>
  <c r="G43" i="17" s="1"/>
  <c r="Q42" i="17"/>
  <c r="Q43" i="17" s="1"/>
  <c r="H42" i="17"/>
  <c r="H43" i="17" s="1"/>
  <c r="N36" i="17"/>
  <c r="O52" i="17"/>
  <c r="O53" i="17" s="1"/>
  <c r="U51" i="17"/>
  <c r="O32" i="17"/>
  <c r="U31" i="17"/>
  <c r="A105" i="15"/>
  <c r="F105" i="15" s="1"/>
  <c r="L106" i="15"/>
  <c r="A149" i="15"/>
  <c r="F149" i="15" s="1"/>
  <c r="A117" i="15"/>
  <c r="F117" i="15" s="1"/>
  <c r="K122" i="15"/>
  <c r="A130" i="15"/>
  <c r="D129" i="15" s="1"/>
  <c r="A134" i="15"/>
  <c r="D133" i="15" s="1"/>
  <c r="J134" i="15"/>
  <c r="I117" i="15"/>
  <c r="K125" i="15"/>
  <c r="A146" i="15"/>
  <c r="D145" i="15" s="1"/>
  <c r="L154" i="15"/>
  <c r="A118" i="15"/>
  <c r="D117" i="15" s="1"/>
  <c r="K118" i="15"/>
  <c r="K129" i="15"/>
  <c r="L134" i="15"/>
  <c r="K157" i="15"/>
  <c r="A137" i="15"/>
  <c r="F137" i="15" s="1"/>
  <c r="I149" i="15"/>
  <c r="K154" i="15"/>
  <c r="K161" i="15"/>
  <c r="J166" i="15"/>
  <c r="I113" i="15"/>
  <c r="J121" i="15"/>
  <c r="J141" i="15"/>
  <c r="K113" i="15"/>
  <c r="L118" i="15"/>
  <c r="L122" i="15"/>
  <c r="I129" i="15"/>
  <c r="A133" i="15"/>
  <c r="F133" i="15" s="1"/>
  <c r="J137" i="15"/>
  <c r="K138" i="15"/>
  <c r="A150" i="15"/>
  <c r="J150" i="15"/>
  <c r="A153" i="15"/>
  <c r="F153" i="15" s="1"/>
  <c r="A162" i="15"/>
  <c r="E161" i="15" s="1"/>
  <c r="I165" i="15"/>
  <c r="J109" i="15"/>
  <c r="A114" i="15"/>
  <c r="D113" i="15" s="1"/>
  <c r="L138" i="15"/>
  <c r="I145" i="15"/>
  <c r="K150" i="15"/>
  <c r="J153" i="15"/>
  <c r="A166" i="15"/>
  <c r="J105" i="15"/>
  <c r="K106" i="15"/>
  <c r="A121" i="15"/>
  <c r="F121" i="15" s="1"/>
  <c r="I133" i="15"/>
  <c r="K145" i="15"/>
  <c r="I161" i="15"/>
  <c r="A165" i="15"/>
  <c r="F165" i="15" s="1"/>
  <c r="K166" i="15"/>
  <c r="A110" i="15"/>
  <c r="I109" i="15"/>
  <c r="A126" i="15"/>
  <c r="I125" i="15"/>
  <c r="A142" i="15"/>
  <c r="I141" i="15"/>
  <c r="A158" i="15"/>
  <c r="I157" i="15"/>
  <c r="J110" i="15"/>
  <c r="K110" i="15"/>
  <c r="J126" i="15"/>
  <c r="K126" i="15"/>
  <c r="J142" i="15"/>
  <c r="K142" i="15"/>
  <c r="J158" i="15"/>
  <c r="K158" i="15"/>
  <c r="A161" i="15"/>
  <c r="F161" i="15" s="1"/>
  <c r="A145" i="15"/>
  <c r="F145" i="15" s="1"/>
  <c r="A129" i="15"/>
  <c r="F129" i="15" s="1"/>
  <c r="A113" i="15"/>
  <c r="F113" i="15" s="1"/>
  <c r="K105" i="15"/>
  <c r="A157" i="15"/>
  <c r="F157" i="15" s="1"/>
  <c r="A141" i="15"/>
  <c r="F141" i="15" s="1"/>
  <c r="A125" i="15"/>
  <c r="F125" i="15" s="1"/>
  <c r="A109" i="15"/>
  <c r="F109" i="15" s="1"/>
  <c r="A106" i="15"/>
  <c r="L110" i="15"/>
  <c r="K114" i="15"/>
  <c r="L114" i="15"/>
  <c r="K121" i="15"/>
  <c r="A122" i="15"/>
  <c r="L126" i="15"/>
  <c r="K130" i="15"/>
  <c r="L130" i="15"/>
  <c r="K137" i="15"/>
  <c r="A138" i="15"/>
  <c r="L142" i="15"/>
  <c r="K146" i="15"/>
  <c r="L146" i="15"/>
  <c r="K153" i="15"/>
  <c r="A154" i="15"/>
  <c r="L158" i="15"/>
  <c r="K162" i="15"/>
  <c r="L162" i="15"/>
  <c r="K117" i="15"/>
  <c r="K133" i="15"/>
  <c r="K149" i="15"/>
  <c r="K165" i="15"/>
  <c r="J11" i="12"/>
  <c r="J9" i="12"/>
  <c r="J7" i="12"/>
  <c r="J5" i="12"/>
  <c r="J53" i="12"/>
  <c r="J41" i="12"/>
  <c r="J39" i="12"/>
  <c r="J45" i="12"/>
  <c r="J25" i="12"/>
  <c r="J23" i="12"/>
  <c r="J27" i="12"/>
  <c r="J37" i="12"/>
  <c r="J33" i="12"/>
  <c r="J26" i="12"/>
  <c r="J13" i="12"/>
  <c r="J61" i="12"/>
  <c r="J43" i="12"/>
  <c r="J49" i="12"/>
  <c r="J42" i="12"/>
  <c r="J29" i="12"/>
  <c r="J59" i="12"/>
  <c r="J21" i="12"/>
  <c r="J17" i="12"/>
  <c r="J10" i="12"/>
  <c r="J57" i="12"/>
  <c r="J55" i="12"/>
  <c r="J58" i="12"/>
  <c r="J47" i="12"/>
  <c r="J31" i="12"/>
  <c r="J15" i="12"/>
  <c r="J50" i="12"/>
  <c r="J34" i="12"/>
  <c r="J18" i="12"/>
  <c r="J46" i="12"/>
  <c r="J30" i="12"/>
  <c r="J14" i="12"/>
  <c r="J51" i="12"/>
  <c r="J35" i="12"/>
  <c r="J19" i="12"/>
  <c r="J54" i="12"/>
  <c r="J38" i="12"/>
  <c r="J22" i="12"/>
  <c r="J6" i="12"/>
  <c r="I3" i="12"/>
  <c r="J2" i="12"/>
  <c r="J60" i="12"/>
  <c r="J52" i="12"/>
  <c r="J44" i="12"/>
  <c r="J36" i="12"/>
  <c r="J28" i="12"/>
  <c r="J20" i="12"/>
  <c r="J12" i="12"/>
  <c r="J4" i="12"/>
  <c r="J56" i="12"/>
  <c r="J48" i="12"/>
  <c r="J40" i="12"/>
  <c r="J32" i="12"/>
  <c r="J24" i="12"/>
  <c r="J16" i="12"/>
  <c r="J8" i="12"/>
  <c r="C73" i="13"/>
  <c r="C93" i="13"/>
  <c r="C49" i="13"/>
  <c r="C87" i="13"/>
  <c r="C58" i="13"/>
  <c r="C88" i="13"/>
  <c r="C53" i="13"/>
  <c r="C54" i="13"/>
  <c r="C96" i="13"/>
  <c r="C84" i="13"/>
  <c r="C61" i="13"/>
  <c r="C47" i="13"/>
  <c r="C86" i="13"/>
  <c r="C67" i="13"/>
  <c r="C50" i="13"/>
  <c r="C70" i="13"/>
  <c r="C94" i="13"/>
  <c r="C65" i="13"/>
  <c r="C55" i="13"/>
  <c r="C72" i="13"/>
  <c r="C63" i="13"/>
  <c r="C90" i="13"/>
  <c r="C60" i="13"/>
  <c r="C77" i="13"/>
  <c r="C89" i="13"/>
  <c r="C83" i="13"/>
  <c r="C57" i="13"/>
  <c r="C82" i="13"/>
  <c r="C74" i="13"/>
  <c r="C56" i="13"/>
  <c r="C85" i="13"/>
  <c r="C48" i="13"/>
  <c r="C59" i="13"/>
  <c r="C91" i="13"/>
  <c r="C66" i="13"/>
  <c r="C64" i="13"/>
  <c r="C68" i="13"/>
  <c r="C81" i="13"/>
  <c r="C75" i="13"/>
  <c r="C51" i="13"/>
  <c r="C92" i="13"/>
  <c r="C71" i="13"/>
  <c r="C52" i="13"/>
  <c r="C95" i="13"/>
  <c r="C78" i="13"/>
  <c r="C69" i="13"/>
  <c r="C79" i="13"/>
  <c r="C76" i="13"/>
  <c r="C46" i="13"/>
  <c r="C62" i="13"/>
  <c r="C80" i="13"/>
  <c r="B36" i="17" l="1"/>
  <c r="A48" i="13"/>
  <c r="A49" i="13" s="1"/>
  <c r="D47" i="13"/>
  <c r="O33" i="17"/>
  <c r="Q33" i="17"/>
  <c r="I33" i="17"/>
  <c r="H33" i="17"/>
  <c r="G33" i="17"/>
  <c r="J33" i="17"/>
  <c r="M52" i="17"/>
  <c r="L54" i="17" s="1"/>
  <c r="B51" i="17"/>
  <c r="D48" i="13"/>
  <c r="B71" i="17"/>
  <c r="B56" i="17"/>
  <c r="B61" i="17"/>
  <c r="B66" i="17"/>
  <c r="B122" i="22"/>
  <c r="D122" i="22" s="1"/>
  <c r="D123" i="22" s="1"/>
  <c r="D124" i="22" s="1"/>
  <c r="D125" i="22" s="1"/>
  <c r="O71" i="17"/>
  <c r="P71" i="17"/>
  <c r="P51" i="17"/>
  <c r="L72" i="17"/>
  <c r="S74" i="17" s="1"/>
  <c r="O51" i="17"/>
  <c r="P54" i="17"/>
  <c r="L52" i="17"/>
  <c r="S54" i="17" s="1"/>
  <c r="N72" i="17"/>
  <c r="P74" i="17" s="1"/>
  <c r="J63" i="17"/>
  <c r="L32" i="17"/>
  <c r="O31" i="17"/>
  <c r="M32" i="17"/>
  <c r="P31" i="17"/>
  <c r="N32" i="17"/>
  <c r="E145" i="15"/>
  <c r="Q63" i="17"/>
  <c r="Q58" i="17"/>
  <c r="L37" i="17"/>
  <c r="S39" i="17" s="1"/>
  <c r="P36" i="17"/>
  <c r="N37" i="17"/>
  <c r="P39" i="17" s="1"/>
  <c r="M37" i="17"/>
  <c r="L39" i="17" s="1"/>
  <c r="O36" i="17"/>
  <c r="M77" i="17"/>
  <c r="L79" i="17" s="1"/>
  <c r="L77" i="17"/>
  <c r="S79" i="17" s="1"/>
  <c r="P76" i="17"/>
  <c r="N77" i="17"/>
  <c r="P79" i="17" s="1"/>
  <c r="B76" i="17"/>
  <c r="E133" i="15"/>
  <c r="G63" i="17"/>
  <c r="G58" i="17"/>
  <c r="M67" i="17"/>
  <c r="L69" i="17" s="1"/>
  <c r="N67" i="17"/>
  <c r="P69" i="17" s="1"/>
  <c r="L67" i="17"/>
  <c r="S69" i="17" s="1"/>
  <c r="P66" i="17"/>
  <c r="O76" i="17"/>
  <c r="L62" i="17"/>
  <c r="S64" i="17" s="1"/>
  <c r="M62" i="17"/>
  <c r="L64" i="17" s="1"/>
  <c r="N62" i="17"/>
  <c r="P64" i="17" s="1"/>
  <c r="P61" i="17"/>
  <c r="L74" i="17"/>
  <c r="B41" i="17"/>
  <c r="M47" i="17"/>
  <c r="N47" i="17"/>
  <c r="L47" i="17"/>
  <c r="O58" i="17"/>
  <c r="L57" i="17"/>
  <c r="S59" i="17" s="1"/>
  <c r="P56" i="17"/>
  <c r="N57" i="17"/>
  <c r="P59" i="17" s="1"/>
  <c r="M57" i="17"/>
  <c r="O56" i="17"/>
  <c r="L42" i="17"/>
  <c r="M42" i="17"/>
  <c r="N42" i="17"/>
  <c r="P44" i="17" s="1"/>
  <c r="P41" i="17"/>
  <c r="H63" i="17"/>
  <c r="J58" i="17"/>
  <c r="O41" i="17"/>
  <c r="P46" i="17"/>
  <c r="B46" i="17"/>
  <c r="B31" i="17"/>
  <c r="E129" i="15"/>
  <c r="D161" i="15"/>
  <c r="E117" i="15"/>
  <c r="E113" i="15"/>
  <c r="D149" i="15"/>
  <c r="E149" i="15"/>
  <c r="D165" i="15"/>
  <c r="E165" i="15"/>
  <c r="D153" i="15"/>
  <c r="E153" i="15"/>
  <c r="D109" i="15"/>
  <c r="E109" i="15"/>
  <c r="D137" i="15"/>
  <c r="E137" i="15"/>
  <c r="D105" i="15"/>
  <c r="E105" i="15"/>
  <c r="D157" i="15"/>
  <c r="E157" i="15"/>
  <c r="D125" i="15"/>
  <c r="E125" i="15"/>
  <c r="D121" i="15"/>
  <c r="E121" i="15"/>
  <c r="D141" i="15"/>
  <c r="E141" i="15"/>
  <c r="J3" i="12"/>
  <c r="F2" i="9"/>
  <c r="F3" i="9"/>
  <c r="F4" i="9"/>
  <c r="F10" i="9"/>
  <c r="F5" i="9"/>
  <c r="F11" i="9"/>
  <c r="F6" i="9"/>
  <c r="F12" i="9"/>
  <c r="H13" i="9"/>
  <c r="F14" i="9"/>
  <c r="F15" i="9"/>
  <c r="H16" i="9"/>
  <c r="F17" i="9"/>
  <c r="F18" i="9"/>
  <c r="F19" i="9"/>
  <c r="F20" i="9"/>
  <c r="H21" i="9"/>
  <c r="F22" i="9"/>
  <c r="F23" i="9"/>
  <c r="F24" i="9"/>
  <c r="H25" i="9"/>
  <c r="F26" i="9"/>
  <c r="F27" i="9"/>
  <c r="F28" i="9"/>
  <c r="F29" i="9"/>
  <c r="F30" i="9"/>
  <c r="H31" i="9"/>
  <c r="F32" i="9"/>
  <c r="F33" i="9"/>
  <c r="F34" i="9"/>
  <c r="P34" i="17" l="1"/>
  <c r="S34" i="17"/>
  <c r="L34" i="17"/>
  <c r="D49" i="13"/>
  <c r="A50" i="13"/>
  <c r="B121" i="22"/>
  <c r="D145" i="22" s="1"/>
  <c r="E145" i="22" s="1"/>
  <c r="E146" i="22" s="1"/>
  <c r="D146" i="22"/>
  <c r="B123" i="22"/>
  <c r="B124" i="22" s="1"/>
  <c r="D148" i="22" s="1"/>
  <c r="D121" i="22"/>
  <c r="S44" i="17"/>
  <c r="S49" i="17"/>
  <c r="P49" i="17"/>
  <c r="L59" i="17"/>
  <c r="L49" i="17"/>
  <c r="L44" i="17"/>
  <c r="D18" i="9"/>
  <c r="D10" i="9"/>
  <c r="D22" i="9"/>
  <c r="D11" i="9"/>
  <c r="D17" i="9"/>
  <c r="D15" i="9"/>
  <c r="D26" i="9"/>
  <c r="D19" i="9"/>
  <c r="D32" i="9"/>
  <c r="D20" i="9"/>
  <c r="D14" i="9"/>
  <c r="D24" i="9"/>
  <c r="D8" i="9"/>
  <c r="D34" i="9"/>
  <c r="D33" i="9"/>
  <c r="D30" i="9"/>
  <c r="D29" i="9"/>
  <c r="D28" i="9"/>
  <c r="D27" i="9"/>
  <c r="D12" i="9"/>
  <c r="D23" i="9"/>
  <c r="B42" i="8"/>
  <c r="C42" i="8" s="1"/>
  <c r="D42" i="8"/>
  <c r="E42" i="8" s="1"/>
  <c r="F42" i="8"/>
  <c r="G42" i="8" s="1"/>
  <c r="J42" i="8"/>
  <c r="K42" i="8" s="1"/>
  <c r="B44" i="8"/>
  <c r="C44" i="8" s="1"/>
  <c r="D44" i="8"/>
  <c r="E44" i="8" s="1"/>
  <c r="F44" i="8"/>
  <c r="G44" i="8" s="1"/>
  <c r="J44" i="8"/>
  <c r="K44" i="8" s="1"/>
  <c r="B46" i="8"/>
  <c r="C46" i="8" s="1"/>
  <c r="D46" i="8"/>
  <c r="E46" i="8" s="1"/>
  <c r="F46" i="8"/>
  <c r="G46" i="8" s="1"/>
  <c r="J46" i="8"/>
  <c r="K46" i="8" s="1"/>
  <c r="B48" i="8"/>
  <c r="C48" i="8" s="1"/>
  <c r="D48" i="8"/>
  <c r="E48" i="8" s="1"/>
  <c r="F48" i="8"/>
  <c r="G48" i="8" s="1"/>
  <c r="J48" i="8"/>
  <c r="K48" i="8" s="1"/>
  <c r="B50" i="8"/>
  <c r="C50" i="8" s="1"/>
  <c r="D50" i="8"/>
  <c r="E50" i="8" s="1"/>
  <c r="F50" i="8"/>
  <c r="G50" i="8" s="1"/>
  <c r="J50" i="8"/>
  <c r="K50" i="8" s="1"/>
  <c r="B52" i="8"/>
  <c r="C52" i="8" s="1"/>
  <c r="D52" i="8"/>
  <c r="E52" i="8" s="1"/>
  <c r="F52" i="8"/>
  <c r="G52" i="8" s="1"/>
  <c r="J52" i="8"/>
  <c r="K52" i="8" s="1"/>
  <c r="B54" i="8"/>
  <c r="C54" i="8" s="1"/>
  <c r="D54" i="8"/>
  <c r="E54" i="8" s="1"/>
  <c r="F54" i="8"/>
  <c r="G54" i="8" s="1"/>
  <c r="J54" i="8"/>
  <c r="K54" i="8" s="1"/>
  <c r="B56" i="8"/>
  <c r="C56" i="8" s="1"/>
  <c r="D56" i="8"/>
  <c r="E56" i="8" s="1"/>
  <c r="F56" i="8"/>
  <c r="G56" i="8" s="1"/>
  <c r="J56" i="8"/>
  <c r="K56" i="8" s="1"/>
  <c r="B58" i="8"/>
  <c r="C58" i="8" s="1"/>
  <c r="D58" i="8"/>
  <c r="E58" i="8" s="1"/>
  <c r="F58" i="8"/>
  <c r="G58" i="8" s="1"/>
  <c r="J58" i="8"/>
  <c r="K58" i="8" s="1"/>
  <c r="B60" i="8"/>
  <c r="C60" i="8" s="1"/>
  <c r="D60" i="8"/>
  <c r="E60" i="8" s="1"/>
  <c r="F60" i="8"/>
  <c r="G60" i="8" s="1"/>
  <c r="J60" i="8"/>
  <c r="K60" i="8" s="1"/>
  <c r="B62" i="8"/>
  <c r="C62" i="8" s="1"/>
  <c r="D62" i="8"/>
  <c r="E62" i="8" s="1"/>
  <c r="F62" i="8"/>
  <c r="G62" i="8" s="1"/>
  <c r="J62" i="8"/>
  <c r="K62" i="8" s="1"/>
  <c r="B64" i="8"/>
  <c r="C64" i="8" s="1"/>
  <c r="D64" i="8"/>
  <c r="E64" i="8" s="1"/>
  <c r="F64" i="8"/>
  <c r="G64" i="8" s="1"/>
  <c r="J64" i="8"/>
  <c r="K64" i="8" s="1"/>
  <c r="B66" i="8"/>
  <c r="C66" i="8" s="1"/>
  <c r="D66" i="8"/>
  <c r="E66" i="8" s="1"/>
  <c r="F66" i="8"/>
  <c r="G66" i="8" s="1"/>
  <c r="J66" i="8"/>
  <c r="K66" i="8" s="1"/>
  <c r="B68" i="8"/>
  <c r="C68" i="8" s="1"/>
  <c r="D68" i="8"/>
  <c r="E68" i="8" s="1"/>
  <c r="F68" i="8"/>
  <c r="G68" i="8" s="1"/>
  <c r="J68" i="8"/>
  <c r="K68" i="8" s="1"/>
  <c r="B70" i="8"/>
  <c r="C70" i="8" s="1"/>
  <c r="D70" i="8"/>
  <c r="E70" i="8" s="1"/>
  <c r="F70" i="8"/>
  <c r="G70" i="8" s="1"/>
  <c r="J70" i="8"/>
  <c r="K70" i="8" s="1"/>
  <c r="B72" i="8"/>
  <c r="C72" i="8" s="1"/>
  <c r="D72" i="8"/>
  <c r="E72" i="8" s="1"/>
  <c r="F72" i="8"/>
  <c r="G72" i="8" s="1"/>
  <c r="J72" i="8"/>
  <c r="K72" i="8" s="1"/>
  <c r="B74" i="8"/>
  <c r="C74" i="8" s="1"/>
  <c r="D74" i="8"/>
  <c r="E74" i="8" s="1"/>
  <c r="F74" i="8"/>
  <c r="G74" i="8" s="1"/>
  <c r="J74" i="8"/>
  <c r="K74" i="8" s="1"/>
  <c r="B76" i="8"/>
  <c r="C76" i="8" s="1"/>
  <c r="D76" i="8"/>
  <c r="E76" i="8" s="1"/>
  <c r="F76" i="8"/>
  <c r="G76" i="8" s="1"/>
  <c r="J76" i="8"/>
  <c r="K76" i="8" s="1"/>
  <c r="B78" i="8"/>
  <c r="C78" i="8" s="1"/>
  <c r="D78" i="8"/>
  <c r="E78" i="8" s="1"/>
  <c r="F78" i="8"/>
  <c r="G78" i="8" s="1"/>
  <c r="J78" i="8"/>
  <c r="K78" i="8" s="1"/>
  <c r="B80" i="8"/>
  <c r="C80" i="8" s="1"/>
  <c r="D80" i="8"/>
  <c r="E80" i="8" s="1"/>
  <c r="F80" i="8"/>
  <c r="G80" i="8" s="1"/>
  <c r="J80" i="8"/>
  <c r="K80" i="8" s="1"/>
  <c r="B82" i="8"/>
  <c r="C82" i="8" s="1"/>
  <c r="D82" i="8"/>
  <c r="E82" i="8" s="1"/>
  <c r="F82" i="8"/>
  <c r="G82" i="8" s="1"/>
  <c r="J82" i="8"/>
  <c r="K82" i="8" s="1"/>
  <c r="B84" i="8"/>
  <c r="C84" i="8" s="1"/>
  <c r="D84" i="8"/>
  <c r="E84" i="8" s="1"/>
  <c r="F84" i="8"/>
  <c r="G84" i="8" s="1"/>
  <c r="J84" i="8"/>
  <c r="K84" i="8" s="1"/>
  <c r="B86" i="8"/>
  <c r="C86" i="8" s="1"/>
  <c r="D86" i="8"/>
  <c r="E86" i="8" s="1"/>
  <c r="F86" i="8"/>
  <c r="G86" i="8" s="1"/>
  <c r="J86" i="8"/>
  <c r="K86" i="8" s="1"/>
  <c r="B88" i="8"/>
  <c r="C88" i="8" s="1"/>
  <c r="D88" i="8"/>
  <c r="E88" i="8" s="1"/>
  <c r="F88" i="8"/>
  <c r="G88" i="8" s="1"/>
  <c r="J88" i="8"/>
  <c r="K88" i="8" s="1"/>
  <c r="B90" i="8"/>
  <c r="C90" i="8" s="1"/>
  <c r="D90" i="8"/>
  <c r="E90" i="8" s="1"/>
  <c r="F90" i="8"/>
  <c r="G90" i="8" s="1"/>
  <c r="J90" i="8"/>
  <c r="K90" i="8" s="1"/>
  <c r="B92" i="8"/>
  <c r="C92" i="8" s="1"/>
  <c r="D92" i="8"/>
  <c r="E92" i="8" s="1"/>
  <c r="F92" i="8"/>
  <c r="G92" i="8" s="1"/>
  <c r="J92" i="8"/>
  <c r="K92" i="8" s="1"/>
  <c r="B102" i="7"/>
  <c r="C104" i="7"/>
  <c r="H104" i="7" s="1"/>
  <c r="D104" i="7"/>
  <c r="E104" i="7"/>
  <c r="F104" i="7"/>
  <c r="J104" i="7"/>
  <c r="K104" i="7"/>
  <c r="L104" i="7"/>
  <c r="N104" i="7"/>
  <c r="O104" i="7"/>
  <c r="P104" i="7"/>
  <c r="Q104" i="7"/>
  <c r="C105" i="7"/>
  <c r="H105" i="7" s="1"/>
  <c r="D105" i="7"/>
  <c r="E105" i="7"/>
  <c r="F105" i="7"/>
  <c r="J105" i="7"/>
  <c r="K105" i="7"/>
  <c r="L105" i="7"/>
  <c r="N105" i="7"/>
  <c r="O105" i="7"/>
  <c r="P105" i="7"/>
  <c r="Q105" i="7"/>
  <c r="C106" i="7"/>
  <c r="H106" i="7" s="1"/>
  <c r="D106" i="7"/>
  <c r="E106" i="7"/>
  <c r="F106" i="7"/>
  <c r="J106" i="7"/>
  <c r="K106" i="7"/>
  <c r="L106" i="7"/>
  <c r="N106" i="7"/>
  <c r="O106" i="7"/>
  <c r="P106" i="7"/>
  <c r="Q106" i="7"/>
  <c r="C107" i="7"/>
  <c r="I107" i="7" s="1"/>
  <c r="D107" i="7"/>
  <c r="E107" i="7"/>
  <c r="F107" i="7"/>
  <c r="J107" i="7"/>
  <c r="K107" i="7"/>
  <c r="L107" i="7"/>
  <c r="N107" i="7"/>
  <c r="O107" i="7"/>
  <c r="P107" i="7"/>
  <c r="Q107" i="7"/>
  <c r="C108" i="7"/>
  <c r="I108" i="7" s="1"/>
  <c r="D108" i="7"/>
  <c r="E108" i="7"/>
  <c r="F108" i="7"/>
  <c r="J108" i="7"/>
  <c r="K108" i="7"/>
  <c r="L108" i="7"/>
  <c r="N108" i="7"/>
  <c r="O108" i="7"/>
  <c r="P108" i="7"/>
  <c r="Q108" i="7"/>
  <c r="C109" i="7"/>
  <c r="H109" i="7" s="1"/>
  <c r="D109" i="7"/>
  <c r="E109" i="7"/>
  <c r="F109" i="7"/>
  <c r="J109" i="7"/>
  <c r="K109" i="7"/>
  <c r="L109" i="7"/>
  <c r="N109" i="7"/>
  <c r="O109" i="7"/>
  <c r="P109" i="7"/>
  <c r="Q109" i="7"/>
  <c r="C110" i="7"/>
  <c r="H110" i="7" s="1"/>
  <c r="D110" i="7"/>
  <c r="E110" i="7"/>
  <c r="F110" i="7"/>
  <c r="J110" i="7"/>
  <c r="K110" i="7"/>
  <c r="L110" i="7"/>
  <c r="N110" i="7"/>
  <c r="O110" i="7"/>
  <c r="P110" i="7"/>
  <c r="Q110" i="7"/>
  <c r="C111" i="7"/>
  <c r="I111" i="7" s="1"/>
  <c r="D111" i="7"/>
  <c r="E111" i="7"/>
  <c r="F111" i="7"/>
  <c r="J111" i="7"/>
  <c r="K111" i="7"/>
  <c r="L111" i="7"/>
  <c r="N111" i="7"/>
  <c r="O111" i="7"/>
  <c r="P111" i="7"/>
  <c r="Q111" i="7"/>
  <c r="C112" i="7"/>
  <c r="H112" i="7" s="1"/>
  <c r="D112" i="7"/>
  <c r="E112" i="7"/>
  <c r="F112" i="7"/>
  <c r="J112" i="7"/>
  <c r="K112" i="7"/>
  <c r="L112" i="7"/>
  <c r="N112" i="7"/>
  <c r="O112" i="7"/>
  <c r="P112" i="7"/>
  <c r="Q112" i="7"/>
  <c r="C113" i="7"/>
  <c r="H113" i="7" s="1"/>
  <c r="D113" i="7"/>
  <c r="E113" i="7"/>
  <c r="F113" i="7"/>
  <c r="J113" i="7"/>
  <c r="K113" i="7"/>
  <c r="L113" i="7"/>
  <c r="N113" i="7"/>
  <c r="O113" i="7"/>
  <c r="P113" i="7"/>
  <c r="Q113" i="7"/>
  <c r="C122" i="7"/>
  <c r="H122" i="7" s="1"/>
  <c r="D122" i="7"/>
  <c r="E122" i="7"/>
  <c r="F122" i="7"/>
  <c r="J122" i="7"/>
  <c r="K122" i="7"/>
  <c r="L122" i="7"/>
  <c r="N122" i="7"/>
  <c r="O122" i="7"/>
  <c r="P122" i="7"/>
  <c r="Q122" i="7"/>
  <c r="C123" i="7"/>
  <c r="I123" i="7" s="1"/>
  <c r="D123" i="7"/>
  <c r="E123" i="7"/>
  <c r="F123" i="7"/>
  <c r="J123" i="7"/>
  <c r="K123" i="7"/>
  <c r="L123" i="7"/>
  <c r="N123" i="7"/>
  <c r="O123" i="7"/>
  <c r="P123" i="7"/>
  <c r="Q123" i="7"/>
  <c r="C124" i="7"/>
  <c r="H124" i="7" s="1"/>
  <c r="D124" i="7"/>
  <c r="E124" i="7"/>
  <c r="F124" i="7"/>
  <c r="J124" i="7"/>
  <c r="K124" i="7"/>
  <c r="L124" i="7"/>
  <c r="N124" i="7"/>
  <c r="O124" i="7"/>
  <c r="P124" i="7"/>
  <c r="Q124" i="7"/>
  <c r="C125" i="7"/>
  <c r="H125" i="7" s="1"/>
  <c r="D125" i="7"/>
  <c r="E125" i="7"/>
  <c r="F125" i="7"/>
  <c r="J125" i="7"/>
  <c r="K125" i="7"/>
  <c r="L125" i="7"/>
  <c r="N125" i="7"/>
  <c r="O125" i="7"/>
  <c r="P125" i="7"/>
  <c r="Q125" i="7"/>
  <c r="C126" i="7"/>
  <c r="H126" i="7" s="1"/>
  <c r="D126" i="7"/>
  <c r="E126" i="7"/>
  <c r="F126" i="7"/>
  <c r="J126" i="7"/>
  <c r="K126" i="7"/>
  <c r="L126" i="7"/>
  <c r="N126" i="7"/>
  <c r="O126" i="7"/>
  <c r="P126" i="7"/>
  <c r="Q126" i="7"/>
  <c r="C127" i="7"/>
  <c r="I127" i="7" s="1"/>
  <c r="D127" i="7"/>
  <c r="E127" i="7"/>
  <c r="F127" i="7"/>
  <c r="J127" i="7"/>
  <c r="K127" i="7"/>
  <c r="L127" i="7"/>
  <c r="N127" i="7"/>
  <c r="O127" i="7"/>
  <c r="P127" i="7"/>
  <c r="Q127" i="7"/>
  <c r="C128" i="7"/>
  <c r="H128" i="7" s="1"/>
  <c r="D128" i="7"/>
  <c r="E128" i="7"/>
  <c r="F128" i="7"/>
  <c r="J128" i="7"/>
  <c r="K128" i="7"/>
  <c r="L128" i="7"/>
  <c r="N128" i="7"/>
  <c r="O128" i="7"/>
  <c r="P128" i="7"/>
  <c r="Q128" i="7"/>
  <c r="C129" i="7"/>
  <c r="H129" i="7" s="1"/>
  <c r="D129" i="7"/>
  <c r="E129" i="7"/>
  <c r="F129" i="7"/>
  <c r="J129" i="7"/>
  <c r="K129" i="7"/>
  <c r="L129" i="7"/>
  <c r="N129" i="7"/>
  <c r="O129" i="7"/>
  <c r="P129" i="7"/>
  <c r="Q129" i="7"/>
  <c r="C130" i="7"/>
  <c r="H130" i="7" s="1"/>
  <c r="D130" i="7"/>
  <c r="E130" i="7"/>
  <c r="F130" i="7"/>
  <c r="J130" i="7"/>
  <c r="K130" i="7"/>
  <c r="L130" i="7"/>
  <c r="N130" i="7"/>
  <c r="O130" i="7"/>
  <c r="P130" i="7"/>
  <c r="Q130" i="7"/>
  <c r="C131" i="7"/>
  <c r="I131" i="7" s="1"/>
  <c r="D131" i="7"/>
  <c r="E131" i="7"/>
  <c r="F131" i="7"/>
  <c r="J131" i="7"/>
  <c r="K131" i="7"/>
  <c r="L131" i="7"/>
  <c r="N131" i="7"/>
  <c r="O131" i="7"/>
  <c r="P131" i="7"/>
  <c r="Q131" i="7"/>
  <c r="C140" i="7"/>
  <c r="H140" i="7" s="1"/>
  <c r="D140" i="7"/>
  <c r="E140" i="7"/>
  <c r="F140" i="7"/>
  <c r="J140" i="7"/>
  <c r="K140" i="7"/>
  <c r="L140" i="7"/>
  <c r="N140" i="7"/>
  <c r="O140" i="7"/>
  <c r="P140" i="7"/>
  <c r="Q140" i="7"/>
  <c r="C141" i="7"/>
  <c r="H141" i="7" s="1"/>
  <c r="D141" i="7"/>
  <c r="E141" i="7"/>
  <c r="F141" i="7"/>
  <c r="J141" i="7"/>
  <c r="K141" i="7"/>
  <c r="L141" i="7"/>
  <c r="N141" i="7"/>
  <c r="O141" i="7"/>
  <c r="P141" i="7"/>
  <c r="Q141" i="7"/>
  <c r="C142" i="7"/>
  <c r="H142" i="7" s="1"/>
  <c r="D142" i="7"/>
  <c r="E142" i="7"/>
  <c r="F142" i="7"/>
  <c r="J142" i="7"/>
  <c r="K142" i="7"/>
  <c r="L142" i="7"/>
  <c r="N142" i="7"/>
  <c r="O142" i="7"/>
  <c r="P142" i="7"/>
  <c r="Q142" i="7"/>
  <c r="C143" i="7"/>
  <c r="I143" i="7" s="1"/>
  <c r="D143" i="7"/>
  <c r="E143" i="7"/>
  <c r="F143" i="7"/>
  <c r="J143" i="7"/>
  <c r="K143" i="7"/>
  <c r="L143" i="7"/>
  <c r="N143" i="7"/>
  <c r="O143" i="7"/>
  <c r="P143" i="7"/>
  <c r="Q143" i="7"/>
  <c r="C144" i="7"/>
  <c r="H144" i="7" s="1"/>
  <c r="D144" i="7"/>
  <c r="E144" i="7"/>
  <c r="F144" i="7"/>
  <c r="J144" i="7"/>
  <c r="K144" i="7"/>
  <c r="L144" i="7"/>
  <c r="N144" i="7"/>
  <c r="O144" i="7"/>
  <c r="P144" i="7"/>
  <c r="Q144" i="7"/>
  <c r="C145" i="7"/>
  <c r="H145" i="7" s="1"/>
  <c r="D145" i="7"/>
  <c r="E145" i="7"/>
  <c r="F145" i="7"/>
  <c r="J145" i="7"/>
  <c r="K145" i="7"/>
  <c r="L145" i="7"/>
  <c r="N145" i="7"/>
  <c r="O145" i="7"/>
  <c r="P145" i="7"/>
  <c r="Q145" i="7"/>
  <c r="C146" i="7"/>
  <c r="H146" i="7" s="1"/>
  <c r="D146" i="7"/>
  <c r="E146" i="7"/>
  <c r="F146" i="7"/>
  <c r="J146" i="7"/>
  <c r="K146" i="7"/>
  <c r="L146" i="7"/>
  <c r="N146" i="7"/>
  <c r="O146" i="7"/>
  <c r="P146" i="7"/>
  <c r="Q146" i="7"/>
  <c r="C147" i="7"/>
  <c r="I147" i="7" s="1"/>
  <c r="D147" i="7"/>
  <c r="E147" i="7"/>
  <c r="F147" i="7"/>
  <c r="J147" i="7"/>
  <c r="K147" i="7"/>
  <c r="L147" i="7"/>
  <c r="N147" i="7"/>
  <c r="O147" i="7"/>
  <c r="P147" i="7"/>
  <c r="Q147" i="7"/>
  <c r="C148" i="7"/>
  <c r="H148" i="7" s="1"/>
  <c r="D148" i="7"/>
  <c r="E148" i="7"/>
  <c r="F148" i="7"/>
  <c r="J148" i="7"/>
  <c r="K148" i="7"/>
  <c r="L148" i="7"/>
  <c r="N148" i="7"/>
  <c r="O148" i="7"/>
  <c r="P148" i="7"/>
  <c r="Q148" i="7"/>
  <c r="C149" i="7"/>
  <c r="H149" i="7" s="1"/>
  <c r="D149" i="7"/>
  <c r="E149" i="7"/>
  <c r="F149" i="7"/>
  <c r="J149" i="7"/>
  <c r="K149" i="7"/>
  <c r="L149" i="7"/>
  <c r="N149" i="7"/>
  <c r="O149" i="7"/>
  <c r="P149" i="7"/>
  <c r="Q149" i="7"/>
  <c r="C150" i="7"/>
  <c r="H150" i="7" s="1"/>
  <c r="D150" i="7"/>
  <c r="E150" i="7"/>
  <c r="F150" i="7"/>
  <c r="J150" i="7"/>
  <c r="K150" i="7"/>
  <c r="L150" i="7"/>
  <c r="N150" i="7"/>
  <c r="O150" i="7"/>
  <c r="P150" i="7"/>
  <c r="Q150" i="7"/>
  <c r="C151" i="7"/>
  <c r="I151" i="7" s="1"/>
  <c r="D151" i="7"/>
  <c r="E151" i="7"/>
  <c r="F151" i="7"/>
  <c r="J151" i="7"/>
  <c r="K151" i="7"/>
  <c r="L151" i="7"/>
  <c r="N151" i="7"/>
  <c r="O151" i="7"/>
  <c r="P151" i="7"/>
  <c r="Q151" i="7"/>
  <c r="C152" i="7"/>
  <c r="H152" i="7" s="1"/>
  <c r="D152" i="7"/>
  <c r="E152" i="7"/>
  <c r="F152" i="7"/>
  <c r="J152" i="7"/>
  <c r="K152" i="7"/>
  <c r="L152" i="7"/>
  <c r="N152" i="7"/>
  <c r="O152" i="7"/>
  <c r="P152" i="7"/>
  <c r="Q152" i="7"/>
  <c r="C153" i="7"/>
  <c r="H153" i="7" s="1"/>
  <c r="D153" i="7"/>
  <c r="E153" i="7"/>
  <c r="F153" i="7"/>
  <c r="J153" i="7"/>
  <c r="K153" i="7"/>
  <c r="L153" i="7"/>
  <c r="N153" i="7"/>
  <c r="O153" i="7"/>
  <c r="P153" i="7"/>
  <c r="Q153" i="7"/>
  <c r="C154" i="7"/>
  <c r="H154" i="7" s="1"/>
  <c r="D154" i="7"/>
  <c r="E154" i="7"/>
  <c r="F154" i="7"/>
  <c r="J154" i="7"/>
  <c r="K154" i="7"/>
  <c r="L154" i="7"/>
  <c r="N154" i="7"/>
  <c r="O154" i="7"/>
  <c r="P154" i="7"/>
  <c r="Q154" i="7"/>
  <c r="C155" i="7"/>
  <c r="I155" i="7" s="1"/>
  <c r="D155" i="7"/>
  <c r="E155" i="7"/>
  <c r="F155" i="7"/>
  <c r="J155" i="7"/>
  <c r="K155" i="7"/>
  <c r="L155" i="7"/>
  <c r="N155" i="7"/>
  <c r="O155" i="7"/>
  <c r="P155" i="7"/>
  <c r="Q155" i="7"/>
  <c r="C156" i="7"/>
  <c r="H156" i="7" s="1"/>
  <c r="D156" i="7"/>
  <c r="E156" i="7"/>
  <c r="F156" i="7"/>
  <c r="J156" i="7"/>
  <c r="K156" i="7"/>
  <c r="L156" i="7"/>
  <c r="N156" i="7"/>
  <c r="O156" i="7"/>
  <c r="P156" i="7"/>
  <c r="Q156" i="7"/>
  <c r="C162" i="7"/>
  <c r="H162" i="7" s="1"/>
  <c r="D162" i="7"/>
  <c r="E162" i="7"/>
  <c r="F162" i="7"/>
  <c r="J162" i="7"/>
  <c r="K162" i="7"/>
  <c r="L162" i="7"/>
  <c r="N162" i="7"/>
  <c r="O162" i="7"/>
  <c r="P162" i="7"/>
  <c r="Q162" i="7"/>
  <c r="C163" i="7"/>
  <c r="H163" i="7" s="1"/>
  <c r="D163" i="7"/>
  <c r="E163" i="7"/>
  <c r="F163" i="7"/>
  <c r="J163" i="7"/>
  <c r="K163" i="7"/>
  <c r="L163" i="7"/>
  <c r="N163" i="7"/>
  <c r="O163" i="7"/>
  <c r="P163" i="7"/>
  <c r="Q163" i="7"/>
  <c r="C164" i="7"/>
  <c r="I164" i="7" s="1"/>
  <c r="D164" i="7"/>
  <c r="E164" i="7"/>
  <c r="F164" i="7"/>
  <c r="J164" i="7"/>
  <c r="K164" i="7"/>
  <c r="L164" i="7"/>
  <c r="N164" i="7"/>
  <c r="O164" i="7"/>
  <c r="P164" i="7"/>
  <c r="Q164" i="7"/>
  <c r="C165" i="7"/>
  <c r="H165" i="7" s="1"/>
  <c r="D165" i="7"/>
  <c r="E165" i="7"/>
  <c r="F165" i="7"/>
  <c r="J165" i="7"/>
  <c r="K165" i="7"/>
  <c r="L165" i="7"/>
  <c r="N165" i="7"/>
  <c r="O165" i="7"/>
  <c r="P165" i="7"/>
  <c r="Q165" i="7"/>
  <c r="C166" i="7"/>
  <c r="H166" i="7" s="1"/>
  <c r="D166" i="7"/>
  <c r="E166" i="7"/>
  <c r="F166" i="7"/>
  <c r="J166" i="7"/>
  <c r="K166" i="7"/>
  <c r="L166" i="7"/>
  <c r="N166" i="7"/>
  <c r="O166" i="7"/>
  <c r="P166" i="7"/>
  <c r="Q166" i="7"/>
  <c r="C172" i="7"/>
  <c r="H172" i="7" s="1"/>
  <c r="D172" i="7"/>
  <c r="E172" i="7"/>
  <c r="F172" i="7"/>
  <c r="J172" i="7"/>
  <c r="K172" i="7"/>
  <c r="L172" i="7"/>
  <c r="N172" i="7"/>
  <c r="O172" i="7"/>
  <c r="P172" i="7"/>
  <c r="Q172" i="7"/>
  <c r="C173" i="7"/>
  <c r="I173" i="7" s="1"/>
  <c r="D173" i="7"/>
  <c r="E173" i="7"/>
  <c r="F173" i="7"/>
  <c r="J173" i="7"/>
  <c r="K173" i="7"/>
  <c r="L173" i="7"/>
  <c r="N173" i="7"/>
  <c r="O173" i="7"/>
  <c r="P173" i="7"/>
  <c r="Q173" i="7"/>
  <c r="C174" i="7"/>
  <c r="H174" i="7" s="1"/>
  <c r="D174" i="7"/>
  <c r="E174" i="7"/>
  <c r="F174" i="7"/>
  <c r="J174" i="7"/>
  <c r="K174" i="7"/>
  <c r="L174" i="7"/>
  <c r="N174" i="7"/>
  <c r="O174" i="7"/>
  <c r="P174" i="7"/>
  <c r="Q174" i="7"/>
  <c r="C175" i="7"/>
  <c r="H175" i="7" s="1"/>
  <c r="D175" i="7"/>
  <c r="E175" i="7"/>
  <c r="F175" i="7"/>
  <c r="J175" i="7"/>
  <c r="K175" i="7"/>
  <c r="L175" i="7"/>
  <c r="N175" i="7"/>
  <c r="O175" i="7"/>
  <c r="P175" i="7"/>
  <c r="Q175" i="7"/>
  <c r="C176" i="7"/>
  <c r="H176" i="7" s="1"/>
  <c r="D176" i="7"/>
  <c r="E176" i="7"/>
  <c r="F176" i="7"/>
  <c r="J176" i="7"/>
  <c r="K176" i="7"/>
  <c r="L176" i="7"/>
  <c r="N176" i="7"/>
  <c r="O176" i="7"/>
  <c r="P176" i="7"/>
  <c r="Q176" i="7"/>
  <c r="C177" i="7"/>
  <c r="I177" i="7" s="1"/>
  <c r="D177" i="7"/>
  <c r="E177" i="7"/>
  <c r="F177" i="7"/>
  <c r="J177" i="7"/>
  <c r="K177" i="7"/>
  <c r="L177" i="7"/>
  <c r="N177" i="7"/>
  <c r="O177" i="7"/>
  <c r="P177" i="7"/>
  <c r="Q177" i="7"/>
  <c r="C181" i="7"/>
  <c r="H181" i="7" s="1"/>
  <c r="D181" i="7"/>
  <c r="E181" i="7"/>
  <c r="F181" i="7"/>
  <c r="J181" i="7"/>
  <c r="K181" i="7"/>
  <c r="L181" i="7"/>
  <c r="N181" i="7"/>
  <c r="O181" i="7"/>
  <c r="P181" i="7"/>
  <c r="Q181" i="7"/>
  <c r="C182" i="7"/>
  <c r="H182" i="7" s="1"/>
  <c r="D182" i="7"/>
  <c r="E182" i="7"/>
  <c r="F182" i="7"/>
  <c r="J182" i="7"/>
  <c r="K182" i="7"/>
  <c r="L182" i="7"/>
  <c r="N182" i="7"/>
  <c r="O182" i="7"/>
  <c r="P182" i="7"/>
  <c r="Q182" i="7"/>
  <c r="C183" i="7"/>
  <c r="H183" i="7" s="1"/>
  <c r="D183" i="7"/>
  <c r="E183" i="7"/>
  <c r="F183" i="7"/>
  <c r="J183" i="7"/>
  <c r="K183" i="7"/>
  <c r="L183" i="7"/>
  <c r="N183" i="7"/>
  <c r="O183" i="7"/>
  <c r="P183" i="7"/>
  <c r="Q183" i="7"/>
  <c r="C184" i="7"/>
  <c r="I184" i="7" s="1"/>
  <c r="D184" i="7"/>
  <c r="E184" i="7"/>
  <c r="F184" i="7"/>
  <c r="J184" i="7"/>
  <c r="K184" i="7"/>
  <c r="L184" i="7"/>
  <c r="N184" i="7"/>
  <c r="O184" i="7"/>
  <c r="P184" i="7"/>
  <c r="Q184" i="7"/>
  <c r="C185" i="7"/>
  <c r="H185" i="7" s="1"/>
  <c r="D185" i="7"/>
  <c r="E185" i="7"/>
  <c r="F185" i="7"/>
  <c r="J185" i="7"/>
  <c r="K185" i="7"/>
  <c r="L185" i="7"/>
  <c r="N185" i="7"/>
  <c r="O185" i="7"/>
  <c r="P185" i="7"/>
  <c r="Q185" i="7"/>
  <c r="C189" i="7"/>
  <c r="H189" i="7" s="1"/>
  <c r="D189" i="7"/>
  <c r="E189" i="7"/>
  <c r="F189" i="7"/>
  <c r="J189" i="7"/>
  <c r="K189" i="7"/>
  <c r="L189" i="7"/>
  <c r="N189" i="7"/>
  <c r="O189" i="7"/>
  <c r="P189" i="7"/>
  <c r="Q189" i="7"/>
  <c r="C190" i="7"/>
  <c r="H190" i="7" s="1"/>
  <c r="D190" i="7"/>
  <c r="E190" i="7"/>
  <c r="F190" i="7"/>
  <c r="J190" i="7"/>
  <c r="K190" i="7"/>
  <c r="L190" i="7"/>
  <c r="N190" i="7"/>
  <c r="O190" i="7"/>
  <c r="P190" i="7"/>
  <c r="Q190" i="7"/>
  <c r="C191" i="7"/>
  <c r="I191" i="7" s="1"/>
  <c r="D191" i="7"/>
  <c r="E191" i="7"/>
  <c r="F191" i="7"/>
  <c r="J191" i="7"/>
  <c r="K191" i="7"/>
  <c r="L191" i="7"/>
  <c r="N191" i="7"/>
  <c r="O191" i="7"/>
  <c r="P191" i="7"/>
  <c r="Q191" i="7"/>
  <c r="C192" i="7"/>
  <c r="I192" i="7" s="1"/>
  <c r="D192" i="7"/>
  <c r="E192" i="7"/>
  <c r="F192" i="7"/>
  <c r="J192" i="7"/>
  <c r="K192" i="7"/>
  <c r="L192" i="7"/>
  <c r="N192" i="7"/>
  <c r="O192" i="7"/>
  <c r="P192" i="7"/>
  <c r="Q192" i="7"/>
  <c r="C193" i="7"/>
  <c r="H193" i="7" s="1"/>
  <c r="D193" i="7"/>
  <c r="E193" i="7"/>
  <c r="F193" i="7"/>
  <c r="J193" i="7"/>
  <c r="K193" i="7"/>
  <c r="L193" i="7"/>
  <c r="N193" i="7"/>
  <c r="O193" i="7"/>
  <c r="P193" i="7"/>
  <c r="Q193" i="7"/>
  <c r="C194" i="7"/>
  <c r="H194" i="7" s="1"/>
  <c r="D194" i="7"/>
  <c r="E194" i="7"/>
  <c r="F194" i="7"/>
  <c r="J194" i="7"/>
  <c r="K194" i="7"/>
  <c r="L194" i="7"/>
  <c r="N194" i="7"/>
  <c r="O194" i="7"/>
  <c r="P194" i="7"/>
  <c r="Q194" i="7"/>
  <c r="C195" i="7"/>
  <c r="I195" i="7" s="1"/>
  <c r="D195" i="7"/>
  <c r="E195" i="7"/>
  <c r="F195" i="7"/>
  <c r="J195" i="7"/>
  <c r="K195" i="7"/>
  <c r="L195" i="7"/>
  <c r="N195" i="7"/>
  <c r="O195" i="7"/>
  <c r="P195" i="7"/>
  <c r="Q195" i="7"/>
  <c r="C196" i="7"/>
  <c r="H196" i="7" s="1"/>
  <c r="D196" i="7"/>
  <c r="E196" i="7"/>
  <c r="F196" i="7"/>
  <c r="J196" i="7"/>
  <c r="K196" i="7"/>
  <c r="L196" i="7"/>
  <c r="N196" i="7"/>
  <c r="O196" i="7"/>
  <c r="P196" i="7"/>
  <c r="Q196" i="7"/>
  <c r="C197" i="7"/>
  <c r="H197" i="7" s="1"/>
  <c r="D197" i="7"/>
  <c r="E197" i="7"/>
  <c r="F197" i="7"/>
  <c r="J197" i="7"/>
  <c r="K197" i="7"/>
  <c r="L197" i="7"/>
  <c r="N197" i="7"/>
  <c r="O197" i="7"/>
  <c r="P197" i="7"/>
  <c r="Q197" i="7"/>
  <c r="C198" i="7"/>
  <c r="H198" i="7" s="1"/>
  <c r="D198" i="7"/>
  <c r="E198" i="7"/>
  <c r="F198" i="7"/>
  <c r="J198" i="7"/>
  <c r="K198" i="7"/>
  <c r="L198" i="7"/>
  <c r="N198" i="7"/>
  <c r="O198" i="7"/>
  <c r="P198" i="7"/>
  <c r="Q198" i="7"/>
  <c r="C202" i="7"/>
  <c r="I202" i="7" s="1"/>
  <c r="D202" i="7"/>
  <c r="E202" i="7"/>
  <c r="F202" i="7"/>
  <c r="J202" i="7"/>
  <c r="K202" i="7"/>
  <c r="L202" i="7"/>
  <c r="N202" i="7"/>
  <c r="O202" i="7"/>
  <c r="P202" i="7"/>
  <c r="Q202" i="7"/>
  <c r="C203" i="7"/>
  <c r="H203" i="7" s="1"/>
  <c r="D203" i="7"/>
  <c r="E203" i="7"/>
  <c r="F203" i="7"/>
  <c r="J203" i="7"/>
  <c r="K203" i="7"/>
  <c r="L203" i="7"/>
  <c r="N203" i="7"/>
  <c r="O203" i="7"/>
  <c r="P203" i="7"/>
  <c r="Q203" i="7"/>
  <c r="C204" i="7"/>
  <c r="H204" i="7" s="1"/>
  <c r="D204" i="7"/>
  <c r="E204" i="7"/>
  <c r="F204" i="7"/>
  <c r="J204" i="7"/>
  <c r="K204" i="7"/>
  <c r="L204" i="7"/>
  <c r="N204" i="7"/>
  <c r="O204" i="7"/>
  <c r="P204" i="7"/>
  <c r="Q204" i="7"/>
  <c r="C205" i="7"/>
  <c r="H205" i="7" s="1"/>
  <c r="D205" i="7"/>
  <c r="E205" i="7"/>
  <c r="F205" i="7"/>
  <c r="J205" i="7"/>
  <c r="K205" i="7"/>
  <c r="L205" i="7"/>
  <c r="N205" i="7"/>
  <c r="O205" i="7"/>
  <c r="P205" i="7"/>
  <c r="Q205" i="7"/>
  <c r="C206" i="7"/>
  <c r="I206" i="7" s="1"/>
  <c r="D206" i="7"/>
  <c r="E206" i="7"/>
  <c r="F206" i="7"/>
  <c r="J206" i="7"/>
  <c r="K206" i="7"/>
  <c r="L206" i="7"/>
  <c r="N206" i="7"/>
  <c r="O206" i="7"/>
  <c r="P206" i="7"/>
  <c r="Q206" i="7"/>
  <c r="C207" i="7"/>
  <c r="H207" i="7" s="1"/>
  <c r="D207" i="7"/>
  <c r="E207" i="7"/>
  <c r="F207" i="7"/>
  <c r="J207" i="7"/>
  <c r="K207" i="7"/>
  <c r="L207" i="7"/>
  <c r="N207" i="7"/>
  <c r="O207" i="7"/>
  <c r="P207" i="7"/>
  <c r="Q207" i="7"/>
  <c r="C208" i="7"/>
  <c r="H208" i="7" s="1"/>
  <c r="D208" i="7"/>
  <c r="E208" i="7"/>
  <c r="F208" i="7"/>
  <c r="J208" i="7"/>
  <c r="K208" i="7"/>
  <c r="L208" i="7"/>
  <c r="N208" i="7"/>
  <c r="O208" i="7"/>
  <c r="P208" i="7"/>
  <c r="Q208" i="7"/>
  <c r="C209" i="7"/>
  <c r="H209" i="7" s="1"/>
  <c r="D209" i="7"/>
  <c r="E209" i="7"/>
  <c r="F209" i="7"/>
  <c r="J209" i="7"/>
  <c r="K209" i="7"/>
  <c r="L209" i="7"/>
  <c r="N209" i="7"/>
  <c r="O209" i="7"/>
  <c r="P209" i="7"/>
  <c r="Q209" i="7"/>
  <c r="C210" i="7"/>
  <c r="I210" i="7" s="1"/>
  <c r="D210" i="7"/>
  <c r="E210" i="7"/>
  <c r="F210" i="7"/>
  <c r="J210" i="7"/>
  <c r="K210" i="7"/>
  <c r="L210" i="7"/>
  <c r="N210" i="7"/>
  <c r="O210" i="7"/>
  <c r="P210" i="7"/>
  <c r="Q210" i="7"/>
  <c r="C211" i="7"/>
  <c r="H211" i="7" s="1"/>
  <c r="D211" i="7"/>
  <c r="E211" i="7"/>
  <c r="F211" i="7"/>
  <c r="J211" i="7"/>
  <c r="K211" i="7"/>
  <c r="L211" i="7"/>
  <c r="N211" i="7"/>
  <c r="O211" i="7"/>
  <c r="P211" i="7"/>
  <c r="Q211" i="7"/>
  <c r="C212" i="7"/>
  <c r="H212" i="7" s="1"/>
  <c r="D212" i="7"/>
  <c r="E212" i="7"/>
  <c r="F212" i="7"/>
  <c r="J212" i="7"/>
  <c r="K212" i="7"/>
  <c r="L212" i="7"/>
  <c r="N212" i="7"/>
  <c r="O212" i="7"/>
  <c r="P212" i="7"/>
  <c r="Q212" i="7"/>
  <c r="C213" i="7"/>
  <c r="H213" i="7" s="1"/>
  <c r="D213" i="7"/>
  <c r="E213" i="7"/>
  <c r="F213" i="7"/>
  <c r="J213" i="7"/>
  <c r="K213" i="7"/>
  <c r="L213" i="7"/>
  <c r="N213" i="7"/>
  <c r="O213" i="7"/>
  <c r="P213" i="7"/>
  <c r="Q213" i="7"/>
  <c r="C219" i="7"/>
  <c r="I219" i="7" s="1"/>
  <c r="D219" i="7"/>
  <c r="E219" i="7"/>
  <c r="F219" i="7"/>
  <c r="J219" i="7"/>
  <c r="K219" i="7"/>
  <c r="L219" i="7"/>
  <c r="N219" i="7"/>
  <c r="O219" i="7"/>
  <c r="P219" i="7"/>
  <c r="Q219" i="7"/>
  <c r="C220" i="7"/>
  <c r="H220" i="7" s="1"/>
  <c r="D220" i="7"/>
  <c r="E220" i="7"/>
  <c r="F220" i="7"/>
  <c r="J220" i="7"/>
  <c r="K220" i="7"/>
  <c r="L220" i="7"/>
  <c r="N220" i="7"/>
  <c r="O220" i="7"/>
  <c r="P220" i="7"/>
  <c r="Q220" i="7"/>
  <c r="C221" i="7"/>
  <c r="H221" i="7" s="1"/>
  <c r="D221" i="7"/>
  <c r="E221" i="7"/>
  <c r="F221" i="7"/>
  <c r="J221" i="7"/>
  <c r="K221" i="7"/>
  <c r="L221" i="7"/>
  <c r="N221" i="7"/>
  <c r="O221" i="7"/>
  <c r="P221" i="7"/>
  <c r="Q221" i="7"/>
  <c r="C222" i="7"/>
  <c r="H222" i="7" s="1"/>
  <c r="D222" i="7"/>
  <c r="E222" i="7"/>
  <c r="F222" i="7"/>
  <c r="J222" i="7"/>
  <c r="K222" i="7"/>
  <c r="L222" i="7"/>
  <c r="N222" i="7"/>
  <c r="O222" i="7"/>
  <c r="P222" i="7"/>
  <c r="Q222" i="7"/>
  <c r="C225" i="7"/>
  <c r="I225" i="7" s="1"/>
  <c r="D225" i="7"/>
  <c r="E225" i="7"/>
  <c r="F225" i="7"/>
  <c r="J225" i="7"/>
  <c r="K225" i="7"/>
  <c r="L225" i="7"/>
  <c r="N225" i="7"/>
  <c r="O225" i="7"/>
  <c r="P225" i="7"/>
  <c r="Q225" i="7"/>
  <c r="C226" i="7"/>
  <c r="H226" i="7" s="1"/>
  <c r="D226" i="7"/>
  <c r="E226" i="7"/>
  <c r="F226" i="7"/>
  <c r="J226" i="7"/>
  <c r="K226" i="7"/>
  <c r="L226" i="7"/>
  <c r="N226" i="7"/>
  <c r="O226" i="7"/>
  <c r="P226" i="7"/>
  <c r="Q226" i="7"/>
  <c r="C227" i="7"/>
  <c r="H227" i="7" s="1"/>
  <c r="D227" i="7"/>
  <c r="E227" i="7"/>
  <c r="F227" i="7"/>
  <c r="J227" i="7"/>
  <c r="K227" i="7"/>
  <c r="L227" i="7"/>
  <c r="N227" i="7"/>
  <c r="O227" i="7"/>
  <c r="P227" i="7"/>
  <c r="Q227" i="7"/>
  <c r="C233" i="7"/>
  <c r="I233" i="7" s="1"/>
  <c r="D233" i="7"/>
  <c r="E233" i="7"/>
  <c r="F233" i="7"/>
  <c r="J233" i="7"/>
  <c r="K233" i="7"/>
  <c r="L233" i="7"/>
  <c r="N233" i="7"/>
  <c r="O233" i="7"/>
  <c r="P233" i="7"/>
  <c r="Q233" i="7"/>
  <c r="C234" i="7"/>
  <c r="I234" i="7" s="1"/>
  <c r="D234" i="7"/>
  <c r="E234" i="7"/>
  <c r="F234" i="7"/>
  <c r="J234" i="7"/>
  <c r="K234" i="7"/>
  <c r="L234" i="7"/>
  <c r="N234" i="7"/>
  <c r="O234" i="7"/>
  <c r="P234" i="7"/>
  <c r="Q234" i="7"/>
  <c r="C235" i="7"/>
  <c r="H235" i="7" s="1"/>
  <c r="D235" i="7"/>
  <c r="E235" i="7"/>
  <c r="F235" i="7"/>
  <c r="J235" i="7"/>
  <c r="K235" i="7"/>
  <c r="L235" i="7"/>
  <c r="N235" i="7"/>
  <c r="O235" i="7"/>
  <c r="P235" i="7"/>
  <c r="Q235" i="7"/>
  <c r="C236" i="7"/>
  <c r="H236" i="7" s="1"/>
  <c r="D236" i="7"/>
  <c r="E236" i="7"/>
  <c r="F236" i="7"/>
  <c r="J236" i="7"/>
  <c r="K236" i="7"/>
  <c r="L236" i="7"/>
  <c r="N236" i="7"/>
  <c r="O236" i="7"/>
  <c r="P236" i="7"/>
  <c r="Q236" i="7"/>
  <c r="C237" i="7"/>
  <c r="I237" i="7" s="1"/>
  <c r="D237" i="7"/>
  <c r="E237" i="7"/>
  <c r="F237" i="7"/>
  <c r="J237" i="7"/>
  <c r="K237" i="7"/>
  <c r="L237" i="7"/>
  <c r="N237" i="7"/>
  <c r="O237" i="7"/>
  <c r="P237" i="7"/>
  <c r="Q237" i="7"/>
  <c r="C238" i="7"/>
  <c r="I238" i="7" s="1"/>
  <c r="D238" i="7"/>
  <c r="E238" i="7"/>
  <c r="F238" i="7"/>
  <c r="J238" i="7"/>
  <c r="K238" i="7"/>
  <c r="L238" i="7"/>
  <c r="N238" i="7"/>
  <c r="O238" i="7"/>
  <c r="P238" i="7"/>
  <c r="Q238" i="7"/>
  <c r="C239" i="7"/>
  <c r="H239" i="7" s="1"/>
  <c r="D239" i="7"/>
  <c r="E239" i="7"/>
  <c r="F239" i="7"/>
  <c r="J239" i="7"/>
  <c r="K239" i="7"/>
  <c r="L239" i="7"/>
  <c r="N239" i="7"/>
  <c r="O239" i="7"/>
  <c r="P239" i="7"/>
  <c r="Q239" i="7"/>
  <c r="C246" i="7"/>
  <c r="H246" i="7" s="1"/>
  <c r="D246" i="7"/>
  <c r="E246" i="7"/>
  <c r="F246" i="7"/>
  <c r="J246" i="7"/>
  <c r="K246" i="7"/>
  <c r="L246" i="7"/>
  <c r="N246" i="7"/>
  <c r="O246" i="7"/>
  <c r="P246" i="7"/>
  <c r="Q246" i="7"/>
  <c r="C247" i="7"/>
  <c r="I247" i="7" s="1"/>
  <c r="D247" i="7"/>
  <c r="E247" i="7"/>
  <c r="F247" i="7"/>
  <c r="J247" i="7"/>
  <c r="K247" i="7"/>
  <c r="L247" i="7"/>
  <c r="N247" i="7"/>
  <c r="O247" i="7"/>
  <c r="P247" i="7"/>
  <c r="Q247" i="7"/>
  <c r="C248" i="7"/>
  <c r="H248" i="7" s="1"/>
  <c r="D248" i="7"/>
  <c r="E248" i="7"/>
  <c r="F248" i="7"/>
  <c r="J248" i="7"/>
  <c r="K248" i="7"/>
  <c r="L248" i="7"/>
  <c r="N248" i="7"/>
  <c r="O248" i="7"/>
  <c r="P248" i="7"/>
  <c r="Q248" i="7"/>
  <c r="C252" i="7"/>
  <c r="H252" i="7" s="1"/>
  <c r="D252" i="7"/>
  <c r="E252" i="7"/>
  <c r="F252" i="7"/>
  <c r="J252" i="7"/>
  <c r="K252" i="7"/>
  <c r="L252" i="7"/>
  <c r="N252" i="7"/>
  <c r="O252" i="7"/>
  <c r="P252" i="7"/>
  <c r="Q252" i="7"/>
  <c r="C253" i="7"/>
  <c r="H253" i="7" s="1"/>
  <c r="D253" i="7"/>
  <c r="E253" i="7"/>
  <c r="F253" i="7"/>
  <c r="J253" i="7"/>
  <c r="K253" i="7"/>
  <c r="L253" i="7"/>
  <c r="N253" i="7"/>
  <c r="O253" i="7"/>
  <c r="P253" i="7"/>
  <c r="Q253" i="7"/>
  <c r="C257" i="7"/>
  <c r="I257" i="7" s="1"/>
  <c r="D257" i="7"/>
  <c r="E257" i="7"/>
  <c r="F257" i="7"/>
  <c r="J257" i="7"/>
  <c r="K257" i="7"/>
  <c r="L257" i="7"/>
  <c r="N257" i="7"/>
  <c r="O257" i="7"/>
  <c r="P257" i="7"/>
  <c r="Q257" i="7"/>
  <c r="C258" i="7"/>
  <c r="H258" i="7" s="1"/>
  <c r="D258" i="7"/>
  <c r="E258" i="7"/>
  <c r="F258" i="7"/>
  <c r="J258" i="7"/>
  <c r="K258" i="7"/>
  <c r="L258" i="7"/>
  <c r="N258" i="7"/>
  <c r="O258" i="7"/>
  <c r="P258" i="7"/>
  <c r="Q258" i="7"/>
  <c r="C262" i="7"/>
  <c r="I262" i="7" s="1"/>
  <c r="D262" i="7"/>
  <c r="E262" i="7"/>
  <c r="F262" i="7"/>
  <c r="J262" i="7"/>
  <c r="K262" i="7"/>
  <c r="L262" i="7"/>
  <c r="N262" i="7"/>
  <c r="O262" i="7"/>
  <c r="P262" i="7"/>
  <c r="Q262" i="7"/>
  <c r="C263" i="7"/>
  <c r="H263" i="7" s="1"/>
  <c r="D263" i="7"/>
  <c r="E263" i="7"/>
  <c r="F263" i="7"/>
  <c r="J263" i="7"/>
  <c r="K263" i="7"/>
  <c r="L263" i="7"/>
  <c r="N263" i="7"/>
  <c r="O263" i="7"/>
  <c r="P263" i="7"/>
  <c r="Q263" i="7"/>
  <c r="A51" i="13" l="1"/>
  <c r="D50" i="13"/>
  <c r="B125" i="22"/>
  <c r="D150" i="22"/>
  <c r="D147" i="22"/>
  <c r="D149" i="22" s="1"/>
  <c r="F145" i="22"/>
  <c r="G145" i="22" s="1"/>
  <c r="H145" i="22" s="1"/>
  <c r="I145" i="22" s="1"/>
  <c r="I147" i="22" s="1"/>
  <c r="E147" i="22"/>
  <c r="E148" i="22" s="1"/>
  <c r="E149" i="22" s="1"/>
  <c r="G33" i="9"/>
  <c r="H33" i="9" s="1"/>
  <c r="G24" i="9"/>
  <c r="H24" i="9" s="1"/>
  <c r="G19" i="9"/>
  <c r="H19" i="9" s="1"/>
  <c r="G11" i="9"/>
  <c r="H11" i="9" s="1"/>
  <c r="G28" i="9"/>
  <c r="H28" i="9" s="1"/>
  <c r="G26" i="9"/>
  <c r="H26" i="9" s="1"/>
  <c r="G12" i="9"/>
  <c r="H12" i="9" s="1"/>
  <c r="G30" i="9"/>
  <c r="H30" i="9" s="1"/>
  <c r="G32" i="9"/>
  <c r="H32" i="9" s="1"/>
  <c r="G17" i="9"/>
  <c r="H17" i="9" s="1"/>
  <c r="G18" i="9"/>
  <c r="H18" i="9" s="1"/>
  <c r="G27" i="9"/>
  <c r="H27" i="9" s="1"/>
  <c r="G34" i="9"/>
  <c r="H34" i="9" s="1"/>
  <c r="G14" i="9"/>
  <c r="H14" i="9" s="1"/>
  <c r="G22" i="9"/>
  <c r="H22" i="9" s="1"/>
  <c r="G23" i="9"/>
  <c r="H23" i="9" s="1"/>
  <c r="G29" i="9"/>
  <c r="H29" i="9" s="1"/>
  <c r="G20" i="9"/>
  <c r="H20" i="9" s="1"/>
  <c r="G15" i="9"/>
  <c r="H15" i="9" s="1"/>
  <c r="G10" i="9"/>
  <c r="H10" i="9" s="1"/>
  <c r="G113" i="7"/>
  <c r="G208" i="7"/>
  <c r="G174" i="7"/>
  <c r="G193" i="7"/>
  <c r="G112" i="7"/>
  <c r="G126" i="7"/>
  <c r="H173" i="7"/>
  <c r="G236" i="7"/>
  <c r="G142" i="7"/>
  <c r="G147" i="7"/>
  <c r="G145" i="7"/>
  <c r="G144" i="7"/>
  <c r="G141" i="7"/>
  <c r="G128" i="7"/>
  <c r="G105" i="7"/>
  <c r="G104" i="7"/>
  <c r="G176" i="7"/>
  <c r="G175" i="7"/>
  <c r="G143" i="7"/>
  <c r="M125" i="7"/>
  <c r="G111" i="7"/>
  <c r="G183" i="7"/>
  <c r="G181" i="7"/>
  <c r="G122" i="7"/>
  <c r="G225" i="7"/>
  <c r="G146" i="7"/>
  <c r="G124" i="7"/>
  <c r="I125" i="7"/>
  <c r="G123" i="7"/>
  <c r="G237" i="7"/>
  <c r="G234" i="7"/>
  <c r="G197" i="7"/>
  <c r="G154" i="7"/>
  <c r="G155" i="7"/>
  <c r="G247" i="7"/>
  <c r="G153" i="7"/>
  <c r="M212" i="7"/>
  <c r="G196" i="7"/>
  <c r="G182" i="7"/>
  <c r="G198" i="7"/>
  <c r="I212" i="7"/>
  <c r="G235" i="7"/>
  <c r="G109" i="7"/>
  <c r="G162" i="7"/>
  <c r="G140" i="7"/>
  <c r="G246" i="7"/>
  <c r="G239" i="7"/>
  <c r="G207" i="7"/>
  <c r="G152" i="7"/>
  <c r="G149" i="7"/>
  <c r="G131" i="7"/>
  <c r="G130" i="7"/>
  <c r="G252" i="7"/>
  <c r="G248" i="7"/>
  <c r="G238" i="7"/>
  <c r="G210" i="7"/>
  <c r="G209" i="7"/>
  <c r="G151" i="7"/>
  <c r="G150" i="7"/>
  <c r="G192" i="7"/>
  <c r="G129" i="7"/>
  <c r="G127" i="7"/>
  <c r="G166" i="7"/>
  <c r="G148" i="7"/>
  <c r="G108" i="7"/>
  <c r="G165" i="7"/>
  <c r="G262" i="7"/>
  <c r="H164" i="7"/>
  <c r="G222" i="7"/>
  <c r="G221" i="7"/>
  <c r="G220" i="7"/>
  <c r="G219" i="7"/>
  <c r="G213" i="7"/>
  <c r="G194" i="7"/>
  <c r="H191" i="7"/>
  <c r="G190" i="7"/>
  <c r="G189" i="7"/>
  <c r="G185" i="7"/>
  <c r="G184" i="7"/>
  <c r="G177" i="7"/>
  <c r="G226" i="7"/>
  <c r="G206" i="7"/>
  <c r="G205" i="7"/>
  <c r="G204" i="7"/>
  <c r="G203" i="7"/>
  <c r="G202" i="7"/>
  <c r="H195" i="7"/>
  <c r="M175" i="7"/>
  <c r="I175" i="7"/>
  <c r="M162" i="7"/>
  <c r="I162" i="7"/>
  <c r="H155" i="7"/>
  <c r="H177" i="7"/>
  <c r="M152" i="7"/>
  <c r="I152" i="7"/>
  <c r="G263" i="7"/>
  <c r="H238" i="7"/>
  <c r="M207" i="7"/>
  <c r="I207" i="7"/>
  <c r="H210" i="7"/>
  <c r="M248" i="7"/>
  <c r="I248" i="7"/>
  <c r="H225" i="7"/>
  <c r="M196" i="7"/>
  <c r="I196" i="7"/>
  <c r="M144" i="7"/>
  <c r="I144" i="7"/>
  <c r="M220" i="7"/>
  <c r="I220" i="7"/>
  <c r="H202" i="7"/>
  <c r="H147" i="7"/>
  <c r="M141" i="7"/>
  <c r="I141" i="7"/>
  <c r="H247" i="7"/>
  <c r="H234" i="7"/>
  <c r="M204" i="7"/>
  <c r="I204" i="7"/>
  <c r="H192" i="7"/>
  <c r="M182" i="7"/>
  <c r="I182" i="7"/>
  <c r="M149" i="7"/>
  <c r="I149" i="7"/>
  <c r="M128" i="7"/>
  <c r="I128" i="7"/>
  <c r="M112" i="7"/>
  <c r="I112" i="7"/>
  <c r="H108" i="7"/>
  <c r="M105" i="7"/>
  <c r="I105" i="7"/>
  <c r="M239" i="7"/>
  <c r="I239" i="7"/>
  <c r="H219" i="7"/>
  <c r="H206" i="7"/>
  <c r="M189" i="7"/>
  <c r="I189" i="7"/>
  <c r="H151" i="7"/>
  <c r="H131" i="7"/>
  <c r="H123" i="7"/>
  <c r="G212" i="7"/>
  <c r="G211" i="7"/>
  <c r="G156" i="7"/>
  <c r="G125" i="7"/>
  <c r="G107" i="7"/>
  <c r="M252" i="7"/>
  <c r="I252" i="7"/>
  <c r="H143" i="7"/>
  <c r="H127" i="7"/>
  <c r="H111" i="7"/>
  <c r="G233" i="7"/>
  <c r="G227" i="7"/>
  <c r="H262" i="7"/>
  <c r="M234" i="7"/>
  <c r="M221" i="7"/>
  <c r="I221" i="7"/>
  <c r="M208" i="7"/>
  <c r="I208" i="7"/>
  <c r="M197" i="7"/>
  <c r="I197" i="7"/>
  <c r="M192" i="7"/>
  <c r="H184" i="7"/>
  <c r="M181" i="7"/>
  <c r="I181" i="7"/>
  <c r="M166" i="7"/>
  <c r="I166" i="7"/>
  <c r="M153" i="7"/>
  <c r="I153" i="7"/>
  <c r="M145" i="7"/>
  <c r="I145" i="7"/>
  <c r="M129" i="7"/>
  <c r="I129" i="7"/>
  <c r="M113" i="7"/>
  <c r="I113" i="7"/>
  <c r="M108" i="7"/>
  <c r="G258" i="7"/>
  <c r="H257" i="7"/>
  <c r="G253" i="7"/>
  <c r="M258" i="7"/>
  <c r="I258" i="7"/>
  <c r="M211" i="7"/>
  <c r="I211" i="7"/>
  <c r="M203" i="7"/>
  <c r="I203" i="7"/>
  <c r="M185" i="7"/>
  <c r="I185" i="7"/>
  <c r="M174" i="7"/>
  <c r="I174" i="7"/>
  <c r="M165" i="7"/>
  <c r="I165" i="7"/>
  <c r="M156" i="7"/>
  <c r="I156" i="7"/>
  <c r="M148" i="7"/>
  <c r="I148" i="7"/>
  <c r="M140" i="7"/>
  <c r="I140" i="7"/>
  <c r="M124" i="7"/>
  <c r="I124" i="7"/>
  <c r="M104" i="7"/>
  <c r="I104" i="7"/>
  <c r="M262" i="7"/>
  <c r="M238" i="7"/>
  <c r="M235" i="7"/>
  <c r="I235" i="7"/>
  <c r="H233" i="7"/>
  <c r="M225" i="7"/>
  <c r="M193" i="7"/>
  <c r="I193" i="7"/>
  <c r="M109" i="7"/>
  <c r="I109" i="7"/>
  <c r="H107" i="7"/>
  <c r="H237" i="7"/>
  <c r="M226" i="7"/>
  <c r="I226" i="7"/>
  <c r="G163" i="7"/>
  <c r="G191" i="7"/>
  <c r="G173" i="7"/>
  <c r="G164" i="7"/>
  <c r="M263" i="7"/>
  <c r="I263" i="7"/>
  <c r="M253" i="7"/>
  <c r="I253" i="7"/>
  <c r="M246" i="7"/>
  <c r="I246" i="7"/>
  <c r="M236" i="7"/>
  <c r="I236" i="7"/>
  <c r="M227" i="7"/>
  <c r="I227" i="7"/>
  <c r="M222" i="7"/>
  <c r="I222" i="7"/>
  <c r="M213" i="7"/>
  <c r="I213" i="7"/>
  <c r="M209" i="7"/>
  <c r="I209" i="7"/>
  <c r="M205" i="7"/>
  <c r="I205" i="7"/>
  <c r="M198" i="7"/>
  <c r="I198" i="7"/>
  <c r="M194" i="7"/>
  <c r="I194" i="7"/>
  <c r="M190" i="7"/>
  <c r="I190" i="7"/>
  <c r="M183" i="7"/>
  <c r="I183" i="7"/>
  <c r="M176" i="7"/>
  <c r="I176" i="7"/>
  <c r="M172" i="7"/>
  <c r="I172" i="7"/>
  <c r="M163" i="7"/>
  <c r="I163" i="7"/>
  <c r="M154" i="7"/>
  <c r="I154" i="7"/>
  <c r="M150" i="7"/>
  <c r="I150" i="7"/>
  <c r="M146" i="7"/>
  <c r="I146" i="7"/>
  <c r="M142" i="7"/>
  <c r="I142" i="7"/>
  <c r="M130" i="7"/>
  <c r="I130" i="7"/>
  <c r="M126" i="7"/>
  <c r="I126" i="7"/>
  <c r="M122" i="7"/>
  <c r="I122" i="7"/>
  <c r="M110" i="7"/>
  <c r="I110" i="7"/>
  <c r="M106" i="7"/>
  <c r="I106" i="7"/>
  <c r="G172" i="7"/>
  <c r="G110" i="7"/>
  <c r="G106" i="7"/>
  <c r="G257" i="7"/>
  <c r="G195" i="7"/>
  <c r="M257" i="7"/>
  <c r="M247" i="7"/>
  <c r="M237" i="7"/>
  <c r="M233" i="7"/>
  <c r="M219" i="7"/>
  <c r="M210" i="7"/>
  <c r="M206" i="7"/>
  <c r="M202" i="7"/>
  <c r="M195" i="7"/>
  <c r="M191" i="7"/>
  <c r="M184" i="7"/>
  <c r="M177" i="7"/>
  <c r="M173" i="7"/>
  <c r="M164" i="7"/>
  <c r="M155" i="7"/>
  <c r="M151" i="7"/>
  <c r="M147" i="7"/>
  <c r="M143" i="7"/>
  <c r="M131" i="7"/>
  <c r="M127" i="7"/>
  <c r="M123" i="7"/>
  <c r="M111" i="7"/>
  <c r="M107" i="7"/>
  <c r="D51" i="13" l="1"/>
  <c r="A52" i="13"/>
  <c r="H146" i="22"/>
  <c r="I146" i="22"/>
  <c r="I148" i="22" s="1"/>
  <c r="I149" i="22" s="1"/>
  <c r="J145" i="22"/>
  <c r="J147" i="22" s="1"/>
  <c r="G146" i="22"/>
  <c r="G147" i="22"/>
  <c r="H147" i="22"/>
  <c r="F147" i="22"/>
  <c r="F146" i="22"/>
  <c r="B46" i="6"/>
  <c r="C46" i="6"/>
  <c r="D46" i="6"/>
  <c r="E46" i="6"/>
  <c r="F46" i="6"/>
  <c r="G46" i="6"/>
  <c r="H46" i="6"/>
  <c r="I46" i="6"/>
  <c r="B65" i="6"/>
  <c r="C65" i="6"/>
  <c r="D65" i="6"/>
  <c r="E65" i="6"/>
  <c r="F65" i="6"/>
  <c r="G65" i="6"/>
  <c r="H65" i="6"/>
  <c r="B47" i="6"/>
  <c r="C47" i="6"/>
  <c r="D47" i="6"/>
  <c r="E47" i="6"/>
  <c r="F47" i="6"/>
  <c r="G47" i="6"/>
  <c r="H47" i="6"/>
  <c r="I47" i="6"/>
  <c r="B66" i="6"/>
  <c r="C66" i="6"/>
  <c r="D66" i="6"/>
  <c r="E66" i="6"/>
  <c r="F66" i="6"/>
  <c r="G66" i="6"/>
  <c r="H66" i="6"/>
  <c r="B48" i="6"/>
  <c r="C48" i="6"/>
  <c r="D48" i="6"/>
  <c r="E48" i="6"/>
  <c r="F48" i="6"/>
  <c r="G48" i="6"/>
  <c r="H48" i="6"/>
  <c r="I48" i="6"/>
  <c r="B67" i="6"/>
  <c r="C67" i="6"/>
  <c r="D67" i="6"/>
  <c r="E67" i="6"/>
  <c r="F67" i="6"/>
  <c r="G67" i="6"/>
  <c r="H67" i="6"/>
  <c r="B49" i="6"/>
  <c r="C49" i="6"/>
  <c r="D49" i="6"/>
  <c r="E49" i="6"/>
  <c r="F49" i="6"/>
  <c r="G49" i="6"/>
  <c r="H49" i="6"/>
  <c r="I49" i="6"/>
  <c r="B68" i="6"/>
  <c r="C68" i="6"/>
  <c r="D68" i="6"/>
  <c r="E68" i="6"/>
  <c r="F68" i="6"/>
  <c r="G68" i="6"/>
  <c r="H68" i="6"/>
  <c r="B50" i="6"/>
  <c r="C50" i="6"/>
  <c r="D50" i="6"/>
  <c r="E50" i="6"/>
  <c r="F50" i="6"/>
  <c r="G50" i="6"/>
  <c r="H50" i="6"/>
  <c r="I50" i="6"/>
  <c r="B69" i="6"/>
  <c r="C69" i="6"/>
  <c r="D69" i="6"/>
  <c r="E69" i="6"/>
  <c r="F69" i="6"/>
  <c r="G69" i="6"/>
  <c r="H69" i="6"/>
  <c r="B51" i="6"/>
  <c r="C51" i="6"/>
  <c r="D51" i="6"/>
  <c r="E51" i="6"/>
  <c r="F51" i="6"/>
  <c r="G51" i="6"/>
  <c r="H51" i="6"/>
  <c r="I51" i="6"/>
  <c r="B70" i="6"/>
  <c r="C70" i="6"/>
  <c r="D70" i="6"/>
  <c r="E70" i="6"/>
  <c r="F70" i="6"/>
  <c r="G70" i="6"/>
  <c r="H70" i="6"/>
  <c r="B52" i="6"/>
  <c r="C52" i="6"/>
  <c r="D52" i="6"/>
  <c r="E52" i="6"/>
  <c r="F52" i="6"/>
  <c r="G52" i="6"/>
  <c r="H52" i="6"/>
  <c r="I52" i="6"/>
  <c r="B71" i="6"/>
  <c r="C71" i="6"/>
  <c r="D71" i="6"/>
  <c r="E71" i="6"/>
  <c r="F71" i="6"/>
  <c r="G71" i="6"/>
  <c r="H71" i="6"/>
  <c r="B53" i="6"/>
  <c r="C53" i="6"/>
  <c r="D53" i="6"/>
  <c r="E53" i="6"/>
  <c r="F53" i="6"/>
  <c r="G53" i="6"/>
  <c r="H53" i="6"/>
  <c r="I53" i="6"/>
  <c r="B72" i="6"/>
  <c r="C72" i="6"/>
  <c r="D72" i="6"/>
  <c r="E72" i="6"/>
  <c r="F72" i="6"/>
  <c r="G72" i="6"/>
  <c r="H72" i="6"/>
  <c r="B54" i="6"/>
  <c r="C54" i="6"/>
  <c r="D54" i="6"/>
  <c r="E54" i="6"/>
  <c r="F54" i="6"/>
  <c r="G54" i="6"/>
  <c r="H54" i="6"/>
  <c r="I54" i="6"/>
  <c r="B73" i="6"/>
  <c r="C73" i="6"/>
  <c r="D73" i="6"/>
  <c r="E73" i="6"/>
  <c r="F73" i="6"/>
  <c r="G73" i="6"/>
  <c r="H73" i="6"/>
  <c r="B55" i="6"/>
  <c r="C55" i="6"/>
  <c r="D55" i="6"/>
  <c r="E55" i="6"/>
  <c r="F55" i="6"/>
  <c r="G55" i="6"/>
  <c r="H55" i="6"/>
  <c r="I55" i="6"/>
  <c r="B74" i="6"/>
  <c r="C74" i="6"/>
  <c r="D74" i="6"/>
  <c r="E74" i="6"/>
  <c r="F74" i="6"/>
  <c r="G74" i="6"/>
  <c r="H74" i="6"/>
  <c r="B56" i="6"/>
  <c r="C56" i="6"/>
  <c r="D56" i="6"/>
  <c r="E56" i="6"/>
  <c r="F56" i="6"/>
  <c r="G56" i="6"/>
  <c r="H56" i="6"/>
  <c r="I56" i="6"/>
  <c r="B75" i="6"/>
  <c r="C75" i="6"/>
  <c r="D75" i="6"/>
  <c r="E75" i="6"/>
  <c r="F75" i="6"/>
  <c r="G75" i="6"/>
  <c r="H75" i="6"/>
  <c r="B57" i="6"/>
  <c r="C57" i="6"/>
  <c r="D57" i="6"/>
  <c r="E57" i="6"/>
  <c r="F57" i="6"/>
  <c r="G57" i="6"/>
  <c r="H57" i="6"/>
  <c r="I57" i="6"/>
  <c r="B76" i="6"/>
  <c r="C76" i="6"/>
  <c r="D76" i="6"/>
  <c r="E76" i="6"/>
  <c r="F76" i="6"/>
  <c r="G76" i="6"/>
  <c r="H76" i="6"/>
  <c r="B58" i="6"/>
  <c r="C58" i="6"/>
  <c r="D58" i="6"/>
  <c r="E58" i="6"/>
  <c r="F58" i="6"/>
  <c r="G58" i="6"/>
  <c r="H58" i="6"/>
  <c r="I58" i="6"/>
  <c r="B77" i="6"/>
  <c r="C77" i="6"/>
  <c r="D77" i="6"/>
  <c r="E77" i="6"/>
  <c r="F77" i="6"/>
  <c r="G77" i="6"/>
  <c r="H77" i="6"/>
  <c r="B59" i="6"/>
  <c r="C59" i="6"/>
  <c r="D59" i="6"/>
  <c r="E59" i="6"/>
  <c r="F59" i="6"/>
  <c r="G59" i="6"/>
  <c r="H59" i="6"/>
  <c r="I59" i="6"/>
  <c r="B78" i="6"/>
  <c r="C78" i="6"/>
  <c r="D78" i="6"/>
  <c r="E78" i="6"/>
  <c r="F78" i="6"/>
  <c r="G78" i="6"/>
  <c r="H78" i="6"/>
  <c r="B60" i="6"/>
  <c r="C60" i="6"/>
  <c r="D60" i="6"/>
  <c r="E60" i="6"/>
  <c r="F60" i="6"/>
  <c r="G60" i="6"/>
  <c r="H60" i="6"/>
  <c r="I60" i="6"/>
  <c r="B79" i="6"/>
  <c r="C79" i="6"/>
  <c r="D79" i="6"/>
  <c r="E79" i="6"/>
  <c r="F79" i="6"/>
  <c r="G79" i="6"/>
  <c r="H79" i="6"/>
  <c r="B61" i="6"/>
  <c r="C61" i="6"/>
  <c r="D61" i="6"/>
  <c r="E61" i="6"/>
  <c r="F61" i="6"/>
  <c r="G61" i="6"/>
  <c r="H61" i="6"/>
  <c r="I61" i="6"/>
  <c r="B80" i="6"/>
  <c r="C80" i="6"/>
  <c r="D80" i="6"/>
  <c r="E80" i="6"/>
  <c r="F80" i="6"/>
  <c r="G80" i="6"/>
  <c r="H80" i="6"/>
  <c r="B4" i="5"/>
  <c r="A5" i="5" s="1"/>
  <c r="B5" i="5" s="1"/>
  <c r="A6" i="5" s="1"/>
  <c r="B6" i="5" s="1"/>
  <c r="A7" i="5" s="1"/>
  <c r="B7" i="5" s="1"/>
  <c r="A8" i="5" s="1"/>
  <c r="B8" i="5" s="1"/>
  <c r="A9" i="5" s="1"/>
  <c r="B9" i="5" s="1"/>
  <c r="A10" i="5" s="1"/>
  <c r="B10" i="5" s="1"/>
  <c r="A11" i="5" s="1"/>
  <c r="B11" i="5" s="1"/>
  <c r="A12" i="5" s="1"/>
  <c r="B12" i="5" s="1"/>
  <c r="A13" i="5" s="1"/>
  <c r="B13" i="5" s="1"/>
  <c r="A14" i="5" s="1"/>
  <c r="B14" i="5" s="1"/>
  <c r="A15" i="5" s="1"/>
  <c r="B15" i="5" s="1"/>
  <c r="A16" i="5" s="1"/>
  <c r="B16" i="5" s="1"/>
  <c r="A17" i="5" s="1"/>
  <c r="B17" i="5" s="1"/>
  <c r="A18" i="5" s="1"/>
  <c r="B18" i="5" s="1"/>
  <c r="A19" i="5" s="1"/>
  <c r="B19" i="5" s="1"/>
  <c r="A20" i="5" s="1"/>
  <c r="B20" i="5" s="1"/>
  <c r="A21" i="5" s="1"/>
  <c r="B21" i="5" s="1"/>
  <c r="A22" i="5" s="1"/>
  <c r="B22" i="5" s="1"/>
  <c r="A23" i="5" s="1"/>
  <c r="B23" i="5" s="1"/>
  <c r="A24" i="5" s="1"/>
  <c r="B24" i="5" s="1"/>
  <c r="A25" i="5" s="1"/>
  <c r="B25" i="5" s="1"/>
  <c r="A26" i="5" s="1"/>
  <c r="B26" i="5" s="1"/>
  <c r="A27" i="5" s="1"/>
  <c r="B27" i="5" s="1"/>
  <c r="A28" i="5" s="1"/>
  <c r="B28" i="5" s="1"/>
  <c r="A29" i="5" s="1"/>
  <c r="B29" i="5" s="1"/>
  <c r="A30" i="5" s="1"/>
  <c r="B30" i="5" s="1"/>
  <c r="A31" i="5" s="1"/>
  <c r="B31" i="5" s="1"/>
  <c r="A32" i="5" s="1"/>
  <c r="B32" i="5" s="1"/>
  <c r="A33" i="5" s="1"/>
  <c r="B33" i="5" s="1"/>
  <c r="A34" i="5" s="1"/>
  <c r="B34" i="5" s="1"/>
  <c r="A35" i="5" s="1"/>
  <c r="B35" i="5" s="1"/>
  <c r="A36" i="5" s="1"/>
  <c r="B36" i="5" s="1"/>
  <c r="A37" i="5" s="1"/>
  <c r="B37" i="5" s="1"/>
  <c r="A38" i="5" s="1"/>
  <c r="B38" i="5" s="1"/>
  <c r="A39" i="5" s="1"/>
  <c r="B39" i="5" s="1"/>
  <c r="A40" i="5" s="1"/>
  <c r="B40" i="5" s="1"/>
  <c r="A41" i="5" s="1"/>
  <c r="B41" i="5" s="1"/>
  <c r="A42" i="5" s="1"/>
  <c r="B42" i="5" s="1"/>
  <c r="A43" i="5" s="1"/>
  <c r="B43" i="5" s="1"/>
  <c r="A44" i="5" s="1"/>
  <c r="B44" i="5" s="1"/>
  <c r="B46" i="4"/>
  <c r="K46" i="4" s="1"/>
  <c r="L46" i="4" s="1"/>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A53" i="13" l="1"/>
  <c r="A54" i="13" s="1"/>
  <c r="D52" i="13"/>
  <c r="D53" i="13"/>
  <c r="K145" i="22"/>
  <c r="K147" i="22" s="1"/>
  <c r="J146" i="22"/>
  <c r="J148" i="22" s="1"/>
  <c r="J149" i="22" s="1"/>
  <c r="H148" i="22"/>
  <c r="H149" i="22" s="1"/>
  <c r="F148" i="22"/>
  <c r="F149" i="22" s="1"/>
  <c r="G148" i="22"/>
  <c r="G149" i="22" s="1"/>
  <c r="C74" i="4"/>
  <c r="D74" i="4" s="1"/>
  <c r="I74" i="4"/>
  <c r="J74" i="4" s="1"/>
  <c r="K74" i="4"/>
  <c r="L74" i="4" s="1"/>
  <c r="C66" i="4"/>
  <c r="D66" i="4" s="1"/>
  <c r="I66" i="4"/>
  <c r="J66" i="4" s="1"/>
  <c r="K66" i="4"/>
  <c r="L66" i="4" s="1"/>
  <c r="C58" i="4"/>
  <c r="D58" i="4" s="1"/>
  <c r="I58" i="4"/>
  <c r="J58" i="4" s="1"/>
  <c r="K58" i="4"/>
  <c r="L58" i="4" s="1"/>
  <c r="C73" i="4"/>
  <c r="D73" i="4" s="1"/>
  <c r="I73" i="4"/>
  <c r="J73" i="4" s="1"/>
  <c r="K73" i="4"/>
  <c r="L73" i="4" s="1"/>
  <c r="C65" i="4"/>
  <c r="D65" i="4" s="1"/>
  <c r="I65" i="4"/>
  <c r="J65" i="4" s="1"/>
  <c r="K65" i="4"/>
  <c r="L65" i="4" s="1"/>
  <c r="C53" i="4"/>
  <c r="D53" i="4" s="1"/>
  <c r="I53" i="4"/>
  <c r="J53" i="4" s="1"/>
  <c r="K53" i="4"/>
  <c r="L53" i="4" s="1"/>
  <c r="C75" i="4"/>
  <c r="D75" i="4" s="1"/>
  <c r="I75" i="4"/>
  <c r="J75" i="4" s="1"/>
  <c r="K75" i="4"/>
  <c r="L75" i="4" s="1"/>
  <c r="C71" i="4"/>
  <c r="D71" i="4" s="1"/>
  <c r="I71" i="4"/>
  <c r="J71" i="4" s="1"/>
  <c r="K71" i="4"/>
  <c r="L71" i="4" s="1"/>
  <c r="C67" i="4"/>
  <c r="D67" i="4" s="1"/>
  <c r="I67" i="4"/>
  <c r="J67" i="4" s="1"/>
  <c r="K67" i="4"/>
  <c r="L67" i="4" s="1"/>
  <c r="C63" i="4"/>
  <c r="D63" i="4" s="1"/>
  <c r="I63" i="4"/>
  <c r="J63" i="4" s="1"/>
  <c r="K63" i="4"/>
  <c r="L63" i="4" s="1"/>
  <c r="C59" i="4"/>
  <c r="D59" i="4" s="1"/>
  <c r="I59" i="4"/>
  <c r="J59" i="4" s="1"/>
  <c r="K59" i="4"/>
  <c r="L59" i="4" s="1"/>
  <c r="C55" i="4"/>
  <c r="D55" i="4" s="1"/>
  <c r="I55" i="4"/>
  <c r="J55" i="4" s="1"/>
  <c r="K55" i="4"/>
  <c r="L55" i="4" s="1"/>
  <c r="C51" i="4"/>
  <c r="D51" i="4" s="1"/>
  <c r="I51" i="4"/>
  <c r="J51" i="4" s="1"/>
  <c r="K51" i="4"/>
  <c r="L51" i="4" s="1"/>
  <c r="C47" i="4"/>
  <c r="D47" i="4" s="1"/>
  <c r="I47" i="4"/>
  <c r="J47" i="4" s="1"/>
  <c r="K47" i="4"/>
  <c r="L47" i="4" s="1"/>
  <c r="C70" i="4"/>
  <c r="D70" i="4" s="1"/>
  <c r="I70" i="4"/>
  <c r="J70" i="4" s="1"/>
  <c r="K70" i="4"/>
  <c r="L70" i="4" s="1"/>
  <c r="C62" i="4"/>
  <c r="D62" i="4" s="1"/>
  <c r="I62" i="4"/>
  <c r="J62" i="4" s="1"/>
  <c r="K62" i="4"/>
  <c r="L62" i="4" s="1"/>
  <c r="C54" i="4"/>
  <c r="D54" i="4" s="1"/>
  <c r="I54" i="4"/>
  <c r="J54" i="4" s="1"/>
  <c r="K54" i="4"/>
  <c r="L54" i="4" s="1"/>
  <c r="C50" i="4"/>
  <c r="D50" i="4" s="1"/>
  <c r="I50" i="4"/>
  <c r="J50" i="4" s="1"/>
  <c r="K50" i="4"/>
  <c r="L50" i="4" s="1"/>
  <c r="C69" i="4"/>
  <c r="D69" i="4" s="1"/>
  <c r="I69" i="4"/>
  <c r="J69" i="4" s="1"/>
  <c r="K69" i="4"/>
  <c r="L69" i="4" s="1"/>
  <c r="C61" i="4"/>
  <c r="D61" i="4" s="1"/>
  <c r="I61" i="4"/>
  <c r="J61" i="4" s="1"/>
  <c r="K61" i="4"/>
  <c r="L61" i="4" s="1"/>
  <c r="C57" i="4"/>
  <c r="D57" i="4" s="1"/>
  <c r="I57" i="4"/>
  <c r="J57" i="4" s="1"/>
  <c r="K57" i="4"/>
  <c r="L57" i="4" s="1"/>
  <c r="C49" i="4"/>
  <c r="D49" i="4" s="1"/>
  <c r="I49" i="4"/>
  <c r="J49" i="4" s="1"/>
  <c r="K49" i="4"/>
  <c r="L49" i="4" s="1"/>
  <c r="C76" i="4"/>
  <c r="D76" i="4" s="1"/>
  <c r="I76" i="4"/>
  <c r="J76" i="4" s="1"/>
  <c r="K76" i="4"/>
  <c r="L76" i="4" s="1"/>
  <c r="C72" i="4"/>
  <c r="D72" i="4" s="1"/>
  <c r="I72" i="4"/>
  <c r="J72" i="4" s="1"/>
  <c r="K72" i="4"/>
  <c r="L72" i="4" s="1"/>
  <c r="C68" i="4"/>
  <c r="D68" i="4" s="1"/>
  <c r="I68" i="4"/>
  <c r="J68" i="4" s="1"/>
  <c r="K68" i="4"/>
  <c r="L68" i="4" s="1"/>
  <c r="C64" i="4"/>
  <c r="D64" i="4" s="1"/>
  <c r="I64" i="4"/>
  <c r="J64" i="4" s="1"/>
  <c r="K64" i="4"/>
  <c r="L64" i="4" s="1"/>
  <c r="C60" i="4"/>
  <c r="D60" i="4" s="1"/>
  <c r="I60" i="4"/>
  <c r="J60" i="4" s="1"/>
  <c r="K60" i="4"/>
  <c r="L60" i="4" s="1"/>
  <c r="C56" i="4"/>
  <c r="D56" i="4" s="1"/>
  <c r="I56" i="4"/>
  <c r="J56" i="4" s="1"/>
  <c r="K56" i="4"/>
  <c r="L56" i="4" s="1"/>
  <c r="C52" i="4"/>
  <c r="D52" i="4" s="1"/>
  <c r="I52" i="4"/>
  <c r="J52" i="4" s="1"/>
  <c r="K52" i="4"/>
  <c r="L52" i="4" s="1"/>
  <c r="C48" i="4"/>
  <c r="D48" i="4" s="1"/>
  <c r="I48" i="4"/>
  <c r="J48" i="4" s="1"/>
  <c r="K48" i="4"/>
  <c r="L48" i="4" s="1"/>
  <c r="C46" i="4"/>
  <c r="I46" i="4"/>
  <c r="J46" i="4" s="1"/>
  <c r="A55" i="13" l="1"/>
  <c r="D54" i="13"/>
  <c r="A56" i="13"/>
  <c r="D55" i="13"/>
  <c r="L145" i="22"/>
  <c r="M145" i="22" s="1"/>
  <c r="M147" i="22" s="1"/>
  <c r="K146" i="22"/>
  <c r="K148" i="22" s="1"/>
  <c r="K149" i="22" s="1"/>
  <c r="D46" i="4"/>
  <c r="A57" i="13" l="1"/>
  <c r="D56" i="13"/>
  <c r="A58" i="13"/>
  <c r="D57" i="13"/>
  <c r="M146" i="22"/>
  <c r="M148" i="22" s="1"/>
  <c r="M149" i="22" s="1"/>
  <c r="L146" i="22"/>
  <c r="L147" i="22"/>
  <c r="A59" i="13" l="1"/>
  <c r="D58" i="13"/>
  <c r="B138" i="22"/>
  <c r="B137" i="22" s="1"/>
  <c r="L148" i="22"/>
  <c r="L149" i="22" s="1"/>
  <c r="A60" i="13" l="1"/>
  <c r="D59" i="13"/>
  <c r="B139" i="22"/>
  <c r="B140" i="22" s="1"/>
  <c r="B141" i="22" s="1"/>
  <c r="D138" i="22"/>
  <c r="D137" i="22" s="1"/>
  <c r="A61" i="13" l="1"/>
  <c r="D60" i="13"/>
  <c r="D139" i="22"/>
  <c r="D140" i="22" s="1"/>
  <c r="D141" i="22" s="1"/>
  <c r="A62" i="13" l="1"/>
  <c r="A63" i="13" s="1"/>
  <c r="D61" i="13"/>
  <c r="D62" i="13"/>
  <c r="A64" i="13" l="1"/>
  <c r="D63" i="13"/>
  <c r="A65" i="13" l="1"/>
  <c r="A66" i="13" s="1"/>
  <c r="D64" i="13"/>
  <c r="D65" i="13"/>
  <c r="D67" i="13"/>
  <c r="A67" i="13" l="1"/>
  <c r="A68" i="13" s="1"/>
  <c r="D66" i="13"/>
  <c r="A69" i="13" l="1"/>
  <c r="D68" i="13"/>
  <c r="D80" i="13"/>
  <c r="A70" i="13" l="1"/>
  <c r="D69" i="13"/>
  <c r="D71" i="13"/>
  <c r="D72" i="13"/>
  <c r="A71" i="13" l="1"/>
  <c r="A72" i="13" s="1"/>
  <c r="A73" i="13" s="1"/>
  <c r="A74" i="13" s="1"/>
  <c r="D70" i="13"/>
  <c r="D73" i="13"/>
  <c r="D77" i="13"/>
  <c r="D78" i="13"/>
  <c r="A75" i="13" l="1"/>
  <c r="D74" i="13"/>
  <c r="A76" i="13"/>
  <c r="D75" i="13"/>
  <c r="D79" i="13"/>
  <c r="A77" i="13" l="1"/>
  <c r="A78" i="13" s="1"/>
  <c r="A79" i="13" s="1"/>
  <c r="A80" i="13" s="1"/>
  <c r="A81" i="13" s="1"/>
  <c r="D76" i="13"/>
  <c r="D82" i="13"/>
  <c r="D84" i="13"/>
  <c r="H222" i="30"/>
  <c r="H196" i="30"/>
  <c r="J232" i="30"/>
  <c r="J242" i="30"/>
  <c r="J238" i="30"/>
  <c r="J196" i="30"/>
  <c r="J186" i="30"/>
  <c r="J192" i="30"/>
  <c r="J241" i="30"/>
  <c r="J240" i="30"/>
  <c r="J247" i="30"/>
  <c r="J227" i="30"/>
  <c r="J249" i="30"/>
  <c r="J228" i="30"/>
  <c r="J246" i="30"/>
  <c r="J189" i="30"/>
  <c r="J222" i="30"/>
  <c r="J244" i="30"/>
  <c r="J245" i="30"/>
  <c r="A82" i="13" l="1"/>
  <c r="A83" i="13" s="1"/>
  <c r="D81" i="13"/>
  <c r="A84" i="13"/>
  <c r="A85" i="13" s="1"/>
  <c r="D83" i="13"/>
  <c r="I246" i="30"/>
  <c r="T173" i="30"/>
  <c r="I228" i="30"/>
  <c r="T155" i="30"/>
  <c r="I238" i="30"/>
  <c r="T165" i="30"/>
  <c r="I242" i="30"/>
  <c r="T169" i="30"/>
  <c r="I247" i="30"/>
  <c r="T174" i="30"/>
  <c r="I240" i="30"/>
  <c r="T167" i="30"/>
  <c r="I241" i="30"/>
  <c r="T168" i="30"/>
  <c r="I249" i="30"/>
  <c r="T176" i="30"/>
  <c r="I227" i="30"/>
  <c r="T154" i="30"/>
  <c r="I245" i="30"/>
  <c r="T172" i="30"/>
  <c r="I232" i="30"/>
  <c r="T159" i="30"/>
  <c r="I244" i="30"/>
  <c r="T171" i="30"/>
  <c r="I222" i="30"/>
  <c r="S270" i="30" s="1"/>
  <c r="T270" i="30"/>
  <c r="I192" i="30"/>
  <c r="S240" i="30" s="1"/>
  <c r="T240" i="30"/>
  <c r="I186" i="30"/>
  <c r="S234" i="30" s="1"/>
  <c r="T234" i="30"/>
  <c r="I196" i="30"/>
  <c r="S244" i="30" s="1"/>
  <c r="T244" i="30"/>
  <c r="G196" i="30"/>
  <c r="Q244" i="30" s="1"/>
  <c r="R244" i="30"/>
  <c r="G222" i="30"/>
  <c r="Q270" i="30" s="1"/>
  <c r="R270" i="30"/>
  <c r="I189" i="30"/>
  <c r="S237" i="30" s="1"/>
  <c r="T237" i="30"/>
  <c r="A86" i="13" l="1"/>
  <c r="D85" i="13"/>
  <c r="S165" i="30"/>
  <c r="H238" i="30"/>
  <c r="R165" i="30" s="1"/>
  <c r="S167" i="30"/>
  <c r="H240" i="30"/>
  <c r="R167" i="30" s="1"/>
  <c r="S171" i="30"/>
  <c r="H244" i="30"/>
  <c r="R171" i="30" s="1"/>
  <c r="S172" i="30"/>
  <c r="H245" i="30"/>
  <c r="R172" i="30" s="1"/>
  <c r="S169" i="30"/>
  <c r="H242" i="30"/>
  <c r="R169" i="30" s="1"/>
  <c r="S176" i="30"/>
  <c r="H249" i="30"/>
  <c r="R176" i="30" s="1"/>
  <c r="S159" i="30"/>
  <c r="H232" i="30"/>
  <c r="R159" i="30" s="1"/>
  <c r="S174" i="30"/>
  <c r="H247" i="30"/>
  <c r="R174" i="30" s="1"/>
  <c r="S168" i="30"/>
  <c r="H241" i="30"/>
  <c r="R168" i="30" s="1"/>
  <c r="S173" i="30"/>
  <c r="H246" i="30"/>
  <c r="R173" i="30" s="1"/>
  <c r="S155" i="30"/>
  <c r="H228" i="30"/>
  <c r="R155" i="30" s="1"/>
  <c r="S154" i="30"/>
  <c r="H227" i="30"/>
  <c r="R154" i="30" s="1"/>
  <c r="A87" i="13" l="1"/>
  <c r="D86" i="13"/>
  <c r="D88" i="13"/>
  <c r="A88" i="13" l="1"/>
  <c r="A89" i="13" s="1"/>
  <c r="D87" i="13"/>
  <c r="A90" i="13"/>
  <c r="A91" i="13" s="1"/>
  <c r="D89" i="13"/>
  <c r="D90" i="13"/>
  <c r="A92" i="13" l="1"/>
  <c r="D91" i="13"/>
  <c r="A93" i="13"/>
  <c r="D92" i="13"/>
  <c r="A94" i="13" l="1"/>
  <c r="D93" i="13"/>
  <c r="A95" i="13" l="1"/>
  <c r="D94" i="13"/>
  <c r="A96" i="13"/>
  <c r="D96" i="13" s="1"/>
  <c r="D95" i="1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<sst xmlns="http://schemas.openxmlformats.org/spreadsheetml/2006/main" count="19750" uniqueCount="7111">
  <si>
    <t>Notes</t>
  </si>
  <si>
    <t>Type</t>
  </si>
  <si>
    <t>Age</t>
  </si>
  <si>
    <t>Double²</t>
  </si>
  <si>
    <t>Triple³</t>
  </si>
  <si>
    <r>
      <t>Quadruple</t>
    </r>
    <r>
      <rPr>
        <i/>
        <vertAlign val="superscript"/>
        <sz val="8"/>
        <rFont val="Verdana"/>
        <family val="2"/>
      </rPr>
      <t>4</t>
    </r>
  </si>
  <si>
    <t>complot</t>
  </si>
  <si>
    <t>union</t>
  </si>
  <si>
    <t>naissance</t>
  </si>
  <si>
    <t>réunion</t>
  </si>
  <si>
    <t>crime</t>
  </si>
  <si>
    <t>nouvelle religion</t>
  </si>
  <si>
    <t>secte</t>
  </si>
  <si>
    <t>traité</t>
  </si>
  <si>
    <t>message</t>
  </si>
  <si>
    <t>révélation</t>
  </si>
  <si>
    <t>découverte</t>
  </si>
  <si>
    <t>science</t>
  </si>
  <si>
    <t>éboulement</t>
  </si>
  <si>
    <t>courtisan</t>
  </si>
  <si>
    <t>amour</t>
  </si>
  <si>
    <t>race</t>
  </si>
  <si>
    <t>créature</t>
  </si>
  <si>
    <t>feu de forêt</t>
  </si>
  <si>
    <t>cauchemar</t>
  </si>
  <si>
    <t>relique</t>
  </si>
  <si>
    <t>destructions</t>
  </si>
  <si>
    <t>invasion</t>
  </si>
  <si>
    <t>épidémie</t>
  </si>
  <si>
    <t>meurtre</t>
  </si>
  <si>
    <t>attaque barbare</t>
  </si>
  <si>
    <t>glissement de terrain</t>
  </si>
  <si>
    <t>catastrophe</t>
  </si>
  <si>
    <t>monstre</t>
  </si>
  <si>
    <t>guerre</t>
  </si>
  <si>
    <t>révolte</t>
  </si>
  <si>
    <t>tremblement de terre</t>
  </si>
  <si>
    <t>dispute</t>
  </si>
  <si>
    <t>magie</t>
  </si>
  <si>
    <t>chasse aux sorcières</t>
  </si>
  <si>
    <t>mystère</t>
  </si>
  <si>
    <t>légende</t>
  </si>
  <si>
    <t>bataille</t>
  </si>
  <si>
    <t>temple</t>
  </si>
  <si>
    <t>conversion</t>
  </si>
  <si>
    <t>métier</t>
  </si>
  <si>
    <t>territoire</t>
  </si>
  <si>
    <t>réfugiés</t>
  </si>
  <si>
    <t>trésor</t>
  </si>
  <si>
    <t>appauvrissement</t>
  </si>
  <si>
    <t>connaissance</t>
  </si>
  <si>
    <t>folie</t>
  </si>
  <si>
    <t>empoisonnement</t>
  </si>
  <si>
    <t>déflation</t>
  </si>
  <si>
    <t>enrichissement</t>
  </si>
  <si>
    <t>terre</t>
  </si>
  <si>
    <t>frontière</t>
  </si>
  <si>
    <t>inondation</t>
  </si>
  <si>
    <t>trahison</t>
  </si>
  <si>
    <t>intriguant</t>
  </si>
  <si>
    <t>statut social</t>
  </si>
  <si>
    <t>vague crime</t>
  </si>
  <si>
    <t>crime majeur</t>
  </si>
  <si>
    <t>visite importante</t>
  </si>
  <si>
    <t>sous influence</t>
  </si>
  <si>
    <t>mort</t>
  </si>
  <si>
    <t>guerre civile</t>
  </si>
  <si>
    <t>rébellion</t>
  </si>
  <si>
    <t>mariage</t>
  </si>
  <si>
    <t>massacres</t>
  </si>
  <si>
    <t>assassinat</t>
  </si>
  <si>
    <t>criminel notoire</t>
  </si>
  <si>
    <t>aventure</t>
  </si>
  <si>
    <t>exploit</t>
  </si>
  <si>
    <t>révoltes</t>
  </si>
  <si>
    <t>cannibalisme</t>
  </si>
  <si>
    <t>festin</t>
  </si>
  <si>
    <t>cœur</t>
  </si>
  <si>
    <t>inquisition</t>
  </si>
  <si>
    <t>église</t>
  </si>
  <si>
    <t>grande bataille</t>
  </si>
  <si>
    <t>artistique</t>
  </si>
  <si>
    <t>mariage royal</t>
  </si>
  <si>
    <t>fantôme</t>
  </si>
  <si>
    <t>accident</t>
  </si>
  <si>
    <t>incident</t>
  </si>
  <si>
    <t>accords</t>
  </si>
  <si>
    <t>commerce</t>
  </si>
  <si>
    <t>jacquerie</t>
  </si>
  <si>
    <t>grand départ</t>
  </si>
  <si>
    <t>voyage</t>
  </si>
  <si>
    <t>sécheresse</t>
  </si>
  <si>
    <t>vague chaleur</t>
  </si>
  <si>
    <t>mouvement politique</t>
  </si>
  <si>
    <t>intrigue</t>
  </si>
  <si>
    <t>témoin</t>
  </si>
  <si>
    <t>incendies</t>
  </si>
  <si>
    <t>feu</t>
  </si>
  <si>
    <t>mercenaires rôdant</t>
  </si>
  <si>
    <t>maladies</t>
  </si>
  <si>
    <t>santé</t>
  </si>
  <si>
    <t>famine</t>
  </si>
  <si>
    <t>bétail</t>
  </si>
  <si>
    <t>étranger vengeur</t>
  </si>
  <si>
    <t>revenu régulier</t>
  </si>
  <si>
    <t>ressource</t>
  </si>
  <si>
    <t>croissance population</t>
  </si>
  <si>
    <t>mouvement population</t>
  </si>
  <si>
    <t>mouvement de troupe</t>
  </si>
  <si>
    <t>relation amoureuse</t>
  </si>
  <si>
    <t>disparition</t>
  </si>
  <si>
    <t>maladie personnalité</t>
  </si>
  <si>
    <t>recrutement</t>
  </si>
  <si>
    <t>escroquerie</t>
  </si>
  <si>
    <t>vol</t>
  </si>
  <si>
    <t>implication</t>
  </si>
  <si>
    <t>mission</t>
  </si>
  <si>
    <t>affaires</t>
  </si>
  <si>
    <t>enquête</t>
  </si>
  <si>
    <t>injustice</t>
  </si>
  <si>
    <t>justice</t>
  </si>
  <si>
    <t>minorité</t>
  </si>
  <si>
    <t>persécution</t>
  </si>
  <si>
    <t xml:space="preserve">incursion </t>
  </si>
  <si>
    <t>fête</t>
  </si>
  <si>
    <t>visite dignitaire</t>
  </si>
  <si>
    <t>feu majeur</t>
  </si>
  <si>
    <t>escarmouche</t>
  </si>
  <si>
    <t>combat</t>
  </si>
  <si>
    <t>Royaume</t>
  </si>
  <si>
    <t>- -</t>
  </si>
  <si>
    <t>décret</t>
  </si>
  <si>
    <t>loi</t>
  </si>
  <si>
    <t>tempête</t>
  </si>
  <si>
    <t>possessions</t>
  </si>
  <si>
    <t>mobilier</t>
  </si>
  <si>
    <t>Région</t>
  </si>
  <si>
    <t>-</t>
  </si>
  <si>
    <t>accord</t>
  </si>
  <si>
    <t>guilde</t>
  </si>
  <si>
    <t>inflation</t>
  </si>
  <si>
    <t>revenu</t>
  </si>
  <si>
    <t>Lieu</t>
  </si>
  <si>
    <t>nourriture</t>
  </si>
  <si>
    <t>intrigue locale</t>
  </si>
  <si>
    <t>créature de nuit</t>
  </si>
  <si>
    <t>rencontre</t>
  </si>
  <si>
    <t>=</t>
  </si>
  <si>
    <t>présage</t>
  </si>
  <si>
    <t>météo</t>
  </si>
  <si>
    <t>feu mineur</t>
  </si>
  <si>
    <t>hérésie</t>
  </si>
  <si>
    <t>religion</t>
  </si>
  <si>
    <t>Groupe</t>
  </si>
  <si>
    <t>récolte</t>
  </si>
  <si>
    <t>personnalité</t>
  </si>
  <si>
    <t>lien</t>
  </si>
  <si>
    <t>relation</t>
  </si>
  <si>
    <t>économie</t>
  </si>
  <si>
    <t xml:space="preserve">taxe </t>
  </si>
  <si>
    <t>emploi</t>
  </si>
  <si>
    <t>politique</t>
  </si>
  <si>
    <t>immigration</t>
  </si>
  <si>
    <t>migration</t>
  </si>
  <si>
    <t>travail</t>
  </si>
  <si>
    <t>Personne</t>
  </si>
  <si>
    <t>+</t>
  </si>
  <si>
    <t>médecine</t>
  </si>
  <si>
    <t>histoire</t>
  </si>
  <si>
    <t>troubles</t>
  </si>
  <si>
    <t>brigandage</t>
  </si>
  <si>
    <t>bandits</t>
  </si>
  <si>
    <t>famille</t>
  </si>
  <si>
    <t>++</t>
  </si>
  <si>
    <t>chevalerie</t>
  </si>
  <si>
    <t>Tournoi</t>
  </si>
  <si>
    <t>Récolte</t>
  </si>
  <si>
    <t>Butin</t>
  </si>
  <si>
    <t>D10</t>
  </si>
  <si>
    <t>PlusMoins</t>
  </si>
  <si>
    <t>D100</t>
  </si>
  <si>
    <t>5-0</t>
  </si>
  <si>
    <t>+50%</t>
  </si>
  <si>
    <t>très courant</t>
  </si>
  <si>
    <t>3-4</t>
  </si>
  <si>
    <t>+20%</t>
  </si>
  <si>
    <t>courant</t>
  </si>
  <si>
    <t>2</t>
  </si>
  <si>
    <t>-40%</t>
  </si>
  <si>
    <t>rare</t>
  </si>
  <si>
    <t>1</t>
  </si>
  <si>
    <t>-80%</t>
  </si>
  <si>
    <t>très rare</t>
  </si>
  <si>
    <t>rareté</t>
  </si>
  <si>
    <t>-30%</t>
  </si>
  <si>
    <t>sans rapport</t>
  </si>
  <si>
    <t>-20%</t>
  </si>
  <si>
    <t>spécialisé</t>
  </si>
  <si>
    <t>-10%</t>
  </si>
  <si>
    <t>itinérant</t>
  </si>
  <si>
    <t>0</t>
  </si>
  <si>
    <t>marché local</t>
  </si>
  <si>
    <t>vin</t>
  </si>
  <si>
    <t>+10%</t>
  </si>
  <si>
    <t>foire</t>
  </si>
  <si>
    <t>vêtements</t>
  </si>
  <si>
    <t>véhicule</t>
  </si>
  <si>
    <t>-50%</t>
  </si>
  <si>
    <t>marché noir</t>
  </si>
  <si>
    <t>vaisselle</t>
  </si>
  <si>
    <t>vendeur</t>
  </si>
  <si>
    <t>terrain</t>
  </si>
  <si>
    <t>spectacle</t>
  </si>
  <si>
    <t>selon</t>
  </si>
  <si>
    <t>talents</t>
  </si>
  <si>
    <t>service professionnel</t>
  </si>
  <si>
    <t>acheteur local</t>
  </si>
  <si>
    <t>produits d'animaux</t>
  </si>
  <si>
    <t>acheteur étranger</t>
  </si>
  <si>
    <t>plaisir</t>
  </si>
  <si>
    <t>IC - d100</t>
  </si>
  <si>
    <t>charisme</t>
  </si>
  <si>
    <t>peaux</t>
  </si>
  <si>
    <t>influence</t>
  </si>
  <si>
    <t>ouvriers</t>
  </si>
  <si>
    <t>outillage</t>
  </si>
  <si>
    <t>8. Calcul du prix</t>
  </si>
  <si>
    <t>florissante</t>
  </si>
  <si>
    <t>7. Calcul de la quantité</t>
  </si>
  <si>
    <t>-25%</t>
  </si>
  <si>
    <t>déprimée</t>
  </si>
  <si>
    <t>musique</t>
  </si>
  <si>
    <t>5. D10 pour rareté</t>
  </si>
  <si>
    <t>monture</t>
  </si>
  <si>
    <t>4. D10 pour origine</t>
  </si>
  <si>
    <t>3. 3 x D10 pour particularité</t>
  </si>
  <si>
    <t>hiver</t>
  </si>
  <si>
    <t>minéraux</t>
  </si>
  <si>
    <t>2. D10 pour qualité</t>
  </si>
  <si>
    <t>automne</t>
  </si>
  <si>
    <t>maison</t>
  </si>
  <si>
    <t>1. D1000 pour type produit</t>
  </si>
  <si>
    <t>été</t>
  </si>
  <si>
    <t>printemps</t>
  </si>
  <si>
    <t>livre</t>
  </si>
  <si>
    <t>Qu'y a-t-il de disponible ?</t>
  </si>
  <si>
    <t>saison</t>
  </si>
  <si>
    <t>joallerie</t>
  </si>
  <si>
    <t>imprimerie</t>
  </si>
  <si>
    <t>0 si 1/D100</t>
  </si>
  <si>
    <t>-90%</t>
  </si>
  <si>
    <t>autre race</t>
  </si>
  <si>
    <t>herbes</t>
  </si>
  <si>
    <t>9</t>
  </si>
  <si>
    <t>étrangère</t>
  </si>
  <si>
    <t>graines</t>
  </si>
  <si>
    <t>8</t>
  </si>
  <si>
    <t>nationale</t>
  </si>
  <si>
    <t>fourrure</t>
  </si>
  <si>
    <t>6-7</t>
  </si>
  <si>
    <t>régionale</t>
  </si>
  <si>
    <t>fourniture maison</t>
  </si>
  <si>
    <t>1-5</t>
  </si>
  <si>
    <t>locale</t>
  </si>
  <si>
    <t>étrange</t>
  </si>
  <si>
    <t>on inverse le signe des modifs totaux</t>
  </si>
  <si>
    <t>origine du produit</t>
  </si>
  <si>
    <t>esclaves</t>
  </si>
  <si>
    <t>&gt;+100</t>
  </si>
  <si>
    <t>équipement militaire</t>
  </si>
  <si>
    <t>+50..+100</t>
  </si>
  <si>
    <t>épices</t>
  </si>
  <si>
    <t>-50..+50</t>
  </si>
  <si>
    <t>taille spéciale</t>
  </si>
  <si>
    <t>engin</t>
  </si>
  <si>
    <t>-100..-50</t>
  </si>
  <si>
    <t>forme spéciale</t>
  </si>
  <si>
    <t>écrits</t>
  </si>
  <si>
    <t>&lt;-100</t>
  </si>
  <si>
    <t>traitement spécial</t>
  </si>
  <si>
    <t>construction</t>
  </si>
  <si>
    <t>8-9</t>
  </si>
  <si>
    <t>5-7</t>
  </si>
  <si>
    <t>1-4</t>
  </si>
  <si>
    <t>Modif</t>
  </si>
  <si>
    <t xml:space="preserve">particularité </t>
  </si>
  <si>
    <t>carte</t>
  </si>
  <si>
    <t>Prix</t>
  </si>
  <si>
    <t>bijou</t>
  </si>
  <si>
    <t>total à modifier par modifs totaux</t>
  </si>
  <si>
    <t>bestiaux</t>
  </si>
  <si>
    <t>2d20</t>
  </si>
  <si>
    <t>1d100</t>
  </si>
  <si>
    <t>3d100</t>
  </si>
  <si>
    <t>2d100</t>
  </si>
  <si>
    <t>100</t>
  </si>
  <si>
    <t>10</t>
  </si>
  <si>
    <t>-60%</t>
  </si>
  <si>
    <t>très bonne</t>
  </si>
  <si>
    <t>art</t>
  </si>
  <si>
    <t>1d20</t>
  </si>
  <si>
    <t>50</t>
  </si>
  <si>
    <t>bonne</t>
  </si>
  <si>
    <t>armure</t>
  </si>
  <si>
    <t>1d10</t>
  </si>
  <si>
    <t>2d6</t>
  </si>
  <si>
    <t>3d6</t>
  </si>
  <si>
    <t>2d10</t>
  </si>
  <si>
    <t>6-8</t>
  </si>
  <si>
    <t>moyenne</t>
  </si>
  <si>
    <t>arme</t>
  </si>
  <si>
    <t>1d4</t>
  </si>
  <si>
    <t>1d6</t>
  </si>
  <si>
    <t>5</t>
  </si>
  <si>
    <t>3-5</t>
  </si>
  <si>
    <t>+30%</t>
  </si>
  <si>
    <t>mauvaise</t>
  </si>
  <si>
    <t>animaux dressés</t>
  </si>
  <si>
    <t>1-2</t>
  </si>
  <si>
    <t>très mauvaise</t>
  </si>
  <si>
    <t>alcool</t>
  </si>
  <si>
    <t>Quantité</t>
  </si>
  <si>
    <t>qualité</t>
  </si>
  <si>
    <t>Qt</t>
  </si>
  <si>
    <t>Base</t>
  </si>
  <si>
    <t>type</t>
  </si>
  <si>
    <t>à</t>
  </si>
  <si>
    <t xml:space="preserve">de </t>
  </si>
  <si>
    <t>D1000</t>
  </si>
  <si>
    <t>NE</t>
  </si>
  <si>
    <t>steppe</t>
  </si>
  <si>
    <t>souterrain</t>
  </si>
  <si>
    <t>ruine</t>
  </si>
  <si>
    <t>plaine</t>
  </si>
  <si>
    <t>océan</t>
  </si>
  <si>
    <t>montagne</t>
  </si>
  <si>
    <t>monde KO</t>
  </si>
  <si>
    <t>monde EE</t>
  </si>
  <si>
    <t>marais</t>
  </si>
  <si>
    <t>jungle</t>
  </si>
  <si>
    <t>forêt</t>
  </si>
  <si>
    <t>désert</t>
  </si>
  <si>
    <t>cours d'eau</t>
  </si>
  <si>
    <t>colline</t>
  </si>
  <si>
    <t>caverne</t>
  </si>
  <si>
    <t>Grand aigle</t>
  </si>
  <si>
    <t>Lutin</t>
  </si>
  <si>
    <t>Locral</t>
  </si>
  <si>
    <t>Nargias</t>
  </si>
  <si>
    <t>Dragon sauvage</t>
  </si>
  <si>
    <t>Nain-géant</t>
  </si>
  <si>
    <t>Cheval féérique</t>
  </si>
  <si>
    <t>Géant aveugle</t>
  </si>
  <si>
    <t>Singeons</t>
  </si>
  <si>
    <t>Ogre</t>
  </si>
  <si>
    <t>Homme scorie</t>
  </si>
  <si>
    <t>Serpent des tréfonds</t>
  </si>
  <si>
    <t>Grantom des rocs</t>
  </si>
  <si>
    <t>Anesprit</t>
  </si>
  <si>
    <t>Griffor</t>
  </si>
  <si>
    <t>Dvalinn</t>
  </si>
  <si>
    <t>Esprit</t>
  </si>
  <si>
    <t>Sirpent</t>
  </si>
  <si>
    <t>Tuemort</t>
  </si>
  <si>
    <t>Dainesi</t>
  </si>
  <si>
    <t>Gardien de sidh</t>
  </si>
  <si>
    <t>Belette rouge</t>
  </si>
  <si>
    <t>Serpent vase</t>
  </si>
  <si>
    <t>Cyclom</t>
  </si>
  <si>
    <t>Malicient</t>
  </si>
  <si>
    <t>Lassure</t>
  </si>
  <si>
    <t>Griffon</t>
  </si>
  <si>
    <t>Hydre</t>
  </si>
  <si>
    <t>Homécaille</t>
  </si>
  <si>
    <t>Foutueur</t>
  </si>
  <si>
    <t>Fée des lacs</t>
  </si>
  <si>
    <t>serpent des tréfonds</t>
  </si>
  <si>
    <t>Serpent des marais</t>
  </si>
  <si>
    <t>Grantom</t>
  </si>
  <si>
    <t>Olifant</t>
  </si>
  <si>
    <t>Salmorsure</t>
  </si>
  <si>
    <t>Enfant dragon</t>
  </si>
  <si>
    <t>Feulor</t>
  </si>
  <si>
    <t>Krakor</t>
  </si>
  <si>
    <t>Grand loup gris</t>
  </si>
  <si>
    <t>Serpent-dragon</t>
  </si>
  <si>
    <t>Grantom des glaces</t>
  </si>
  <si>
    <t>Minotaure</t>
  </si>
  <si>
    <t>Ancêtre</t>
  </si>
  <si>
    <t>Homme-singe</t>
  </si>
  <si>
    <t>Rarnoin</t>
  </si>
  <si>
    <t>Magisou</t>
  </si>
  <si>
    <t>Dragon</t>
  </si>
  <si>
    <t>Volcan</t>
  </si>
  <si>
    <t>Sentinelle</t>
  </si>
  <si>
    <t>Corne divine</t>
  </si>
  <si>
    <t>grantom des rocs</t>
  </si>
  <si>
    <t>Roi ancien</t>
  </si>
  <si>
    <t>Baleir</t>
  </si>
  <si>
    <t>Rampant</t>
  </si>
  <si>
    <t>Lueur sainte</t>
  </si>
  <si>
    <t>Démon des tréfonds</t>
  </si>
  <si>
    <t>Lamante</t>
  </si>
  <si>
    <t>Salamandre</t>
  </si>
  <si>
    <t>Chien des enfers</t>
  </si>
  <si>
    <t>Grantom de flamme</t>
  </si>
  <si>
    <t>Varen</t>
  </si>
  <si>
    <t>Grandsage</t>
  </si>
  <si>
    <t>Pégase</t>
  </si>
  <si>
    <t>Nuage mort</t>
  </si>
  <si>
    <t>grantom des glaces</t>
  </si>
  <si>
    <t>Fée des monts</t>
  </si>
  <si>
    <t>Ondine</t>
  </si>
  <si>
    <t>Ragnée</t>
  </si>
  <si>
    <t>Grantom des tempêtes</t>
  </si>
  <si>
    <t>Maîtresse de tous</t>
  </si>
  <si>
    <t>Démon sans nom</t>
  </si>
  <si>
    <t>Grand esprit de feu</t>
  </si>
  <si>
    <t>Vamp</t>
  </si>
  <si>
    <t>Liche</t>
  </si>
  <si>
    <t>Seigneur des neiges</t>
  </si>
  <si>
    <t>grantom de flamme</t>
  </si>
  <si>
    <t>Fée de la nature</t>
  </si>
  <si>
    <t>Chiméara</t>
  </si>
  <si>
    <t>Démon des brumes</t>
  </si>
  <si>
    <t>Ancien dragon</t>
  </si>
  <si>
    <t>Kilerain</t>
  </si>
  <si>
    <t>dragon sauvage</t>
  </si>
  <si>
    <t>Élémentaire</t>
  </si>
  <si>
    <t>Chimère</t>
  </si>
  <si>
    <t>Ventmor</t>
  </si>
  <si>
    <t>D dragon</t>
  </si>
  <si>
    <t>ancien dragon</t>
  </si>
  <si>
    <t>Fée des cieux</t>
  </si>
  <si>
    <t>Vengeresse</t>
  </si>
  <si>
    <t>Démon des terres</t>
  </si>
  <si>
    <t>Matin-rouge</t>
  </si>
  <si>
    <t>Cornu</t>
  </si>
  <si>
    <t>singe-fou</t>
  </si>
  <si>
    <t>Volé</t>
  </si>
  <si>
    <t>Loup des ombres</t>
  </si>
  <si>
    <t>Grand satyre</t>
  </si>
  <si>
    <t>Serpent d'eldor</t>
  </si>
  <si>
    <t>Irnolo des montagnes</t>
  </si>
  <si>
    <t>Asam</t>
  </si>
  <si>
    <t>Folpierre</t>
  </si>
  <si>
    <t>Singe-fou</t>
  </si>
  <si>
    <t>Gnome</t>
  </si>
  <si>
    <t>Nain de bes</t>
  </si>
  <si>
    <t>Homme d’ivoire</t>
  </si>
  <si>
    <t>irnolo des forêts</t>
  </si>
  <si>
    <t>Centaure</t>
  </si>
  <si>
    <t>Blanc serpent</t>
  </si>
  <si>
    <t>Grouilleur</t>
  </si>
  <si>
    <t>Geal</t>
  </si>
  <si>
    <t>irnolo sauvage</t>
  </si>
  <si>
    <t>Rochefroid</t>
  </si>
  <si>
    <t>Vieux serpent</t>
  </si>
  <si>
    <t>Esprit vengeur</t>
  </si>
  <si>
    <t>Landa</t>
  </si>
  <si>
    <t>Présage</t>
  </si>
  <si>
    <t>Mont rage</t>
  </si>
  <si>
    <t>Cyclope</t>
  </si>
  <si>
    <t>D des tréfonds</t>
  </si>
  <si>
    <t>Grand ver blanc</t>
  </si>
  <si>
    <t>Ombre des forêts</t>
  </si>
  <si>
    <t>Sanglier éternel</t>
  </si>
  <si>
    <t>Grand esprit</t>
  </si>
  <si>
    <t>D des brumes</t>
  </si>
  <si>
    <t>D des tempêtes</t>
  </si>
  <si>
    <t>grand ver blanc</t>
  </si>
  <si>
    <t>Chien baveur</t>
  </si>
  <si>
    <t>Lavamorte</t>
  </si>
  <si>
    <t>Chevange</t>
  </si>
  <si>
    <t>irnolo des montagnes</t>
  </si>
  <si>
    <t>Lyrch</t>
  </si>
  <si>
    <t>Irnolo sauvage</t>
  </si>
  <si>
    <t>Ziso</t>
  </si>
  <si>
    <t>Lycanes</t>
  </si>
  <si>
    <t>Naag</t>
  </si>
  <si>
    <t>Kramor</t>
  </si>
  <si>
    <t>Ancien</t>
  </si>
  <si>
    <t>Volevar</t>
  </si>
  <si>
    <t>Corne de nuit</t>
  </si>
  <si>
    <t>Fidelius</t>
  </si>
  <si>
    <t>Silar</t>
  </si>
  <si>
    <t>Chasseresse</t>
  </si>
  <si>
    <t>Malhorreur</t>
  </si>
  <si>
    <t>Baindsan</t>
  </si>
  <si>
    <t>Casfan</t>
  </si>
  <si>
    <t>Grand corbeau</t>
  </si>
  <si>
    <t>Gorgonne</t>
  </si>
  <si>
    <t>Lame éternelle</t>
  </si>
  <si>
    <t>Princesse des bois</t>
  </si>
  <si>
    <t>Soldat des ombres</t>
  </si>
  <si>
    <t>Fée des collines</t>
  </si>
  <si>
    <t>Esprit malin</t>
  </si>
  <si>
    <t>Nuaga</t>
  </si>
  <si>
    <t>vengeresse</t>
  </si>
  <si>
    <t>Taureau vert</t>
  </si>
  <si>
    <t>Unicorne</t>
  </si>
  <si>
    <t>Vent</t>
  </si>
  <si>
    <t>Silphe</t>
  </si>
  <si>
    <t>Lemor</t>
  </si>
  <si>
    <t>Granetre</t>
  </si>
  <si>
    <t>chien baveur</t>
  </si>
  <si>
    <t>Guerroyeur</t>
  </si>
  <si>
    <t>Irnolo des marais</t>
  </si>
  <si>
    <t xml:space="preserve"> Chauve-souris noire</t>
  </si>
  <si>
    <t>Irnolo des forêts</t>
  </si>
  <si>
    <t>Berlier</t>
  </si>
  <si>
    <t>Yuze</t>
  </si>
  <si>
    <t>Etrancheur</t>
  </si>
  <si>
    <t>Catel</t>
  </si>
  <si>
    <t>Moinange</t>
  </si>
  <si>
    <t>Torcheur</t>
  </si>
  <si>
    <t>Homme désert</t>
  </si>
  <si>
    <t>Nerguerre</t>
  </si>
  <si>
    <t>irnolo des marais</t>
  </si>
  <si>
    <t>Chauve-souris noire</t>
  </si>
  <si>
    <t xml:space="preserve">Homme désert </t>
  </si>
  <si>
    <t>Chiencha</t>
  </si>
  <si>
    <t>serpent vase</t>
  </si>
  <si>
    <t>Terrain</t>
  </si>
  <si>
    <t>,</t>
  </si>
  <si>
    <t>pont / ouvrage</t>
  </si>
  <si>
    <t xml:space="preserve">château </t>
  </si>
  <si>
    <t xml:space="preserve">manoir </t>
  </si>
  <si>
    <t xml:space="preserve">Fort </t>
  </si>
  <si>
    <t xml:space="preserve">Tour </t>
  </si>
  <si>
    <t xml:space="preserve">Temple  </t>
  </si>
  <si>
    <t xml:space="preserve">Église  </t>
  </si>
  <si>
    <t xml:space="preserve">Chapelle </t>
  </si>
  <si>
    <t>autel</t>
  </si>
  <si>
    <t>tumulus</t>
  </si>
  <si>
    <t>cimetière</t>
  </si>
  <si>
    <t>tombe</t>
  </si>
  <si>
    <t>marque</t>
  </si>
  <si>
    <t>signe</t>
  </si>
  <si>
    <t>repaire</t>
  </si>
  <si>
    <t>camp</t>
  </si>
  <si>
    <t xml:space="preserve">relais  </t>
  </si>
  <si>
    <t>ville/port</t>
  </si>
  <si>
    <t xml:space="preserve">bourg </t>
  </si>
  <si>
    <t xml:space="preserve">village </t>
  </si>
  <si>
    <t xml:space="preserve">hameau </t>
  </si>
  <si>
    <t>architecture</t>
  </si>
  <si>
    <t>secret</t>
  </si>
  <si>
    <t>danger</t>
  </si>
  <si>
    <t>métiers</t>
  </si>
  <si>
    <t>caractère</t>
  </si>
  <si>
    <t>tertiaire</t>
  </si>
  <si>
    <t>secondaire</t>
  </si>
  <si>
    <t>primaire</t>
  </si>
  <si>
    <t>état</t>
  </si>
  <si>
    <t>rich</t>
  </si>
  <si>
    <t>Pop</t>
  </si>
  <si>
    <t>Mai</t>
  </si>
  <si>
    <t>Richesse</t>
  </si>
  <si>
    <t>test</t>
  </si>
  <si>
    <t>dé100</t>
  </si>
  <si>
    <t xml:space="preserve"> </t>
  </si>
  <si>
    <t>défauts</t>
  </si>
  <si>
    <t>étrangers</t>
  </si>
  <si>
    <t>Créature</t>
  </si>
  <si>
    <t>Artisanat</t>
  </si>
  <si>
    <t>Cueillette</t>
  </si>
  <si>
    <t>opposé</t>
  </si>
  <si>
    <t>rebelle</t>
  </si>
  <si>
    <t>repoussant</t>
  </si>
  <si>
    <t>créatures</t>
  </si>
  <si>
    <t>- - -</t>
  </si>
  <si>
    <t>Minerai</t>
  </si>
  <si>
    <t>abandonné</t>
  </si>
  <si>
    <t>Poterie</t>
  </si>
  <si>
    <t>Pierre</t>
  </si>
  <si>
    <t>athé</t>
  </si>
  <si>
    <t>meutres</t>
  </si>
  <si>
    <t>rien à vendre</t>
  </si>
  <si>
    <t>Magie</t>
  </si>
  <si>
    <t>félon</t>
  </si>
  <si>
    <t>xénophobe</t>
  </si>
  <si>
    <t>ruiné</t>
  </si>
  <si>
    <t>païen</t>
  </si>
  <si>
    <t>peu d'échanges</t>
  </si>
  <si>
    <t>tyrannie</t>
  </si>
  <si>
    <t>Bois</t>
  </si>
  <si>
    <t>Enseignement</t>
  </si>
  <si>
    <t>bois pauvre</t>
  </si>
  <si>
    <t>fermé</t>
  </si>
  <si>
    <t>pas de marché</t>
  </si>
  <si>
    <t>corruption</t>
  </si>
  <si>
    <t>délabré</t>
  </si>
  <si>
    <t>Livre</t>
  </si>
  <si>
    <t>Epice/Fruit</t>
  </si>
  <si>
    <t>méfiant</t>
  </si>
  <si>
    <t>Précieux</t>
  </si>
  <si>
    <t>Peaux</t>
  </si>
  <si>
    <t>Spécialité</t>
  </si>
  <si>
    <t>Pêche</t>
  </si>
  <si>
    <t>brigands</t>
  </si>
  <si>
    <t>Architecture</t>
  </si>
  <si>
    <t>Construction</t>
  </si>
  <si>
    <t>Chasse</t>
  </si>
  <si>
    <t>maladie</t>
  </si>
  <si>
    <t>Elevage</t>
  </si>
  <si>
    <t>Art nob/pop</t>
  </si>
  <si>
    <t>Métaux/outils</t>
  </si>
  <si>
    <t>Tissu</t>
  </si>
  <si>
    <t>fantoche</t>
  </si>
  <si>
    <t>trafic</t>
  </si>
  <si>
    <t>Agriculture</t>
  </si>
  <si>
    <t>Vin/Alcool</t>
  </si>
  <si>
    <t>Religion</t>
  </si>
  <si>
    <t>fidèle</t>
  </si>
  <si>
    <t>bois précieux</t>
  </si>
  <si>
    <t>Guilde</t>
  </si>
  <si>
    <t>statue</t>
  </si>
  <si>
    <t>hérétique</t>
  </si>
  <si>
    <t>Arme</t>
  </si>
  <si>
    <t>protection</t>
  </si>
  <si>
    <t>chasse</t>
  </si>
  <si>
    <t>pratiques</t>
  </si>
  <si>
    <t>Dressage</t>
  </si>
  <si>
    <t>marché</t>
  </si>
  <si>
    <t>curieux</t>
  </si>
  <si>
    <t>relief</t>
  </si>
  <si>
    <t>voleurs</t>
  </si>
  <si>
    <t>fervent</t>
  </si>
  <si>
    <t>loyal</t>
  </si>
  <si>
    <t>gardes</t>
  </si>
  <si>
    <t>accueillant</t>
  </si>
  <si>
    <t>coloré</t>
  </si>
  <si>
    <t>Végétal</t>
  </si>
  <si>
    <t>tranquille</t>
  </si>
  <si>
    <t>assassins</t>
  </si>
  <si>
    <t>nœud</t>
  </si>
  <si>
    <t>Exotique</t>
  </si>
  <si>
    <t>très accueillant</t>
  </si>
  <si>
    <t>étages</t>
  </si>
  <si>
    <t>Armure</t>
  </si>
  <si>
    <t>très fervent</t>
  </si>
  <si>
    <t>très loyal</t>
  </si>
  <si>
    <t>centre</t>
  </si>
  <si>
    <t>très sûr</t>
  </si>
  <si>
    <t>dorures</t>
  </si>
  <si>
    <t>tolérant</t>
  </si>
  <si>
    <t>marbres</t>
  </si>
  <si>
    <t>+++</t>
  </si>
  <si>
    <t>spécial</t>
  </si>
  <si>
    <t xml:space="preserve">spécial /  danger </t>
  </si>
  <si>
    <t xml:space="preserve">souterrain / crevasse </t>
  </si>
  <si>
    <t xml:space="preserve">pont / ouvrage </t>
  </si>
  <si>
    <t>Divers</t>
  </si>
  <si>
    <t xml:space="preserve">muraille / mur </t>
  </si>
  <si>
    <t>Militaire</t>
  </si>
  <si>
    <t>Religieux</t>
  </si>
  <si>
    <t xml:space="preserve">Mine / chantier </t>
  </si>
  <si>
    <t xml:space="preserve">cultivé </t>
  </si>
  <si>
    <t xml:space="preserve">ruine / religieux </t>
  </si>
  <si>
    <t xml:space="preserve">camp  </t>
  </si>
  <si>
    <t>Isolé non urbain</t>
  </si>
  <si>
    <t xml:space="preserve">ville / port </t>
  </si>
  <si>
    <t>Urbain</t>
  </si>
  <si>
    <t>très dense</t>
  </si>
  <si>
    <t>dense</t>
  </si>
  <si>
    <t xml:space="preserve">Isolé </t>
  </si>
  <si>
    <t>normal</t>
  </si>
  <si>
    <t>pop</t>
  </si>
  <si>
    <t>Rural</t>
  </si>
  <si>
    <t>peu dense</t>
  </si>
  <si>
    <t>Moy</t>
  </si>
  <si>
    <t>très peu dense</t>
  </si>
  <si>
    <t>Nb</t>
  </si>
  <si>
    <t>Population</t>
  </si>
  <si>
    <t>h/km²</t>
  </si>
  <si>
    <t>km²</t>
  </si>
  <si>
    <t>A</t>
  </si>
  <si>
    <t>CAR</t>
  </si>
  <si>
    <t>K</t>
  </si>
  <si>
    <t>O</t>
  </si>
  <si>
    <t>E</t>
  </si>
  <si>
    <t>HER</t>
  </si>
  <si>
    <t>OMN</t>
  </si>
  <si>
    <t>I</t>
  </si>
  <si>
    <t>V</t>
  </si>
  <si>
    <t>VD</t>
  </si>
  <si>
    <t>VO</t>
  </si>
  <si>
    <t>Vitesse</t>
  </si>
  <si>
    <t>NC</t>
  </si>
  <si>
    <t>MVp</t>
  </si>
  <si>
    <t>EN</t>
  </si>
  <si>
    <t>Rma</t>
  </si>
  <si>
    <t>Esquive</t>
  </si>
  <si>
    <t>CS</t>
  </si>
  <si>
    <t>RM</t>
  </si>
  <si>
    <t>PdC</t>
  </si>
  <si>
    <t>PdM</t>
  </si>
  <si>
    <t>NEM</t>
  </si>
  <si>
    <t>Rencontre</t>
  </si>
  <si>
    <t>AR</t>
  </si>
  <si>
    <t>NEC</t>
  </si>
  <si>
    <t>Ap</t>
  </si>
  <si>
    <t>C</t>
  </si>
  <si>
    <t>Em</t>
  </si>
  <si>
    <t>D</t>
  </si>
  <si>
    <t>En</t>
  </si>
  <si>
    <t>F</t>
  </si>
  <si>
    <t>Poids</t>
  </si>
  <si>
    <t>Taille</t>
  </si>
  <si>
    <t>Ville</t>
  </si>
  <si>
    <t>Steppe</t>
  </si>
  <si>
    <t>Souterrain</t>
  </si>
  <si>
    <t>Plaine</t>
  </si>
  <si>
    <t>Montagne</t>
  </si>
  <si>
    <t>Marais</t>
  </si>
  <si>
    <t>Jungle</t>
  </si>
  <si>
    <t>Colline</t>
  </si>
  <si>
    <t>B</t>
  </si>
  <si>
    <t>N</t>
  </si>
  <si>
    <t>Vio</t>
  </si>
  <si>
    <t>Nom</t>
  </si>
  <si>
    <t>Séd</t>
  </si>
  <si>
    <t>Epa</t>
  </si>
  <si>
    <t>Cla</t>
  </si>
  <si>
    <t>Vil</t>
  </si>
  <si>
    <t>Autre</t>
  </si>
  <si>
    <t>Violent</t>
  </si>
  <si>
    <t>Nomad</t>
  </si>
  <si>
    <t>Séden</t>
  </si>
  <si>
    <t>Eparpi</t>
  </si>
  <si>
    <t>Classiq</t>
  </si>
  <si>
    <t>grande</t>
  </si>
  <si>
    <t>Nomade</t>
  </si>
  <si>
    <t>Sédentaire</t>
  </si>
  <si>
    <t>Éparpillé</t>
  </si>
  <si>
    <t>Classique</t>
  </si>
  <si>
    <t>Grande Ville</t>
  </si>
  <si>
    <t>Lieux</t>
  </si>
  <si>
    <t>Tribu</t>
  </si>
  <si>
    <t>ΔD</t>
  </si>
  <si>
    <t>D20</t>
  </si>
  <si>
    <t>ΔD10*</t>
  </si>
  <si>
    <t>D10*</t>
  </si>
  <si>
    <t>ΔD10</t>
  </si>
  <si>
    <t>Δd6</t>
  </si>
  <si>
    <t>d6</t>
  </si>
  <si>
    <t>d3</t>
  </si>
  <si>
    <t>Etendue</t>
  </si>
  <si>
    <t>Evènement</t>
  </si>
  <si>
    <t>Durée</t>
  </si>
  <si>
    <t>Date</t>
  </si>
  <si>
    <t>+ +</t>
  </si>
  <si>
    <t>année</t>
  </si>
  <si>
    <t>caste</t>
  </si>
  <si>
    <t>marchands</t>
  </si>
  <si>
    <t>sud-est</t>
  </si>
  <si>
    <t>guerriers</t>
  </si>
  <si>
    <t>nord-est</t>
  </si>
  <si>
    <t>tous</t>
  </si>
  <si>
    <t>sud-ouest</t>
  </si>
  <si>
    <t>religieux</t>
  </si>
  <si>
    <t>nord-ouest</t>
  </si>
  <si>
    <t>mois</t>
  </si>
  <si>
    <t>est</t>
  </si>
  <si>
    <t>armée</t>
  </si>
  <si>
    <t>sud</t>
  </si>
  <si>
    <t>nobles</t>
  </si>
  <si>
    <t>ouest</t>
  </si>
  <si>
    <t>artisans</t>
  </si>
  <si>
    <t>nord</t>
  </si>
  <si>
    <t>jour</t>
  </si>
  <si>
    <t>plèbe</t>
  </si>
  <si>
    <t>partout</t>
  </si>
  <si>
    <t>PLMO</t>
  </si>
  <si>
    <t>durée</t>
  </si>
  <si>
    <t>D100bis</t>
  </si>
  <si>
    <t>battue</t>
  </si>
  <si>
    <t>par carte</t>
  </si>
  <si>
    <t>important</t>
  </si>
  <si>
    <t>grave maladie</t>
  </si>
  <si>
    <t>vieux</t>
  </si>
  <si>
    <t>riches</t>
  </si>
  <si>
    <t>chassé</t>
  </si>
  <si>
    <t>perdus</t>
  </si>
  <si>
    <t>chevaux</t>
  </si>
  <si>
    <t>simple maladie</t>
  </si>
  <si>
    <t>mature</t>
  </si>
  <si>
    <t>aisés</t>
  </si>
  <si>
    <t>aucune</t>
  </si>
  <si>
    <t>simple et précis</t>
  </si>
  <si>
    <t>piétons</t>
  </si>
  <si>
    <t>adulte</t>
  </si>
  <si>
    <t>marchandise</t>
  </si>
  <si>
    <t>4-7</t>
  </si>
  <si>
    <t>en chasse</t>
  </si>
  <si>
    <t>avec guide</t>
  </si>
  <si>
    <t>montures</t>
  </si>
  <si>
    <t>remède</t>
  </si>
  <si>
    <t>jeune</t>
  </si>
  <si>
    <t>pauvre</t>
  </si>
  <si>
    <t>2-3</t>
  </si>
  <si>
    <t>chasseur + chassé</t>
  </si>
  <si>
    <t>à l'aveugle</t>
  </si>
  <si>
    <t>charroi</t>
  </si>
  <si>
    <t>contagieuse</t>
  </si>
  <si>
    <t>très jeune</t>
  </si>
  <si>
    <t>mendiants</t>
  </si>
  <si>
    <t>Poursuite</t>
  </si>
  <si>
    <t>Chemin</t>
  </si>
  <si>
    <t>Equipement</t>
  </si>
  <si>
    <t>Maladie</t>
  </si>
  <si>
    <t>spéciale</t>
  </si>
  <si>
    <t>richement équipé</t>
  </si>
  <si>
    <t>très nombreux=51-200</t>
  </si>
  <si>
    <t>en pleine forme</t>
  </si>
  <si>
    <t>noblesse</t>
  </si>
  <si>
    <t>prisonnier</t>
  </si>
  <si>
    <t>aimable</t>
  </si>
  <si>
    <t>en surplus</t>
  </si>
  <si>
    <t>nombreux=21-50</t>
  </si>
  <si>
    <t>à l'aise</t>
  </si>
  <si>
    <t>marchand</t>
  </si>
  <si>
    <t>pas d'échange</t>
  </si>
  <si>
    <t>de voyage</t>
  </si>
  <si>
    <t>groupe=7-20</t>
  </si>
  <si>
    <t>populaire</t>
  </si>
  <si>
    <t>léger</t>
  </si>
  <si>
    <t>poignée=2-6</t>
  </si>
  <si>
    <t>fatigué</t>
  </si>
  <si>
    <t>guerrière</t>
  </si>
  <si>
    <t>femme</t>
  </si>
  <si>
    <t>sans rien</t>
  </si>
  <si>
    <t>unique=1</t>
  </si>
  <si>
    <t>épuisé</t>
  </si>
  <si>
    <t>illégale</t>
  </si>
  <si>
    <t>Présence</t>
  </si>
  <si>
    <t>Ouverture</t>
  </si>
  <si>
    <t>Matériel</t>
  </si>
  <si>
    <t>Nombre</t>
  </si>
  <si>
    <t>Etat</t>
  </si>
  <si>
    <t>Classe</t>
  </si>
  <si>
    <t>inconnue</t>
  </si>
  <si>
    <t>prudente</t>
  </si>
  <si>
    <t>sous la contrainte</t>
  </si>
  <si>
    <t>quête</t>
  </si>
  <si>
    <t>connu</t>
  </si>
  <si>
    <t>internationale</t>
  </si>
  <si>
    <t>fuyant</t>
  </si>
  <si>
    <t>seigneur</t>
  </si>
  <si>
    <t>ordre</t>
  </si>
  <si>
    <t>titre</t>
  </si>
  <si>
    <t>peut en parler</t>
  </si>
  <si>
    <t>supérieur</t>
  </si>
  <si>
    <t>en commande</t>
  </si>
  <si>
    <t>objet</t>
  </si>
  <si>
    <t>ne rien dire</t>
  </si>
  <si>
    <t>agressif</t>
  </si>
  <si>
    <t>envie</t>
  </si>
  <si>
    <t>volontaire</t>
  </si>
  <si>
    <t>personne</t>
  </si>
  <si>
    <t>pays voisin</t>
  </si>
  <si>
    <t>attaque</t>
  </si>
  <si>
    <t>idéologie</t>
  </si>
  <si>
    <t>fanatiques</t>
  </si>
  <si>
    <t>ultra-secret</t>
  </si>
  <si>
    <t>Origine</t>
  </si>
  <si>
    <t>Menace</t>
  </si>
  <si>
    <t>Source</t>
  </si>
  <si>
    <t>Volonté</t>
  </si>
  <si>
    <t>Objectif</t>
  </si>
  <si>
    <t>Secret</t>
  </si>
  <si>
    <t xml:space="preserve"> - -</t>
  </si>
  <si>
    <t>très petite</t>
  </si>
  <si>
    <t>entre deux</t>
  </si>
  <si>
    <t>torchis</t>
  </si>
  <si>
    <t>carrée</t>
  </si>
  <si>
    <t>butte</t>
  </si>
  <si>
    <t>bois</t>
  </si>
  <si>
    <t>Astrologue : astr – navi</t>
  </si>
  <si>
    <t>nulle</t>
  </si>
  <si>
    <t>barbacane</t>
  </si>
  <si>
    <t>SO</t>
  </si>
  <si>
    <t>3x3</t>
  </si>
  <si>
    <t>route</t>
  </si>
  <si>
    <t>compact</t>
  </si>
  <si>
    <t>danger !</t>
  </si>
  <si>
    <t>pêche</t>
  </si>
  <si>
    <t xml:space="preserve"> - </t>
  </si>
  <si>
    <t>petite</t>
  </si>
  <si>
    <t>Bailli : lire – intr</t>
  </si>
  <si>
    <t>faible</t>
  </si>
  <si>
    <t>bastille</t>
  </si>
  <si>
    <t xml:space="preserve">S </t>
  </si>
  <si>
    <t>peu sûr</t>
  </si>
  <si>
    <t>agriculture</t>
  </si>
  <si>
    <t>philosophie</t>
  </si>
  <si>
    <t>coin de rue</t>
  </si>
  <si>
    <t>obstacle</t>
  </si>
  <si>
    <t>Changeur-prêt : lire – math</t>
  </si>
  <si>
    <t>SE</t>
  </si>
  <si>
    <t>élevage</t>
  </si>
  <si>
    <t xml:space="preserve"> =</t>
  </si>
  <si>
    <t>planche</t>
  </si>
  <si>
    <t>rectangulaire</t>
  </si>
  <si>
    <t>2 colonnes</t>
  </si>
  <si>
    <t>Chapelain : rhét – intr</t>
  </si>
  <si>
    <t>château</t>
  </si>
  <si>
    <t>art noble</t>
  </si>
  <si>
    <t>très grande</t>
  </si>
  <si>
    <t>trois façades</t>
  </si>
  <si>
    <t>4 colonnes</t>
  </si>
  <si>
    <t>barres métal</t>
  </si>
  <si>
    <t>œillet</t>
  </si>
  <si>
    <t>Chevalier : care – (lance)</t>
  </si>
  <si>
    <t>x</t>
  </si>
  <si>
    <t>rivière</t>
  </si>
  <si>
    <t>ruelles</t>
  </si>
  <si>
    <t>minerai</t>
  </si>
  <si>
    <t>artisanat</t>
  </si>
  <si>
    <t>art populaire</t>
  </si>
  <si>
    <t>DimensionX</t>
  </si>
  <si>
    <t>isolée</t>
  </si>
  <si>
    <t>tissus</t>
  </si>
  <si>
    <t>6 colonnes</t>
  </si>
  <si>
    <t>Clerc : érud – lire</t>
  </si>
  <si>
    <t>4x4</t>
  </si>
  <si>
    <t>pierre</t>
  </si>
  <si>
    <t>épices.fruit</t>
  </si>
  <si>
    <t>G</t>
  </si>
  <si>
    <t>en L</t>
  </si>
  <si>
    <t>8 colonnes</t>
  </si>
  <si>
    <t>Conseiller : intr – rhét</t>
  </si>
  <si>
    <t>NO</t>
  </si>
  <si>
    <t>enclos</t>
  </si>
  <si>
    <t>H</t>
  </si>
  <si>
    <t xml:space="preserve"> + </t>
  </si>
  <si>
    <t>impasse</t>
  </si>
  <si>
    <t>petit porche</t>
  </si>
  <si>
    <t>peau</t>
  </si>
  <si>
    <t>judas</t>
  </si>
  <si>
    <t>Courtisan : intr – spéc</t>
  </si>
  <si>
    <t xml:space="preserve">N </t>
  </si>
  <si>
    <t>mur</t>
  </si>
  <si>
    <t>échévelé</t>
  </si>
  <si>
    <t>sûr</t>
  </si>
  <si>
    <t>très connu</t>
  </si>
  <si>
    <t>précieux</t>
  </si>
  <si>
    <t>dressage</t>
  </si>
  <si>
    <t>culture</t>
  </si>
  <si>
    <t>contrebas</t>
  </si>
  <si>
    <t>en U</t>
  </si>
  <si>
    <t>grand proche</t>
  </si>
  <si>
    <t>Diplomate : héra – diplo</t>
  </si>
  <si>
    <t>5x5</t>
  </si>
  <si>
    <t>dénivelé</t>
  </si>
  <si>
    <t>fourrures</t>
  </si>
  <si>
    <t>J</t>
  </si>
  <si>
    <t xml:space="preserve"> + + </t>
  </si>
  <si>
    <t>en cour</t>
  </si>
  <si>
    <t>FormeX</t>
  </si>
  <si>
    <t>petite cave</t>
  </si>
  <si>
    <t>herse</t>
  </si>
  <si>
    <t>grille</t>
  </si>
  <si>
    <t>Guérisseur : méde – herb</t>
  </si>
  <si>
    <t>cultivé</t>
  </si>
  <si>
    <t>murés</t>
  </si>
  <si>
    <t>forte</t>
  </si>
  <si>
    <t>unique</t>
  </si>
  <si>
    <t>végétal.plan</t>
  </si>
  <si>
    <t>joute</t>
  </si>
  <si>
    <t>dé10*</t>
  </si>
  <si>
    <t>SituationX</t>
  </si>
  <si>
    <t>pierre/bois</t>
  </si>
  <si>
    <t>PorteX</t>
  </si>
  <si>
    <t>VisionX</t>
  </si>
  <si>
    <t>Ingénieur : ingé – char</t>
  </si>
  <si>
    <t>situationQ</t>
  </si>
  <si>
    <t>distanceQ</t>
  </si>
  <si>
    <t>frontiereQ</t>
  </si>
  <si>
    <t>styleQ</t>
  </si>
  <si>
    <t>floreQ</t>
  </si>
  <si>
    <t>securiteQ</t>
  </si>
  <si>
    <t>marcheNote</t>
  </si>
  <si>
    <t>poterie</t>
  </si>
  <si>
    <t>matériaux</t>
  </si>
  <si>
    <t>enseignement</t>
  </si>
  <si>
    <t>L</t>
  </si>
  <si>
    <t>cave</t>
  </si>
  <si>
    <t>U</t>
  </si>
  <si>
    <t>Intendant : intr – rhét</t>
  </si>
  <si>
    <t>châtelet</t>
  </si>
  <si>
    <t>ListePrincipale</t>
  </si>
  <si>
    <t>métaux</t>
  </si>
  <si>
    <t>ésotérisme</t>
  </si>
  <si>
    <t>M</t>
  </si>
  <si>
    <t>Juge-érud : intr – lire</t>
  </si>
  <si>
    <t>tissu</t>
  </si>
  <si>
    <t>grande cave</t>
  </si>
  <si>
    <t>Y</t>
  </si>
  <si>
    <t>Notaire : lire – héra</t>
  </si>
  <si>
    <t>ornements</t>
  </si>
  <si>
    <t>exotique</t>
  </si>
  <si>
    <t>petit cellier</t>
  </si>
  <si>
    <t>VoyelleX</t>
  </si>
  <si>
    <t>Page-care : arme – élev(chevaux)</t>
  </si>
  <si>
    <t>défenses</t>
  </si>
  <si>
    <t>outils</t>
  </si>
  <si>
    <t>finance</t>
  </si>
  <si>
    <t>P</t>
  </si>
  <si>
    <t>grand cellier</t>
  </si>
  <si>
    <t>Plaideur : lire – rhét</t>
  </si>
  <si>
    <t>grosse pierre</t>
  </si>
  <si>
    <t>fresque</t>
  </si>
  <si>
    <t>Q</t>
  </si>
  <si>
    <t>petit caveau</t>
  </si>
  <si>
    <t>Prévôt : intr – S</t>
  </si>
  <si>
    <t>R</t>
  </si>
  <si>
    <t>grand caveau</t>
  </si>
  <si>
    <t>Professeur : érud – lire</t>
  </si>
  <si>
    <t>spécialité</t>
  </si>
  <si>
    <t>guildes</t>
  </si>
  <si>
    <t>S</t>
  </si>
  <si>
    <t>puits</t>
  </si>
  <si>
    <t>Rentier : prêt – S</t>
  </si>
  <si>
    <t>tapisserie</t>
  </si>
  <si>
    <t>librairie</t>
  </si>
  <si>
    <t>T</t>
  </si>
  <si>
    <t>TailleX</t>
  </si>
  <si>
    <t>LongueurX</t>
  </si>
  <si>
    <t>MatièreX</t>
  </si>
  <si>
    <t>chemin terre</t>
  </si>
  <si>
    <t>Sénéchal : stra – chgu</t>
  </si>
  <si>
    <t>douves</t>
  </si>
  <si>
    <t>tisane</t>
  </si>
  <si>
    <t>chemin pierre</t>
  </si>
  <si>
    <t>militaire</t>
  </si>
  <si>
    <t>chemin dalle</t>
  </si>
  <si>
    <t>ListeSecondaire</t>
  </si>
  <si>
    <t>ordre relig.</t>
  </si>
  <si>
    <t>W</t>
  </si>
  <si>
    <t>chemin caché</t>
  </si>
  <si>
    <t>parfum</t>
  </si>
  <si>
    <t>X</t>
  </si>
  <si>
    <t>chemin bois</t>
  </si>
  <si>
    <t>poison</t>
  </si>
  <si>
    <t>sentier</t>
  </si>
  <si>
    <t>règne guilde</t>
  </si>
  <si>
    <t>Z</t>
  </si>
  <si>
    <t>oraison</t>
  </si>
  <si>
    <t>QMM</t>
  </si>
  <si>
    <t>LettreX</t>
  </si>
  <si>
    <t>dépendance</t>
  </si>
  <si>
    <t>petit atelier</t>
  </si>
  <si>
    <t>sculpture</t>
  </si>
  <si>
    <t>atelier</t>
  </si>
  <si>
    <t>escarpe</t>
  </si>
  <si>
    <t>université</t>
  </si>
  <si>
    <t>ListeTertiaire</t>
  </si>
  <si>
    <t>grand atelier</t>
  </si>
  <si>
    <t>réserve</t>
  </si>
  <si>
    <t>petite réserve</t>
  </si>
  <si>
    <t>fossé</t>
  </si>
  <si>
    <t>grande réserve</t>
  </si>
  <si>
    <t>escalier</t>
  </si>
  <si>
    <t>échelle de face</t>
  </si>
  <si>
    <t>échelle de côté</t>
  </si>
  <si>
    <t>escalier bois</t>
  </si>
  <si>
    <t>escalier pierre</t>
  </si>
  <si>
    <t>cordage accès</t>
  </si>
  <si>
    <t>corde &amp; poulie</t>
  </si>
  <si>
    <t>échelle de corde</t>
  </si>
  <si>
    <t>forme rare</t>
  </si>
  <si>
    <t>forme triangle</t>
  </si>
  <si>
    <t>grand marché</t>
  </si>
  <si>
    <t>forme penta</t>
  </si>
  <si>
    <t>forme octo</t>
  </si>
  <si>
    <t>forme hexa</t>
  </si>
  <si>
    <t>forme ronde</t>
  </si>
  <si>
    <t>forme ovale</t>
  </si>
  <si>
    <t>1 garde</t>
  </si>
  <si>
    <t>2 gardes</t>
  </si>
  <si>
    <t>3 gardes</t>
  </si>
  <si>
    <t>4 gardes</t>
  </si>
  <si>
    <t>1 chevalier</t>
  </si>
  <si>
    <t>petite pierre</t>
  </si>
  <si>
    <t>hourds</t>
  </si>
  <si>
    <t>ListeRessources</t>
  </si>
  <si>
    <t>ValeurRessource</t>
  </si>
  <si>
    <t>patrouille</t>
  </si>
  <si>
    <t>lice</t>
  </si>
  <si>
    <t>animal rôde</t>
  </si>
  <si>
    <t>ronde garde</t>
  </si>
  <si>
    <t>1 chien</t>
  </si>
  <si>
    <t>motte</t>
  </si>
  <si>
    <t>1 créature</t>
  </si>
  <si>
    <t>4 chiens</t>
  </si>
  <si>
    <t>3 chiens</t>
  </si>
  <si>
    <t>2 chiens</t>
  </si>
  <si>
    <t>parapet</t>
  </si>
  <si>
    <t>haie</t>
  </si>
  <si>
    <t>pont-levis</t>
  </si>
  <si>
    <t>haie basse</t>
  </si>
  <si>
    <t>haie haute</t>
  </si>
  <si>
    <t>mur végétal</t>
  </si>
  <si>
    <t>bois/pierre</t>
  </si>
  <si>
    <t>haut mur</t>
  </si>
  <si>
    <t>muret</t>
  </si>
  <si>
    <t>tour</t>
  </si>
  <si>
    <t>peintures</t>
  </si>
  <si>
    <t>très forte</t>
  </si>
  <si>
    <t>ouvrage défense</t>
  </si>
  <si>
    <t>pièce cachée</t>
  </si>
  <si>
    <t>pièce sous sol</t>
  </si>
  <si>
    <t>pièce  ds mur</t>
  </si>
  <si>
    <t>volet caché</t>
  </si>
  <si>
    <t>grenier caché</t>
  </si>
  <si>
    <t>cave interdite</t>
  </si>
  <si>
    <t>cour cachée</t>
  </si>
  <si>
    <t>pièce interdite</t>
  </si>
  <si>
    <t>porte coulisse</t>
  </si>
  <si>
    <t>trappe cachée</t>
  </si>
  <si>
    <t>porte dissimulée</t>
  </si>
  <si>
    <t>accès caché</t>
  </si>
  <si>
    <t>NSX</t>
  </si>
  <si>
    <t>richesseX</t>
  </si>
  <si>
    <t>AttributX</t>
  </si>
  <si>
    <t>marche</t>
  </si>
  <si>
    <t>mQT</t>
  </si>
  <si>
    <t>mNE</t>
  </si>
  <si>
    <t>mFR</t>
  </si>
  <si>
    <t>religionx</t>
  </si>
  <si>
    <t>muraille</t>
  </si>
  <si>
    <t>defense</t>
  </si>
  <si>
    <t>NS</t>
  </si>
  <si>
    <t>RIC</t>
  </si>
  <si>
    <t>Façade</t>
  </si>
  <si>
    <t>Côté</t>
  </si>
  <si>
    <t>Forme</t>
  </si>
  <si>
    <t>Situation</t>
  </si>
  <si>
    <t>Matière</t>
  </si>
  <si>
    <t>Etages</t>
  </si>
  <si>
    <t>Dépendances</t>
  </si>
  <si>
    <t>Berger </t>
  </si>
  <si>
    <t>Porte</t>
  </si>
  <si>
    <t>Attributs</t>
  </si>
  <si>
    <t>Domestique </t>
  </si>
  <si>
    <t>Esclave</t>
  </si>
  <si>
    <t>Garçon d’écurie </t>
  </si>
  <si>
    <t>Gardien de terre</t>
  </si>
  <si>
    <t>Laboureur </t>
  </si>
  <si>
    <t>Maraud </t>
  </si>
  <si>
    <t>Mendiant </t>
  </si>
  <si>
    <t>Saisonnier </t>
  </si>
  <si>
    <t>Vendangeur </t>
  </si>
  <si>
    <t>NS 1 </t>
  </si>
  <si>
    <t>Alchimiste </t>
  </si>
  <si>
    <t>Amuseur </t>
  </si>
  <si>
    <t>Artiste </t>
  </si>
  <si>
    <t>Aumônier </t>
  </si>
  <si>
    <t>Bûcheron </t>
  </si>
  <si>
    <t>Caravanier </t>
  </si>
  <si>
    <t>Carrier </t>
  </si>
  <si>
    <t>Charbonnier</t>
  </si>
  <si>
    <t>Charretier </t>
  </si>
  <si>
    <t>Chiffonnier </t>
  </si>
  <si>
    <t>Colporteur </t>
  </si>
  <si>
    <t>Éclaireur</t>
  </si>
  <si>
    <t>Éleveur </t>
  </si>
  <si>
    <t>Entraîneur animaux </t>
  </si>
  <si>
    <t>Ermite </t>
  </si>
  <si>
    <t>Fermier</t>
  </si>
  <si>
    <t>Gens d’arme</t>
  </si>
  <si>
    <t>Geôlier </t>
  </si>
  <si>
    <t>Homme d’arme </t>
  </si>
  <si>
    <t>Joueur </t>
  </si>
  <si>
    <t>Laitier </t>
  </si>
  <si>
    <t>Maraîcher</t>
  </si>
  <si>
    <t>Marin eau douce </t>
  </si>
  <si>
    <t>Marin mer </t>
  </si>
  <si>
    <t>Marinier </t>
  </si>
  <si>
    <t>Mineur </t>
  </si>
  <si>
    <t>Ouvrier </t>
  </si>
  <si>
    <t>Pêcheur </t>
  </si>
  <si>
    <t>Pisteur </t>
  </si>
  <si>
    <t>Poète</t>
  </si>
  <si>
    <t>Porcher </t>
  </si>
  <si>
    <t>Prêcheur </t>
  </si>
  <si>
    <t>Prostitué </t>
  </si>
  <si>
    <t>Rebouteux </t>
  </si>
  <si>
    <t>Sorcier </t>
  </si>
  <si>
    <t>NS 2 </t>
  </si>
  <si>
    <t>Assassin </t>
  </si>
  <si>
    <t>Chasseur</t>
  </si>
  <si>
    <t>Esclavagiste </t>
  </si>
  <si>
    <t>Jongleur </t>
  </si>
  <si>
    <t>Mercenaire</t>
  </si>
  <si>
    <t>Potier </t>
  </si>
  <si>
    <t>Sapeur</t>
  </si>
  <si>
    <t>Tavernier </t>
  </si>
  <si>
    <t>Usurier </t>
  </si>
  <si>
    <t>Voleur </t>
  </si>
  <si>
    <t>NS 3 </t>
  </si>
  <si>
    <t>Bateleur </t>
  </si>
  <si>
    <t>Cuisinier </t>
  </si>
  <si>
    <t>Danseur </t>
  </si>
  <si>
    <t>Distilleur </t>
  </si>
  <si>
    <t>Espion </t>
  </si>
  <si>
    <t>Fabricant trappe </t>
  </si>
  <si>
    <t>Forestier </t>
  </si>
  <si>
    <t>Maçon </t>
  </si>
  <si>
    <t>Maître chenil </t>
  </si>
  <si>
    <t>Maître équipage </t>
  </si>
  <si>
    <t>Messager</t>
  </si>
  <si>
    <t>Musicien </t>
  </si>
  <si>
    <t>Ramoneur </t>
  </si>
  <si>
    <t>Savant</t>
  </si>
  <si>
    <t>Serviteur </t>
  </si>
  <si>
    <t>Tailleur pierre </t>
  </si>
  <si>
    <t>Fabr. de tente </t>
  </si>
  <si>
    <t>Tuilier </t>
  </si>
  <si>
    <t>Vigneron </t>
  </si>
  <si>
    <t>NS 4 </t>
  </si>
  <si>
    <t>Acrobate </t>
  </si>
  <si>
    <t>Arracheur dent </t>
  </si>
  <si>
    <t>Barbier </t>
  </si>
  <si>
    <t>Boulanger</t>
  </si>
  <si>
    <t>Charpentier </t>
  </si>
  <si>
    <t>Cordonnier </t>
  </si>
  <si>
    <t>Embaumeur </t>
  </si>
  <si>
    <t>Ménestrel </t>
  </si>
  <si>
    <t>Menuisier </t>
  </si>
  <si>
    <t>Meunier</t>
  </si>
  <si>
    <t>Officier </t>
  </si>
  <si>
    <t>Scribe </t>
  </si>
  <si>
    <t>Sellier </t>
  </si>
  <si>
    <t>Sergent </t>
  </si>
  <si>
    <t>Serrurier </t>
  </si>
  <si>
    <t>Tanneur </t>
  </si>
  <si>
    <t>Tisserand </t>
  </si>
  <si>
    <t>NS 5 </t>
  </si>
  <si>
    <t>Apothicaire </t>
  </si>
  <si>
    <t>Aubergiste </t>
  </si>
  <si>
    <t>Boucher</t>
  </si>
  <si>
    <t>Chaudronnier </t>
  </si>
  <si>
    <t>Drapier </t>
  </si>
  <si>
    <t>Ébéniste </t>
  </si>
  <si>
    <t>Écrivain public </t>
  </si>
  <si>
    <t>Forgeron </t>
  </si>
  <si>
    <t>Fourreur </t>
  </si>
  <si>
    <t>Graveur </t>
  </si>
  <si>
    <t>Herboriste </t>
  </si>
  <si>
    <t>Marchand </t>
  </si>
  <si>
    <t>Tailleur </t>
  </si>
  <si>
    <t>Teinturier </t>
  </si>
  <si>
    <t>NS 6 </t>
  </si>
  <si>
    <t>Architecte </t>
  </si>
  <si>
    <t>Armateur </t>
  </si>
  <si>
    <t>Armurier </t>
  </si>
  <si>
    <t>Cartographe </t>
  </si>
  <si>
    <t>Enlumineur </t>
  </si>
  <si>
    <t>Fauconnier </t>
  </si>
  <si>
    <t>Harpiste </t>
  </si>
  <si>
    <t>Joaillier </t>
  </si>
  <si>
    <t>Maître d’arme </t>
  </si>
  <si>
    <t>Médecin </t>
  </si>
  <si>
    <t>Parfumeur </t>
  </si>
  <si>
    <t>Pilote </t>
  </si>
  <si>
    <t>Soigneur d’animaux </t>
  </si>
  <si>
    <t>NS 7 </t>
  </si>
  <si>
    <t>Écuyer </t>
  </si>
  <si>
    <t>Étudiant</t>
  </si>
  <si>
    <t>Fou</t>
  </si>
  <si>
    <t>Lexicographe</t>
  </si>
  <si>
    <t>Linguiste</t>
  </si>
  <si>
    <t>Mathématicien </t>
  </si>
  <si>
    <t>Orateur </t>
  </si>
  <si>
    <t>Prêtre </t>
  </si>
  <si>
    <t>Scientifique </t>
  </si>
  <si>
    <t>Tuteur </t>
  </si>
  <si>
    <t>NS 8 </t>
  </si>
  <si>
    <t>Astrologue </t>
  </si>
  <si>
    <t>Bailli </t>
  </si>
  <si>
    <t>Changeur</t>
  </si>
  <si>
    <t>Chapelain </t>
  </si>
  <si>
    <t>Chevalier </t>
  </si>
  <si>
    <t>Clerc </t>
  </si>
  <si>
    <t>Conseiller </t>
  </si>
  <si>
    <t>Courtisan </t>
  </si>
  <si>
    <t>Diplomate </t>
  </si>
  <si>
    <t>Guérisseur </t>
  </si>
  <si>
    <t>Ingénieur </t>
  </si>
  <si>
    <t>Intendant </t>
  </si>
  <si>
    <t>Juge</t>
  </si>
  <si>
    <t>Notaire </t>
  </si>
  <si>
    <t>Page</t>
  </si>
  <si>
    <t>Plaideur </t>
  </si>
  <si>
    <t>Prévôt </t>
  </si>
  <si>
    <t>Professeur </t>
  </si>
  <si>
    <t>Rentier </t>
  </si>
  <si>
    <t>Sénéchal </t>
  </si>
  <si>
    <t>NS 9 </t>
  </si>
  <si>
    <t>Banneret </t>
  </si>
  <si>
    <t>Baron </t>
  </si>
  <si>
    <t>Comte </t>
  </si>
  <si>
    <t>Dignitaire religieux </t>
  </si>
  <si>
    <t>Duc </t>
  </si>
  <si>
    <t>Héraut </t>
  </si>
  <si>
    <t>Inquisiteur </t>
  </si>
  <si>
    <t>Petit seigneur</t>
  </si>
  <si>
    <t>Roi </t>
  </si>
  <si>
    <t>Richesse (0,1-2,0)</t>
  </si>
  <si>
    <t>Rôle</t>
  </si>
  <si>
    <t>Esq</t>
  </si>
  <si>
    <t>MV</t>
  </si>
  <si>
    <t>Cp</t>
  </si>
  <si>
    <t>Vit</t>
  </si>
  <si>
    <t>PDC</t>
  </si>
  <si>
    <t>Arme3</t>
  </si>
  <si>
    <t>Arme2</t>
  </si>
  <si>
    <t>Arme1</t>
  </si>
  <si>
    <t>poils</t>
  </si>
  <si>
    <t>long.</t>
  </si>
  <si>
    <t>Âge</t>
  </si>
  <si>
    <t>(négative)  Attitude  (positive)</t>
  </si>
  <si>
    <t>Yeux</t>
  </si>
  <si>
    <t>Cheveux</t>
  </si>
  <si>
    <t>Étrange</t>
  </si>
  <si>
    <t>Recherche</t>
  </si>
  <si>
    <t>Herboristerie</t>
  </si>
  <si>
    <t>Charpente</t>
  </si>
  <si>
    <t>arme lourde</t>
  </si>
  <si>
    <t>stratè</t>
  </si>
  <si>
    <t>art cbt</t>
  </si>
  <si>
    <t>Téméraire</t>
  </si>
  <si>
    <t>Introverti</t>
  </si>
  <si>
    <t>Cruel</t>
  </si>
  <si>
    <t>Inconnu.e</t>
  </si>
  <si>
    <t>Cavalerie</t>
  </si>
  <si>
    <t>Héraldique</t>
  </si>
  <si>
    <t xml:space="preserve">Musique + </t>
  </si>
  <si>
    <t>Brasserie</t>
  </si>
  <si>
    <t>épieu</t>
  </si>
  <si>
    <t>tactic</t>
  </si>
  <si>
    <t xml:space="preserve">acro cb </t>
  </si>
  <si>
    <t>lance+</t>
  </si>
  <si>
    <t>barbe+</t>
  </si>
  <si>
    <t>sales</t>
  </si>
  <si>
    <t>Extroverti</t>
  </si>
  <si>
    <t>Chef</t>
  </si>
  <si>
    <t>Vicieux</t>
  </si>
  <si>
    <t>bleu+</t>
  </si>
  <si>
    <t>blancs</t>
  </si>
  <si>
    <t>Adopté.e</t>
  </si>
  <si>
    <t>Assassinat</t>
  </si>
  <si>
    <t>Forge</t>
  </si>
  <si>
    <t>Mine</t>
  </si>
  <si>
    <t>Transport</t>
  </si>
  <si>
    <t>fronde</t>
  </si>
  <si>
    <t>4b</t>
  </si>
  <si>
    <t>vitesse</t>
  </si>
  <si>
    <t>cb chev</t>
  </si>
  <si>
    <t>épée+</t>
  </si>
  <si>
    <t>tr long</t>
  </si>
  <si>
    <t xml:space="preserve">Capricieux </t>
  </si>
  <si>
    <t>Nerveux</t>
  </si>
  <si>
    <t>Hypocrite</t>
  </si>
  <si>
    <t>bleus+</t>
  </si>
  <si>
    <t>Navig/Carto</t>
  </si>
  <si>
    <t xml:space="preserve">Lan non-hum + </t>
  </si>
  <si>
    <t>Survie</t>
  </si>
  <si>
    <t>lancé</t>
  </si>
  <si>
    <t>3b</t>
  </si>
  <si>
    <t>talent</t>
  </si>
  <si>
    <t>project</t>
  </si>
  <si>
    <t>masse+</t>
  </si>
  <si>
    <t>barbe</t>
  </si>
  <si>
    <t>Ambitieux</t>
  </si>
  <si>
    <t>Effacé</t>
  </si>
  <si>
    <t>Sadique</t>
  </si>
  <si>
    <t>blond</t>
  </si>
  <si>
    <t>Veuf.ve</t>
  </si>
  <si>
    <t>Minéraux</t>
  </si>
  <si>
    <t>Armurerie</t>
  </si>
  <si>
    <t>Danse</t>
  </si>
  <si>
    <t>Serviteur</t>
  </si>
  <si>
    <t>arc</t>
  </si>
  <si>
    <t>assass</t>
  </si>
  <si>
    <t>arbalèt</t>
  </si>
  <si>
    <t>hache+</t>
  </si>
  <si>
    <t>long</t>
  </si>
  <si>
    <t>Joueur</t>
  </si>
  <si>
    <t>Menteur</t>
  </si>
  <si>
    <t>gris+</t>
  </si>
  <si>
    <t>Séparé.e</t>
  </si>
  <si>
    <t>Médecine</t>
  </si>
  <si>
    <t>Poison</t>
  </si>
  <si>
    <t>Cuir</t>
  </si>
  <si>
    <t>épée</t>
  </si>
  <si>
    <t>siège</t>
  </si>
  <si>
    <t>hache</t>
  </si>
  <si>
    <t>moust</t>
  </si>
  <si>
    <t>Calme</t>
  </si>
  <si>
    <t>Grossier</t>
  </si>
  <si>
    <t>vert+</t>
  </si>
  <si>
    <t>châtains</t>
  </si>
  <si>
    <t>En fuite</t>
  </si>
  <si>
    <t>Diplomatie</t>
  </si>
  <si>
    <t xml:space="preserve">Lecture + </t>
  </si>
  <si>
    <t>Convoyage</t>
  </si>
  <si>
    <t>Piste</t>
  </si>
  <si>
    <t>caval</t>
  </si>
  <si>
    <t>dague</t>
  </si>
  <si>
    <t>moyen</t>
  </si>
  <si>
    <t>Franc</t>
  </si>
  <si>
    <t>Vindicatif</t>
  </si>
  <si>
    <t>br clair</t>
  </si>
  <si>
    <t>Caché</t>
  </si>
  <si>
    <t>Astrologie</t>
  </si>
  <si>
    <t xml:space="preserve">Jeu </t>
  </si>
  <si>
    <t xml:space="preserve">Construction </t>
  </si>
  <si>
    <t>Pièges</t>
  </si>
  <si>
    <t>2b</t>
  </si>
  <si>
    <t>piéton</t>
  </si>
  <si>
    <t>arc+</t>
  </si>
  <si>
    <t xml:space="preserve">lance </t>
  </si>
  <si>
    <t>multimax</t>
  </si>
  <si>
    <t>Timide</t>
  </si>
  <si>
    <t>Belliqueux</t>
  </si>
  <si>
    <t>brun+</t>
  </si>
  <si>
    <t>6+</t>
  </si>
  <si>
    <t>Alchimie</t>
  </si>
  <si>
    <t>Intrigue</t>
  </si>
  <si>
    <t>Comédie</t>
  </si>
  <si>
    <t>Nage</t>
  </si>
  <si>
    <t>Embusc</t>
  </si>
  <si>
    <t>pique</t>
  </si>
  <si>
    <t>bouc</t>
  </si>
  <si>
    <t>multimin</t>
  </si>
  <si>
    <t>Serein</t>
  </si>
  <si>
    <t>Fier</t>
  </si>
  <si>
    <t>Immoral</t>
  </si>
  <si>
    <t>bruns</t>
  </si>
  <si>
    <t>Acrobatie</t>
  </si>
  <si>
    <t>Equarissage</t>
  </si>
  <si>
    <t>Chant</t>
  </si>
  <si>
    <t>Mendicité</t>
  </si>
  <si>
    <t>1b</t>
  </si>
  <si>
    <t>bouclier</t>
  </si>
  <si>
    <t>mal ras</t>
  </si>
  <si>
    <t>courts</t>
  </si>
  <si>
    <t>Poli</t>
  </si>
  <si>
    <t>Égocentriq</t>
  </si>
  <si>
    <t>Agressif</t>
  </si>
  <si>
    <t>Vol/Criminal</t>
  </si>
  <si>
    <t>Ébénisterie</t>
  </si>
  <si>
    <t>Traque</t>
  </si>
  <si>
    <t>Marine</t>
  </si>
  <si>
    <t>Dévoué</t>
  </si>
  <si>
    <t>Hautain</t>
  </si>
  <si>
    <t>Brutal</t>
  </si>
  <si>
    <t>Religion/Magi</t>
  </si>
  <si>
    <t>Création</t>
  </si>
  <si>
    <t>Sexe</t>
  </si>
  <si>
    <t>Lang</t>
  </si>
  <si>
    <t>masse</t>
  </si>
  <si>
    <t>rasé</t>
  </si>
  <si>
    <t>Bon</t>
  </si>
  <si>
    <t>Pessimiste</t>
  </si>
  <si>
    <t>Arrogant</t>
  </si>
  <si>
    <t>noiset</t>
  </si>
  <si>
    <t>br somb</t>
  </si>
  <si>
    <t>Joaillerie</t>
  </si>
  <si>
    <t>Coupe</t>
  </si>
  <si>
    <t>Rhétorique</t>
  </si>
  <si>
    <t>Lan signes</t>
  </si>
  <si>
    <t>tr cour</t>
  </si>
  <si>
    <t>Généreux</t>
  </si>
  <si>
    <t>Indifférent</t>
  </si>
  <si>
    <t>Couard</t>
  </si>
  <si>
    <t>noirs</t>
  </si>
  <si>
    <t>Stratégie</t>
  </si>
  <si>
    <t>Const navale</t>
  </si>
  <si>
    <t>Maquillage</t>
  </si>
  <si>
    <t>Escalade</t>
  </si>
  <si>
    <t>moust-</t>
  </si>
  <si>
    <t>brosse</t>
  </si>
  <si>
    <t>Tolérant</t>
  </si>
  <si>
    <t>Morose</t>
  </si>
  <si>
    <t>Cupide</t>
  </si>
  <si>
    <t>gris</t>
  </si>
  <si>
    <t>Sculpture</t>
  </si>
  <si>
    <t>Commerce</t>
  </si>
  <si>
    <t>Maconnerie</t>
  </si>
  <si>
    <t>Dissimulation</t>
  </si>
  <si>
    <t>Charge</t>
  </si>
  <si>
    <t>duvet+</t>
  </si>
  <si>
    <t>ras</t>
  </si>
  <si>
    <t>Accueilla</t>
  </si>
  <si>
    <t>Égocentri</t>
  </si>
  <si>
    <t>Intolérant</t>
  </si>
  <si>
    <t>gr-bleu</t>
  </si>
  <si>
    <t>Résilience</t>
  </si>
  <si>
    <t xml:space="preserve">Calligraphie + </t>
  </si>
  <si>
    <t xml:space="preserve">Lect lèvres </t>
  </si>
  <si>
    <t>Fuite</t>
  </si>
  <si>
    <t>2 arme</t>
  </si>
  <si>
    <t>duvet</t>
  </si>
  <si>
    <t>Courage</t>
  </si>
  <si>
    <t>Perfide</t>
  </si>
  <si>
    <t>verts</t>
  </si>
  <si>
    <t>tresse</t>
  </si>
  <si>
    <t>Piéton</t>
  </si>
  <si>
    <t>Archerie</t>
  </si>
  <si>
    <t xml:space="preserve">Élevage + </t>
  </si>
  <si>
    <t>Corruption</t>
  </si>
  <si>
    <t>0b</t>
  </si>
  <si>
    <t>mêlée</t>
  </si>
  <si>
    <t>ras+</t>
  </si>
  <si>
    <t>Sensible</t>
  </si>
  <si>
    <t>Autoritair</t>
  </si>
  <si>
    <t>bleus</t>
  </si>
  <si>
    <t>couron.</t>
  </si>
  <si>
    <t xml:space="preserve">Lan Divine + </t>
  </si>
  <si>
    <t>Usure</t>
  </si>
  <si>
    <t>Cuisine</t>
  </si>
  <si>
    <t>Baratin</t>
  </si>
  <si>
    <t>réaction</t>
  </si>
  <si>
    <t>divers</t>
  </si>
  <si>
    <t>poing</t>
  </si>
  <si>
    <t>glabre</t>
  </si>
  <si>
    <t>Doux</t>
  </si>
  <si>
    <t>Faux</t>
  </si>
  <si>
    <t>rien</t>
  </si>
  <si>
    <t>Ingénièrie</t>
  </si>
  <si>
    <t>Torture</t>
  </si>
  <si>
    <t>Couture</t>
  </si>
  <si>
    <t>résistan</t>
  </si>
  <si>
    <t>arc chv</t>
  </si>
  <si>
    <t>mains</t>
  </si>
  <si>
    <t>chauve</t>
  </si>
  <si>
    <t>don</t>
  </si>
  <si>
    <t>Chevaler</t>
  </si>
  <si>
    <t>Paranoïaq</t>
  </si>
  <si>
    <t>bicolo</t>
  </si>
  <si>
    <t>aucun</t>
  </si>
  <si>
    <t>deLETTRES</t>
  </si>
  <si>
    <t>LETTRES</t>
  </si>
  <si>
    <t>TNE</t>
  </si>
  <si>
    <t>Famille</t>
  </si>
  <si>
    <t>T.très rares</t>
  </si>
  <si>
    <t>T.rares</t>
  </si>
  <si>
    <t>T.courants</t>
  </si>
  <si>
    <t>T.fréquents</t>
  </si>
  <si>
    <t>Attitude3</t>
  </si>
  <si>
    <t>Attitude2</t>
  </si>
  <si>
    <t>Attitude1</t>
  </si>
  <si>
    <t>Probabilité</t>
  </si>
  <si>
    <t xml:space="preserve">Armure  </t>
  </si>
  <si>
    <t xml:space="preserve">Attaques </t>
  </si>
  <si>
    <t>Talents</t>
  </si>
  <si>
    <r>
      <t>Spécialités</t>
    </r>
    <r>
      <rPr>
        <sz val="8"/>
        <color theme="1"/>
        <rFont val="Verdana"/>
        <family val="2"/>
      </rPr>
      <t xml:space="preserve"> </t>
    </r>
  </si>
  <si>
    <t>Buts</t>
  </si>
  <si>
    <t xml:space="preserve">Trésors </t>
  </si>
  <si>
    <t>f</t>
  </si>
  <si>
    <t>en</t>
  </si>
  <si>
    <t>d</t>
  </si>
  <si>
    <t>a</t>
  </si>
  <si>
    <t>i</t>
  </si>
  <si>
    <t>v</t>
  </si>
  <si>
    <t xml:space="preserve">e </t>
  </si>
  <si>
    <t>em</t>
  </si>
  <si>
    <t>c</t>
  </si>
  <si>
    <t>ap</t>
  </si>
  <si>
    <t>nec</t>
  </si>
  <si>
    <t xml:space="preserve">ne </t>
  </si>
  <si>
    <t>nem</t>
  </si>
  <si>
    <t>ne</t>
  </si>
  <si>
    <t xml:space="preserve">PdC </t>
  </si>
  <si>
    <t xml:space="preserve">RM </t>
  </si>
  <si>
    <t xml:space="preserve">Vitesse </t>
  </si>
  <si>
    <t xml:space="preserve">VO </t>
  </si>
  <si>
    <t xml:space="preserve">VD </t>
  </si>
  <si>
    <t xml:space="preserve">Coup </t>
  </si>
  <si>
    <t xml:space="preserve">EN </t>
  </si>
  <si>
    <t xml:space="preserve">CI </t>
  </si>
  <si>
    <t xml:space="preserve">RMa </t>
  </si>
  <si>
    <t xml:space="preserve">RP </t>
  </si>
  <si>
    <t xml:space="preserve">MVP </t>
  </si>
  <si>
    <t xml:space="preserve">Esqui </t>
  </si>
  <si>
    <t xml:space="preserve">Réa </t>
  </si>
  <si>
    <t xml:space="preserve">Charg </t>
  </si>
  <si>
    <t xml:space="preserve">Fuite </t>
  </si>
  <si>
    <t xml:space="preserve">Soin </t>
  </si>
  <si>
    <t xml:space="preserve">NC </t>
  </si>
  <si>
    <t xml:space="preserve">PM </t>
  </si>
  <si>
    <t>Nom famille</t>
  </si>
  <si>
    <t>caché</t>
  </si>
  <si>
    <t>Domestique</t>
  </si>
  <si>
    <t>Étudiant-érud </t>
  </si>
  <si>
    <t>Animal</t>
  </si>
  <si>
    <t>hall de guilde</t>
  </si>
  <si>
    <t>Adjectif</t>
  </si>
  <si>
    <t>Siège de Guilde</t>
  </si>
  <si>
    <t>Couleur</t>
  </si>
  <si>
    <t>Comptoir de guilde</t>
  </si>
  <si>
    <t>Nom connu</t>
  </si>
  <si>
    <t>Laboureur</t>
  </si>
  <si>
    <t>Mot profession</t>
  </si>
  <si>
    <t>A l'abandon</t>
  </si>
  <si>
    <t>EnseigneX</t>
  </si>
  <si>
    <t>Vendangeur</t>
  </si>
  <si>
    <t>usurpateur</t>
  </si>
  <si>
    <t>NS0x</t>
  </si>
  <si>
    <t>NS2x</t>
  </si>
  <si>
    <t>NS7x</t>
  </si>
  <si>
    <t>NS9x</t>
  </si>
  <si>
    <t>TraitX</t>
  </si>
  <si>
    <t>NS3x</t>
  </si>
  <si>
    <t>NS4x</t>
  </si>
  <si>
    <t>NS5x</t>
  </si>
  <si>
    <t>NS6x</t>
  </si>
  <si>
    <t>NS8x</t>
  </si>
  <si>
    <t>Éleveur</t>
  </si>
  <si>
    <t xml:space="preserve">Entraîneur </t>
  </si>
  <si>
    <t>Homme d’arme</t>
  </si>
  <si>
    <t>Marin eau douce</t>
  </si>
  <si>
    <t>Sorcier</t>
  </si>
  <si>
    <t>NS1x</t>
  </si>
  <si>
    <t>TDOd100</t>
  </si>
  <si>
    <t>NTR</t>
  </si>
  <si>
    <t>Profession</t>
  </si>
  <si>
    <t>Prénom</t>
  </si>
  <si>
    <t>Enseigne</t>
  </si>
  <si>
    <t>Métiers</t>
  </si>
  <si>
    <t>NS 0 </t>
  </si>
  <si>
    <t>II</t>
  </si>
  <si>
    <t>III</t>
  </si>
  <si>
    <t>PropBase</t>
  </si>
  <si>
    <t>PropLocale</t>
  </si>
  <si>
    <t>Trait spécial</t>
  </si>
  <si>
    <t>Disponibilité tc/c/r/tr</t>
  </si>
  <si>
    <t>côte/lac</t>
  </si>
  <si>
    <t>NS(0-9)</t>
  </si>
  <si>
    <t>NTR(2-8)</t>
  </si>
  <si>
    <t>meuble3</t>
  </si>
  <si>
    <t>meuble2</t>
  </si>
  <si>
    <t>meuble1</t>
  </si>
  <si>
    <t>Meuble</t>
  </si>
  <si>
    <t>Emaux3</t>
  </si>
  <si>
    <t>Emaux2</t>
  </si>
  <si>
    <t>Emaux1</t>
  </si>
  <si>
    <t>Partition</t>
  </si>
  <si>
    <t>année mort</t>
  </si>
  <si>
    <t>Né en</t>
  </si>
  <si>
    <t>Nb frère/sœur</t>
  </si>
  <si>
    <t>âge</t>
  </si>
  <si>
    <t>grand-père</t>
  </si>
  <si>
    <t>arrière-gm</t>
  </si>
  <si>
    <t>arrière-gp</t>
  </si>
  <si>
    <t>père</t>
  </si>
  <si>
    <t>grand-mère</t>
  </si>
  <si>
    <t>nom PNJ</t>
  </si>
  <si>
    <t>Donner âge ou 0</t>
  </si>
  <si>
    <t>mère</t>
  </si>
  <si>
    <t>Facteur mortalité</t>
  </si>
  <si>
    <t>Année référ.</t>
  </si>
  <si>
    <t>meubles</t>
  </si>
  <si>
    <t>partition</t>
  </si>
  <si>
    <t>émaux</t>
  </si>
  <si>
    <t>déNS</t>
  </si>
  <si>
    <t>déFemme</t>
  </si>
  <si>
    <t>déTrait</t>
  </si>
  <si>
    <t>déTitre</t>
  </si>
  <si>
    <t>déMort</t>
  </si>
  <si>
    <t>déBâtard</t>
  </si>
  <si>
    <t>déFraterie</t>
  </si>
  <si>
    <t>déEnfants</t>
  </si>
  <si>
    <t>déNom</t>
  </si>
  <si>
    <t>déAGE</t>
  </si>
  <si>
    <t>Croissants</t>
  </si>
  <si>
    <t>Potencée</t>
  </si>
  <si>
    <t>contre vairé</t>
  </si>
  <si>
    <t xml:space="preserve">Courtois </t>
  </si>
  <si>
    <t>petit seigneur</t>
  </si>
  <si>
    <t>Billettes</t>
  </si>
  <si>
    <t>Rompu</t>
  </si>
  <si>
    <t xml:space="preserve">Dévoué </t>
  </si>
  <si>
    <t>Crancelin</t>
  </si>
  <si>
    <t>Alésé</t>
  </si>
  <si>
    <t xml:space="preserve">Bon </t>
  </si>
  <si>
    <t>chevalier</t>
  </si>
  <si>
    <t>Macles</t>
  </si>
  <si>
    <t>Aiguisé</t>
  </si>
  <si>
    <t>vairé</t>
  </si>
  <si>
    <t xml:space="preserve">Généreux </t>
  </si>
  <si>
    <t>intendant</t>
  </si>
  <si>
    <t>Quintefeuille</t>
  </si>
  <si>
    <t>Bretessé</t>
  </si>
  <si>
    <t xml:space="preserve">Tolérant </t>
  </si>
  <si>
    <t>clerc</t>
  </si>
  <si>
    <t>Merlettes</t>
  </si>
  <si>
    <t>Componé</t>
  </si>
  <si>
    <t xml:space="preserve">Accueillant </t>
  </si>
  <si>
    <t>Canettes</t>
  </si>
  <si>
    <t>Engrelé</t>
  </si>
  <si>
    <t>contre vair</t>
  </si>
  <si>
    <t xml:space="preserve">Courageux </t>
  </si>
  <si>
    <t>Atérions</t>
  </si>
  <si>
    <t>Bastillé</t>
  </si>
  <si>
    <t xml:space="preserve">Sensible </t>
  </si>
  <si>
    <t>Tête noire</t>
  </si>
  <si>
    <t>Vivré</t>
  </si>
  <si>
    <t>contre hermine</t>
  </si>
  <si>
    <t xml:space="preserve">Doux </t>
  </si>
  <si>
    <t>bailli</t>
  </si>
  <si>
    <t>Dentelé</t>
  </si>
  <si>
    <t xml:space="preserve">Chevaleresque </t>
  </si>
  <si>
    <t>Clef</t>
  </si>
  <si>
    <t xml:space="preserve">Tiercé en fasce </t>
  </si>
  <si>
    <t>vair</t>
  </si>
  <si>
    <t xml:space="preserve">Téméraire </t>
  </si>
  <si>
    <t>Tiercefeuille</t>
  </si>
  <si>
    <t xml:space="preserve">Tiercé en pal </t>
  </si>
  <si>
    <t xml:space="preserve">Extroverti </t>
  </si>
  <si>
    <t>Cep de vigne</t>
  </si>
  <si>
    <t>Losangé</t>
  </si>
  <si>
    <t>Phénix</t>
  </si>
  <si>
    <t>Echiqueté</t>
  </si>
  <si>
    <t xml:space="preserve">Ambitieux </t>
  </si>
  <si>
    <t>Couleuvre</t>
  </si>
  <si>
    <t>Contre fascé</t>
  </si>
  <si>
    <t xml:space="preserve">Joueur </t>
  </si>
  <si>
    <t>Dauphin</t>
  </si>
  <si>
    <t>Chevronné</t>
  </si>
  <si>
    <t>hermine</t>
  </si>
  <si>
    <t xml:space="preserve">Calme </t>
  </si>
  <si>
    <t>Jumelles</t>
  </si>
  <si>
    <t xml:space="preserve">Franc </t>
  </si>
  <si>
    <t>Sirène</t>
  </si>
  <si>
    <t>Colices</t>
  </si>
  <si>
    <t xml:space="preserve">Timide </t>
  </si>
  <si>
    <t>Licorne</t>
  </si>
  <si>
    <t>Bandé</t>
  </si>
  <si>
    <t xml:space="preserve">Serein </t>
  </si>
  <si>
    <t>Barré</t>
  </si>
  <si>
    <t xml:space="preserve">Coquet </t>
  </si>
  <si>
    <t>Burelé</t>
  </si>
  <si>
    <t>tanné</t>
  </si>
  <si>
    <t xml:space="preserve">Introverti </t>
  </si>
  <si>
    <t>El’Bis</t>
  </si>
  <si>
    <t>Fascé</t>
  </si>
  <si>
    <t xml:space="preserve">Chef </t>
  </si>
  <si>
    <t>Couronne</t>
  </si>
  <si>
    <t>Vergeté</t>
  </si>
  <si>
    <t xml:space="preserve">Nerveux </t>
  </si>
  <si>
    <t>Dague</t>
  </si>
  <si>
    <t>Palé</t>
  </si>
  <si>
    <t xml:space="preserve">Effacé </t>
  </si>
  <si>
    <t>Épée</t>
  </si>
  <si>
    <t>Giron</t>
  </si>
  <si>
    <t xml:space="preserve">Fier </t>
  </si>
  <si>
    <t>Hache</t>
  </si>
  <si>
    <t>Mantel</t>
  </si>
  <si>
    <t xml:space="preserve">Égocentrique </t>
  </si>
  <si>
    <t>Anneaux</t>
  </si>
  <si>
    <t>Embrasse</t>
  </si>
  <si>
    <t>orangé</t>
  </si>
  <si>
    <t xml:space="preserve">Hautain </t>
  </si>
  <si>
    <t>Étoiles</t>
  </si>
  <si>
    <t>Chausse</t>
  </si>
  <si>
    <t xml:space="preserve">Pessimiste </t>
  </si>
  <si>
    <t>héraut</t>
  </si>
  <si>
    <t>Yael</t>
  </si>
  <si>
    <t>16 quartiers</t>
  </si>
  <si>
    <t xml:space="preserve">Indifférent </t>
  </si>
  <si>
    <t>In’Ann</t>
  </si>
  <si>
    <t>8 quartiers</t>
  </si>
  <si>
    <t xml:space="preserve">Morose </t>
  </si>
  <si>
    <t>Chape</t>
  </si>
  <si>
    <t xml:space="preserve">Agressif </t>
  </si>
  <si>
    <t>conseiller</t>
  </si>
  <si>
    <t>Vêtement</t>
  </si>
  <si>
    <t xml:space="preserve">Brutal </t>
  </si>
  <si>
    <t>Équipolé</t>
  </si>
  <si>
    <t>pourpre</t>
  </si>
  <si>
    <t xml:space="preserve">Arrogant </t>
  </si>
  <si>
    <t>Cantan</t>
  </si>
  <si>
    <t xml:space="preserve">Couard </t>
  </si>
  <si>
    <t>Escarre</t>
  </si>
  <si>
    <t xml:space="preserve">Cupide </t>
  </si>
  <si>
    <t>Franc Quartier</t>
  </si>
  <si>
    <t>sinpole</t>
  </si>
  <si>
    <t xml:space="preserve">Intolérant </t>
  </si>
  <si>
    <t>Écu en cœur</t>
  </si>
  <si>
    <t xml:space="preserve">Perfide </t>
  </si>
  <si>
    <t>Orie</t>
  </si>
  <si>
    <t xml:space="preserve">Autoritaire </t>
  </si>
  <si>
    <t>Bordure</t>
  </si>
  <si>
    <t xml:space="preserve">Faux </t>
  </si>
  <si>
    <t>Gousset</t>
  </si>
  <si>
    <t xml:space="preserve">Paranoïaque </t>
  </si>
  <si>
    <t>sable</t>
  </si>
  <si>
    <t xml:space="preserve">Cruel </t>
  </si>
  <si>
    <t>Vires</t>
  </si>
  <si>
    <t xml:space="preserve">Vicieux </t>
  </si>
  <si>
    <t>inquisiteur</t>
  </si>
  <si>
    <t>Huchet</t>
  </si>
  <si>
    <t xml:space="preserve">Hypocrite </t>
  </si>
  <si>
    <t>Aigle</t>
  </si>
  <si>
    <t xml:space="preserve">Sadique </t>
  </si>
  <si>
    <t>Agneau</t>
  </si>
  <si>
    <t xml:space="preserve">Menteur </t>
  </si>
  <si>
    <t>Léopard</t>
  </si>
  <si>
    <t>azur</t>
  </si>
  <si>
    <t xml:space="preserve">Grossier </t>
  </si>
  <si>
    <t>Aquilon</t>
  </si>
  <si>
    <t xml:space="preserve">Vindicatif </t>
  </si>
  <si>
    <t>Dextrochère</t>
  </si>
  <si>
    <t xml:space="preserve">Belliqueux </t>
  </si>
  <si>
    <t>Sauvage</t>
  </si>
  <si>
    <t xml:space="preserve">Immoral </t>
  </si>
  <si>
    <t>Fleur de lis</t>
  </si>
  <si>
    <t xml:space="preserve">Infernal </t>
  </si>
  <si>
    <t>Parité</t>
  </si>
  <si>
    <t>sœur de…</t>
  </si>
  <si>
    <t>Chevron</t>
  </si>
  <si>
    <t>Sautoir</t>
  </si>
  <si>
    <t>fille de…</t>
  </si>
  <si>
    <t>Croix</t>
  </si>
  <si>
    <t>Barre</t>
  </si>
  <si>
    <t>Bande</t>
  </si>
  <si>
    <t>gueules</t>
  </si>
  <si>
    <t>Fasce</t>
  </si>
  <si>
    <t>Pal</t>
  </si>
  <si>
    <t>otage de …</t>
  </si>
  <si>
    <t>Champagne</t>
  </si>
  <si>
    <t>veuve de…</t>
  </si>
  <si>
    <t>diplomate</t>
  </si>
  <si>
    <t>or</t>
  </si>
  <si>
    <t>sénéchal</t>
  </si>
  <si>
    <t>mère de…</t>
  </si>
  <si>
    <t>juge</t>
  </si>
  <si>
    <t>tante de…</t>
  </si>
  <si>
    <t>banneret</t>
  </si>
  <si>
    <t>Rais</t>
  </si>
  <si>
    <t>6 quartiers</t>
  </si>
  <si>
    <t>Château</t>
  </si>
  <si>
    <t>Uni</t>
  </si>
  <si>
    <t>Tour</t>
  </si>
  <si>
    <t>Hure</t>
  </si>
  <si>
    <t>Gironné</t>
  </si>
  <si>
    <t>Lion</t>
  </si>
  <si>
    <t>Écartelé en sautoir</t>
  </si>
  <si>
    <t>Foi</t>
  </si>
  <si>
    <t>Écartelé</t>
  </si>
  <si>
    <t>Étoile</t>
  </si>
  <si>
    <t>Taillé</t>
  </si>
  <si>
    <t>Armes</t>
  </si>
  <si>
    <t>Tranché</t>
  </si>
  <si>
    <t>Tourteaux</t>
  </si>
  <si>
    <t>Coupé</t>
  </si>
  <si>
    <t>Besants</t>
  </si>
  <si>
    <t>Parti</t>
  </si>
  <si>
    <t>argent</t>
  </si>
  <si>
    <t>duc</t>
  </si>
  <si>
    <t>baron</t>
  </si>
  <si>
    <t>nbmeuble</t>
  </si>
  <si>
    <t>forme</t>
  </si>
  <si>
    <t>déMariage</t>
  </si>
  <si>
    <t>écu carré</t>
  </si>
  <si>
    <t>mar. interdit</t>
  </si>
  <si>
    <t>carré</t>
  </si>
  <si>
    <t>mar. façade</t>
  </si>
  <si>
    <t>naturelle</t>
  </si>
  <si>
    <t>adopté</t>
  </si>
  <si>
    <t>écu</t>
  </si>
  <si>
    <t>violente</t>
  </si>
  <si>
    <t>double</t>
  </si>
  <si>
    <t>acc voyage</t>
  </si>
  <si>
    <t>bâtard</t>
  </si>
  <si>
    <t>triangle</t>
  </si>
  <si>
    <t>roi</t>
  </si>
  <si>
    <t>acc maison</t>
  </si>
  <si>
    <t>acc travail</t>
  </si>
  <si>
    <t>losange</t>
  </si>
  <si>
    <t>bâtard reconnu</t>
  </si>
  <si>
    <t>rond</t>
  </si>
  <si>
    <t>héréditaire</t>
  </si>
  <si>
    <t>mar. forcé</t>
  </si>
  <si>
    <t>G-parents</t>
  </si>
  <si>
    <t>mort/parti</t>
  </si>
  <si>
    <t>noms</t>
  </si>
  <si>
    <t>Tante&amp;Oncle</t>
  </si>
  <si>
    <t>mèreX</t>
  </si>
  <si>
    <t>pèreX</t>
  </si>
  <si>
    <t>Parents</t>
  </si>
  <si>
    <t>P-enfants</t>
  </si>
  <si>
    <t>Enfants</t>
  </si>
  <si>
    <t>occulte</t>
  </si>
  <si>
    <t>Assassin - 1</t>
  </si>
  <si>
    <t>Nuée insecte</t>
  </si>
  <si>
    <t>Ruine</t>
  </si>
  <si>
    <t>Troupe - D10</t>
  </si>
  <si>
    <t>Nasse</t>
  </si>
  <si>
    <t>Verger</t>
  </si>
  <si>
    <t>Illuminé - d6/2</t>
  </si>
  <si>
    <t>Sables mouvants</t>
  </si>
  <si>
    <t>Autel-1</t>
  </si>
  <si>
    <t>cérémonie</t>
  </si>
  <si>
    <t>Maître - d6/2</t>
  </si>
  <si>
    <t>Falaise</t>
  </si>
  <si>
    <t>Pont</t>
  </si>
  <si>
    <t>Pèlerin - D10x4</t>
  </si>
  <si>
    <t>Eclipse</t>
  </si>
  <si>
    <t>Temple</t>
  </si>
  <si>
    <t>pèlerinage</t>
  </si>
  <si>
    <t>Herboriste - 1</t>
  </si>
  <si>
    <t>Incendie</t>
  </si>
  <si>
    <t>soins</t>
  </si>
  <si>
    <t>Guilde - d6</t>
  </si>
  <si>
    <t>Grêle</t>
  </si>
  <si>
    <t>Mercenaire - d6</t>
  </si>
  <si>
    <t>Perte</t>
  </si>
  <si>
    <t>Manoir</t>
  </si>
  <si>
    <t>placement</t>
  </si>
  <si>
    <t>..de prime - d6/2</t>
  </si>
  <si>
    <t>Tremblement</t>
  </si>
  <si>
    <t>Atelier</t>
  </si>
  <si>
    <t>butin</t>
  </si>
  <si>
    <t>Magicien - 1</t>
  </si>
  <si>
    <t>Accident</t>
  </si>
  <si>
    <t>Port</t>
  </si>
  <si>
    <t>ésotérique</t>
  </si>
  <si>
    <t>Brigand - D10</t>
  </si>
  <si>
    <t>Virus</t>
  </si>
  <si>
    <t>entretien</t>
  </si>
  <si>
    <t>Artiste - d6/2</t>
  </si>
  <si>
    <t>Piège</t>
  </si>
  <si>
    <t>Potager</t>
  </si>
  <si>
    <t>jeux</t>
  </si>
  <si>
    <t>Explorateur - D*</t>
  </si>
  <si>
    <t>Crue</t>
  </si>
  <si>
    <t>Cimetière-1</t>
  </si>
  <si>
    <t>Artisan - d6</t>
  </si>
  <si>
    <t>Crête</t>
  </si>
  <si>
    <t>Mur</t>
  </si>
  <si>
    <t>travaux</t>
  </si>
  <si>
    <t>..de persécution - D10</t>
  </si>
  <si>
    <t>arc-en-ciel</t>
  </si>
  <si>
    <t>Chapelle</t>
  </si>
  <si>
    <t>poursuite</t>
  </si>
  <si>
    <t xml:space="preserve">Médecin - d6/2 </t>
  </si>
  <si>
    <t>Gel</t>
  </si>
  <si>
    <t>Fort</t>
  </si>
  <si>
    <t>Marchand - D*</t>
  </si>
  <si>
    <t>Tempête</t>
  </si>
  <si>
    <t>Cave</t>
  </si>
  <si>
    <t>embuscade</t>
  </si>
  <si>
    <t>Militaire - D10x2</t>
  </si>
  <si>
    <t>Découverte</t>
  </si>
  <si>
    <t>Sérail</t>
  </si>
  <si>
    <t>excavation</t>
  </si>
  <si>
    <t>Traqueur - D10</t>
  </si>
  <si>
    <t>Eboulement</t>
  </si>
  <si>
    <t>Hutte</t>
  </si>
  <si>
    <t>fouille</t>
  </si>
  <si>
    <t>Eminence - D*</t>
  </si>
  <si>
    <t>Blessure</t>
  </si>
  <si>
    <t>Voleur - d6</t>
  </si>
  <si>
    <t>Chantier</t>
  </si>
  <si>
    <t>vie locale</t>
  </si>
  <si>
    <t>Acrobate - d6</t>
  </si>
  <si>
    <t>Collet</t>
  </si>
  <si>
    <t>Cultivé</t>
  </si>
  <si>
    <t>boivent</t>
  </si>
  <si>
    <t>Trésor - D*</t>
  </si>
  <si>
    <t>Sécheresse</t>
  </si>
  <si>
    <t>Tumulus-D10</t>
  </si>
  <si>
    <t>Compagnon - d6</t>
  </si>
  <si>
    <t>Ravin</t>
  </si>
  <si>
    <t>Clôture</t>
  </si>
  <si>
    <t>..de guerre - D10x3</t>
  </si>
  <si>
    <t>Noirceur</t>
  </si>
  <si>
    <t>Signe</t>
  </si>
  <si>
    <t>fuite</t>
  </si>
  <si>
    <t>Soigneur - D*</t>
  </si>
  <si>
    <t>Chaleur</t>
  </si>
  <si>
    <t>campement</t>
  </si>
  <si>
    <t>Convoyeur - d6</t>
  </si>
  <si>
    <t>Venteux</t>
  </si>
  <si>
    <t>Repaire</t>
  </si>
  <si>
    <t>querelle</t>
  </si>
  <si>
    <t>HA - d6</t>
  </si>
  <si>
    <t>Hameau</t>
  </si>
  <si>
    <t>ravitaillement</t>
  </si>
  <si>
    <t>Chasseur - d6</t>
  </si>
  <si>
    <t>Fissure</t>
  </si>
  <si>
    <t>Cabane</t>
  </si>
  <si>
    <t>perdu</t>
  </si>
  <si>
    <t>Prêtre - d6</t>
  </si>
  <si>
    <t>Ecorchure</t>
  </si>
  <si>
    <t>bourg</t>
  </si>
  <si>
    <t>Malandrin - d6x2</t>
  </si>
  <si>
    <t>Pourriture</t>
  </si>
  <si>
    <t>Carrière</t>
  </si>
  <si>
    <t>en famille</t>
  </si>
  <si>
    <t>Jongleur - d6</t>
  </si>
  <si>
    <t>Trappe</t>
  </si>
  <si>
    <t>Champ</t>
  </si>
  <si>
    <t>mange</t>
  </si>
  <si>
    <t>Intriguant - D*</t>
  </si>
  <si>
    <t>Inondation</t>
  </si>
  <si>
    <t>Ouvrier - d6</t>
  </si>
  <si>
    <t>Obstacle</t>
  </si>
  <si>
    <t>Muraille</t>
  </si>
  <si>
    <t>cueillette</t>
  </si>
  <si>
    <t>Immigrant - D10x2</t>
  </si>
  <si>
    <t>Luminosité</t>
  </si>
  <si>
    <t>Prieuré</t>
  </si>
  <si>
    <t>Malade - D*</t>
  </si>
  <si>
    <t>Froid</t>
  </si>
  <si>
    <t>Camp</t>
  </si>
  <si>
    <t>repos</t>
  </si>
  <si>
    <t>Colporteur - d6/2</t>
  </si>
  <si>
    <t>Pluie</t>
  </si>
  <si>
    <t>Relais</t>
  </si>
  <si>
    <t>Garde - d6</t>
  </si>
  <si>
    <t>Destruction</t>
  </si>
  <si>
    <t>Ferme</t>
  </si>
  <si>
    <t>Cueilleur - D10</t>
  </si>
  <si>
    <t>Chute</t>
  </si>
  <si>
    <t>Maison</t>
  </si>
  <si>
    <t>recherche</t>
  </si>
  <si>
    <t>Frère - D10</t>
  </si>
  <si>
    <t>Incident</t>
  </si>
  <si>
    <t>Village</t>
  </si>
  <si>
    <t xml:space="preserve">Mammifère </t>
  </si>
  <si>
    <t>Etrangère, autre royaume, pays lointain</t>
  </si>
  <si>
    <t>Très importante</t>
  </si>
  <si>
    <t>Fini depuis 1D10 jours</t>
  </si>
  <si>
    <t>Très grande</t>
  </si>
  <si>
    <t>Très riche</t>
  </si>
  <si>
    <t>Très dangereux</t>
  </si>
  <si>
    <t>Forte agressivité (bonus 10 embuscade)</t>
  </si>
  <si>
    <t>avant l’aube</t>
  </si>
  <si>
    <t>Multiple, déterminez la direction et la distance</t>
  </si>
  <si>
    <t>Importante</t>
  </si>
  <si>
    <t>Fini depuis 1D10 heures</t>
  </si>
  <si>
    <t>Mélange/autre</t>
  </si>
  <si>
    <t>Grande</t>
  </si>
  <si>
    <t>Riche</t>
  </si>
  <si>
    <t>Dangereux</t>
  </si>
  <si>
    <t>Agressivité, attaque à vue (bonus 5 embuscade)</t>
  </si>
  <si>
    <t>après minuit</t>
  </si>
  <si>
    <t>avant minuit</t>
  </si>
  <si>
    <t xml:space="preserve">Reptile </t>
  </si>
  <si>
    <t>Régionale, du fief, du domaine</t>
  </si>
  <si>
    <t>Moyenne</t>
  </si>
  <si>
    <t>Actuel, durée de 1D10x5 minutes</t>
  </si>
  <si>
    <t>Petite</t>
  </si>
  <si>
    <t>Normal</t>
  </si>
  <si>
    <t>Neutre</t>
  </si>
  <si>
    <t xml:space="preserve">neutralité </t>
  </si>
  <si>
    <t>début de soirée</t>
  </si>
  <si>
    <t>Amphibien</t>
  </si>
  <si>
    <t>coucher de soleil</t>
  </si>
  <si>
    <t xml:space="preserve">Poisson </t>
  </si>
  <si>
    <t>fin d’après-midi</t>
  </si>
  <si>
    <t>Ver</t>
  </si>
  <si>
    <t>Locale, de 1D10km</t>
  </si>
  <si>
    <t>Faible</t>
  </si>
  <si>
    <t>A commencé depuis 1D10 minutes</t>
  </si>
  <si>
    <t>début d’après-midi</t>
  </si>
  <si>
    <t>Insecte</t>
  </si>
  <si>
    <t>Pauvre</t>
  </si>
  <si>
    <t>Heureux</t>
  </si>
  <si>
    <t>Favorable, rencontre positive</t>
  </si>
  <si>
    <t>fin de matinée</t>
  </si>
  <si>
    <t>Oiseau</t>
  </si>
  <si>
    <t>début de matinée</t>
  </si>
  <si>
    <t>Très pauvre</t>
  </si>
  <si>
    <t>Très heureux</t>
  </si>
  <si>
    <t>Très favorable, amitié possible</t>
  </si>
  <si>
    <t>à l’aube</t>
  </si>
  <si>
    <t>Humains</t>
  </si>
  <si>
    <t>Ampleur</t>
  </si>
  <si>
    <t xml:space="preserve">Moment </t>
  </si>
  <si>
    <t>dé10s</t>
  </si>
  <si>
    <t>récente</t>
  </si>
  <si>
    <t>faubourg</t>
  </si>
  <si>
    <t>très pauvre</t>
  </si>
  <si>
    <t>ancienne</t>
  </si>
  <si>
    <t>périphérie</t>
  </si>
  <si>
    <t>très récente</t>
  </si>
  <si>
    <t>très ancienne</t>
  </si>
  <si>
    <t>éloignée</t>
  </si>
  <si>
    <t>ageville</t>
  </si>
  <si>
    <t>deploiement</t>
  </si>
  <si>
    <t>village</t>
  </si>
  <si>
    <t>ListeTerrain</t>
  </si>
  <si>
    <t>basse</t>
  </si>
  <si>
    <t>clergé</t>
  </si>
  <si>
    <t>haute</t>
  </si>
  <si>
    <t>ethnie</t>
  </si>
  <si>
    <t>séparée</t>
  </si>
  <si>
    <t>riche</t>
  </si>
  <si>
    <t>centrale</t>
  </si>
  <si>
    <t>très riche</t>
  </si>
  <si>
    <t>égalité</t>
  </si>
  <si>
    <t>cotelac</t>
  </si>
  <si>
    <t>Coursdeau</t>
  </si>
  <si>
    <t>desert</t>
  </si>
  <si>
    <t>foret</t>
  </si>
  <si>
    <t>ocean</t>
  </si>
  <si>
    <t>secondaire1</t>
  </si>
  <si>
    <t>secondaire2</t>
  </si>
  <si>
    <t>tertiaire1</t>
  </si>
  <si>
    <t>tertiaire2</t>
  </si>
  <si>
    <t>tertiaire3</t>
  </si>
  <si>
    <t>densitepop</t>
  </si>
  <si>
    <t>partieville</t>
  </si>
  <si>
    <t>richesseT</t>
  </si>
  <si>
    <t>favorise</t>
  </si>
  <si>
    <t>TDO</t>
  </si>
  <si>
    <t>Quartiers</t>
  </si>
  <si>
    <t>lg bord en m</t>
  </si>
  <si>
    <t>TSE</t>
  </si>
  <si>
    <t>N°</t>
  </si>
  <si>
    <t>situé</t>
  </si>
  <si>
    <t>distance</t>
  </si>
  <si>
    <t>densité</t>
  </si>
  <si>
    <t>population</t>
  </si>
  <si>
    <t>surface</t>
  </si>
  <si>
    <t>bords</t>
  </si>
  <si>
    <t>style</t>
  </si>
  <si>
    <t>sécurité</t>
  </si>
  <si>
    <t>flore</t>
  </si>
  <si>
    <t>Prin</t>
  </si>
  <si>
    <t>Seco</t>
  </si>
  <si>
    <t>Tert</t>
  </si>
  <si>
    <t>âge ville</t>
  </si>
  <si>
    <t xml:space="preserve">population </t>
  </si>
  <si>
    <t>densité hors</t>
  </si>
  <si>
    <t>densité dans</t>
  </si>
  <si>
    <t>m/ha</t>
  </si>
  <si>
    <t>habitants</t>
  </si>
  <si>
    <t>h/mais</t>
  </si>
  <si>
    <t>active</t>
  </si>
  <si>
    <t>superficie</t>
  </si>
  <si>
    <t>ha</t>
  </si>
  <si>
    <t>parties</t>
  </si>
  <si>
    <t>ROUd</t>
  </si>
  <si>
    <t>ROUq</t>
  </si>
  <si>
    <t>Parties après la 1ère</t>
  </si>
  <si>
    <t>DEFd10x</t>
  </si>
  <si>
    <t>Routes</t>
  </si>
  <si>
    <t>RELd100</t>
  </si>
  <si>
    <t>Fortifications</t>
  </si>
  <si>
    <t>couches</t>
  </si>
  <si>
    <t>hauteur</t>
  </si>
  <si>
    <t>chateaux</t>
  </si>
  <si>
    <t>équipements défensif</t>
  </si>
  <si>
    <t>RICd100</t>
  </si>
  <si>
    <t>Culte</t>
  </si>
  <si>
    <t>Eglise</t>
  </si>
  <si>
    <t>Cathédrale</t>
  </si>
  <si>
    <t>Pèlerinage</t>
  </si>
  <si>
    <t>MARd100</t>
  </si>
  <si>
    <t>Marchés</t>
  </si>
  <si>
    <t>Marché/jour</t>
  </si>
  <si>
    <t>NE max</t>
  </si>
  <si>
    <t>Ressource</t>
  </si>
  <si>
    <t>Spécial</t>
  </si>
  <si>
    <t>de</t>
  </si>
  <si>
    <t xml:space="preserve">à </t>
  </si>
  <si>
    <t>Note</t>
  </si>
  <si>
    <t>Seigneur</t>
  </si>
  <si>
    <t>Relatifs</t>
  </si>
  <si>
    <t>Intendant</t>
  </si>
  <si>
    <t>Chevalier</t>
  </si>
  <si>
    <t>HA</t>
  </si>
  <si>
    <t>Officier</t>
  </si>
  <si>
    <t>Cour</t>
  </si>
  <si>
    <t>Impôts</t>
  </si>
  <si>
    <t>Lois</t>
  </si>
  <si>
    <t>Histoires</t>
  </si>
  <si>
    <t>Âges</t>
  </si>
  <si>
    <t>Caractère</t>
  </si>
  <si>
    <t>PVI-tot</t>
  </si>
  <si>
    <t>Terrain dominant principal</t>
  </si>
  <si>
    <t>Terrain dominant secondaire</t>
  </si>
  <si>
    <t>Ressource principale</t>
  </si>
  <si>
    <t>Ressource secondaire</t>
  </si>
  <si>
    <t>Ressource tertiaire</t>
  </si>
  <si>
    <t>Population minimale</t>
  </si>
  <si>
    <t>Population maximale</t>
  </si>
  <si>
    <t>Parties de la ville (1-5)</t>
  </si>
  <si>
    <t>Influence religion 0,1&gt;2,0</t>
  </si>
  <si>
    <t>Nombre de marchés</t>
  </si>
  <si>
    <t>Nombre de quartiers</t>
  </si>
  <si>
    <t>Nombre  d'ethnie (1-10)</t>
  </si>
  <si>
    <t>Tertiaire</t>
  </si>
  <si>
    <t>Secondaire</t>
  </si>
  <si>
    <t>Terrains secondaires</t>
  </si>
  <si>
    <t>Terrain principaux</t>
  </si>
  <si>
    <t>Personnes actives dans cette ressource</t>
  </si>
  <si>
    <t>Liens entre  Ressource et Carrière</t>
  </si>
  <si>
    <t>Voyage</t>
  </si>
  <si>
    <t>Terre</t>
  </si>
  <si>
    <t>Sombre</t>
  </si>
  <si>
    <t>Servage</t>
  </si>
  <si>
    <t>Parole</t>
  </si>
  <si>
    <t>Parfum/Exotique</t>
  </si>
  <si>
    <t>Mer</t>
  </si>
  <si>
    <t>Fer</t>
  </si>
  <si>
    <t>Art noble/populaire</t>
  </si>
  <si>
    <t>Écrit</t>
  </si>
  <si>
    <t>Herboriste/Min/Equ </t>
  </si>
  <si>
    <t>Commerce/Guilde</t>
  </si>
  <si>
    <t>Artistique</t>
  </si>
  <si>
    <t>Artisan</t>
  </si>
  <si>
    <t>Animaux</t>
  </si>
  <si>
    <t xml:space="preserve">Elevage </t>
  </si>
  <si>
    <t xml:space="preserve">Pêche </t>
  </si>
  <si>
    <t>Mot</t>
  </si>
  <si>
    <t>clé</t>
  </si>
  <si>
    <t>aeiouy</t>
  </si>
  <si>
    <t>bcdfghjklmnpqrstvwx</t>
  </si>
  <si>
    <t>se</t>
  </si>
  <si>
    <t>languelangue</t>
  </si>
  <si>
    <t>libérer</t>
  </si>
  <si>
    <t>des</t>
  </si>
  <si>
    <t>dieux</t>
  </si>
  <si>
    <t xml:space="preserve">hameaux </t>
  </si>
  <si>
    <t xml:space="preserve">villages </t>
  </si>
  <si>
    <t xml:space="preserve">bourgs </t>
  </si>
  <si>
    <t xml:space="preserve">manoirs </t>
  </si>
  <si>
    <t xml:space="preserve">châteaux </t>
  </si>
  <si>
    <t>F(pou)</t>
  </si>
  <si>
    <t>Défense</t>
  </si>
  <si>
    <t>Art Graphique</t>
  </si>
  <si>
    <t>F(pui)</t>
  </si>
  <si>
    <t>CI</t>
  </si>
  <si>
    <t>En(sou)</t>
  </si>
  <si>
    <t>En(fat)</t>
  </si>
  <si>
    <t>Élevage</t>
  </si>
  <si>
    <t>Porter</t>
  </si>
  <si>
    <t>D(coo)</t>
  </si>
  <si>
    <t>Gestion</t>
  </si>
  <si>
    <t xml:space="preserve">Language </t>
  </si>
  <si>
    <t>Tirer</t>
  </si>
  <si>
    <t>Goût</t>
  </si>
  <si>
    <t>D(man)</t>
  </si>
  <si>
    <t>Arc</t>
  </si>
  <si>
    <t>Odorat</t>
  </si>
  <si>
    <t>A(sop)</t>
  </si>
  <si>
    <t>Attaque</t>
  </si>
  <si>
    <t>Ouïe</t>
  </si>
  <si>
    <t>A(equ)</t>
  </si>
  <si>
    <t>PdM +/-2</t>
  </si>
  <si>
    <t>C(rob)</t>
  </si>
  <si>
    <t>Toucher</t>
  </si>
  <si>
    <t>C(san</t>
  </si>
  <si>
    <t>Embuscade</t>
  </si>
  <si>
    <t xml:space="preserve">Vue </t>
  </si>
  <si>
    <t>I(mem)</t>
  </si>
  <si>
    <t>CC(pour gagner)</t>
  </si>
  <si>
    <t>I(rai)</t>
  </si>
  <si>
    <t>Fronde</t>
  </si>
  <si>
    <t>Critique Combat</t>
  </si>
  <si>
    <t>V(res)</t>
  </si>
  <si>
    <t>Mêlée</t>
  </si>
  <si>
    <t>Perception magie</t>
  </si>
  <si>
    <t>V(car)</t>
  </si>
  <si>
    <t>Obéissance</t>
  </si>
  <si>
    <t>E(rap)</t>
  </si>
  <si>
    <t>Pique</t>
  </si>
  <si>
    <t>E(voi)</t>
  </si>
  <si>
    <t>Language des signes</t>
  </si>
  <si>
    <t>Réaction</t>
  </si>
  <si>
    <t>Em(inu)</t>
  </si>
  <si>
    <t>Arbalète</t>
  </si>
  <si>
    <t>TG(ExT) +/-10%</t>
  </si>
  <si>
    <t>Em(com)</t>
  </si>
  <si>
    <t>Bouclier</t>
  </si>
  <si>
    <t>Ap(beau)</t>
  </si>
  <si>
    <t>Combat à deux armes</t>
  </si>
  <si>
    <t>AMa</t>
  </si>
  <si>
    <t>Ap(cha)</t>
  </si>
  <si>
    <t xml:space="preserve">Coma </t>
  </si>
  <si>
    <t>CPA TC +/-10%</t>
  </si>
  <si>
    <t>CPA TG +/-10%</t>
  </si>
  <si>
    <t xml:space="preserve">Calligraphie </t>
  </si>
  <si>
    <t>Masse</t>
  </si>
  <si>
    <t>Critique Magie</t>
  </si>
  <si>
    <t>Construction navale</t>
  </si>
  <si>
    <t>Jeu</t>
  </si>
  <si>
    <t>Moral</t>
  </si>
  <si>
    <t>Drogue (tests)</t>
  </si>
  <si>
    <t xml:space="preserve">Lecture lèvres </t>
  </si>
  <si>
    <t>Résistance</t>
  </si>
  <si>
    <t>Fatigue (tests)</t>
  </si>
  <si>
    <t>Musique</t>
  </si>
  <si>
    <t>VDN</t>
  </si>
  <si>
    <t>Maladie (tests)</t>
  </si>
  <si>
    <t>Navigation</t>
  </si>
  <si>
    <t>RMa</t>
  </si>
  <si>
    <t>VON</t>
  </si>
  <si>
    <t>RP</t>
  </si>
  <si>
    <t>VdC</t>
  </si>
  <si>
    <t>ENC +/-1%</t>
  </si>
  <si>
    <t>PdM+/-2</t>
  </si>
  <si>
    <t>Bonus/Malus général</t>
  </si>
  <si>
    <t>Cartographie</t>
  </si>
  <si>
    <t>Art du combat</t>
  </si>
  <si>
    <t>CNS TC</t>
  </si>
  <si>
    <t>Combat à cheval</t>
  </si>
  <si>
    <t>CNS TG</t>
  </si>
  <si>
    <t>Criminalité</t>
  </si>
  <si>
    <t>Lance</t>
  </si>
  <si>
    <t xml:space="preserve">NE(sort) </t>
  </si>
  <si>
    <t xml:space="preserve">Langue Divine </t>
  </si>
  <si>
    <t>NEM(ExP) +/-1%</t>
  </si>
  <si>
    <t xml:space="preserve">Langue non-humaine </t>
  </si>
  <si>
    <t>Siège</t>
  </si>
  <si>
    <t>PH</t>
  </si>
  <si>
    <t xml:space="preserve">Lecture </t>
  </si>
  <si>
    <t>VIT</t>
  </si>
  <si>
    <t>PMa</t>
  </si>
  <si>
    <t>TC(ExT) +/-10%</t>
  </si>
  <si>
    <t>Regen</t>
  </si>
  <si>
    <t>Stratège</t>
  </si>
  <si>
    <t>Vol</t>
  </si>
  <si>
    <t>NEC(ExP) +/-1%</t>
  </si>
  <si>
    <t>Sort(ExT) +/-10%</t>
  </si>
  <si>
    <t>carac</t>
  </si>
  <si>
    <t>profe</t>
  </si>
  <si>
    <t>voyag</t>
  </si>
  <si>
    <t>comba</t>
  </si>
  <si>
    <t>etran</t>
  </si>
  <si>
    <t>Evènements</t>
  </si>
  <si>
    <t>enjeu</t>
  </si>
  <si>
    <t>E1</t>
  </si>
  <si>
    <t>E2</t>
  </si>
  <si>
    <t>éleveur chevaux</t>
  </si>
  <si>
    <t>fauconnier</t>
  </si>
  <si>
    <t xml:space="preserve">maraud </t>
  </si>
  <si>
    <t>voleur</t>
  </si>
  <si>
    <t>alchimiste</t>
  </si>
  <si>
    <t>artiste</t>
  </si>
  <si>
    <t>carrier</t>
  </si>
  <si>
    <t>berger</t>
  </si>
  <si>
    <t>bûcheron</t>
  </si>
  <si>
    <t>caravanier</t>
  </si>
  <si>
    <t>charbonnier</t>
  </si>
  <si>
    <t>éclaireur</t>
  </si>
  <si>
    <t>ermite</t>
  </si>
  <si>
    <t>homme d'arme</t>
  </si>
  <si>
    <t>marin</t>
  </si>
  <si>
    <t>mineur</t>
  </si>
  <si>
    <t>pisteur</t>
  </si>
  <si>
    <t>porcher</t>
  </si>
  <si>
    <t>prostitué</t>
  </si>
  <si>
    <t>sorcier</t>
  </si>
  <si>
    <t>rebouteux</t>
  </si>
  <si>
    <t>assassin</t>
  </si>
  <si>
    <t>chasseur</t>
  </si>
  <si>
    <t>mercenaire</t>
  </si>
  <si>
    <t>tavernier</t>
  </si>
  <si>
    <t>usurier</t>
  </si>
  <si>
    <t>espion</t>
  </si>
  <si>
    <t>maçon</t>
  </si>
  <si>
    <t>maître chenil</t>
  </si>
  <si>
    <t>messager</t>
  </si>
  <si>
    <t>musicien</t>
  </si>
  <si>
    <t>savant</t>
  </si>
  <si>
    <t>tentier</t>
  </si>
  <si>
    <t>vigneron</t>
  </si>
  <si>
    <t>acrobate</t>
  </si>
  <si>
    <t>boulanger</t>
  </si>
  <si>
    <t>coordonnier</t>
  </si>
  <si>
    <t>menuisier</t>
  </si>
  <si>
    <t>meunier</t>
  </si>
  <si>
    <t>officier</t>
  </si>
  <si>
    <t>sellier</t>
  </si>
  <si>
    <t>serrurier</t>
  </si>
  <si>
    <t>tanneur</t>
  </si>
  <si>
    <t>tisserand</t>
  </si>
  <si>
    <t>apothicaire</t>
  </si>
  <si>
    <t>aubergiste</t>
  </si>
  <si>
    <t>boucher</t>
  </si>
  <si>
    <t>drapier</t>
  </si>
  <si>
    <t>ébéniste</t>
  </si>
  <si>
    <t>forgeron</t>
  </si>
  <si>
    <t>graveur</t>
  </si>
  <si>
    <t>herboriste</t>
  </si>
  <si>
    <t>équarisseur</t>
  </si>
  <si>
    <t>minéraliste</t>
  </si>
  <si>
    <t>teinturier</t>
  </si>
  <si>
    <t>architecte</t>
  </si>
  <si>
    <t>armurier</t>
  </si>
  <si>
    <t>cartographe</t>
  </si>
  <si>
    <t>enlumineur</t>
  </si>
  <si>
    <t>harpiste</t>
  </si>
  <si>
    <t>joaillier</t>
  </si>
  <si>
    <t>maître arme</t>
  </si>
  <si>
    <t>médecin</t>
  </si>
  <si>
    <t>pilote</t>
  </si>
  <si>
    <t>scribe</t>
  </si>
  <si>
    <t>écuyer</t>
  </si>
  <si>
    <t>mathématicien</t>
  </si>
  <si>
    <t>prêtre</t>
  </si>
  <si>
    <t>astrologue</t>
  </si>
  <si>
    <t>ingénieur</t>
  </si>
  <si>
    <t>professeur</t>
  </si>
  <si>
    <t>dignitaire</t>
  </si>
  <si>
    <t>serviteur</t>
  </si>
  <si>
    <t>I - Primaire</t>
  </si>
  <si>
    <t>II - Secondaire</t>
  </si>
  <si>
    <t>III - Tertiaire</t>
  </si>
  <si>
    <r>
      <t>Arme</t>
    </r>
    <r>
      <rPr>
        <vertAlign val="superscript"/>
        <sz val="9"/>
        <color theme="1"/>
        <rFont val="Verdana"/>
        <family val="2"/>
      </rPr>
      <t>1</t>
    </r>
  </si>
  <si>
    <t>Armure²</t>
  </si>
  <si>
    <t>Comm/Guil</t>
  </si>
  <si>
    <t>Métauxouti</t>
  </si>
  <si>
    <t>Art nob/popu</t>
  </si>
  <si>
    <t>Parf/Exotiq</t>
  </si>
  <si>
    <t>Prim</t>
  </si>
  <si>
    <t>Sec</t>
  </si>
  <si>
    <t>Ter</t>
  </si>
  <si>
    <t>Popu active</t>
  </si>
  <si>
    <t>selon importance : 5 10 20 40 80</t>
  </si>
  <si>
    <t>total</t>
  </si>
  <si>
    <t>Primaire : proportion par carrière</t>
  </si>
  <si>
    <t>camps/relais</t>
  </si>
  <si>
    <t>champ/verger</t>
  </si>
  <si>
    <t>ferme/isolé</t>
  </si>
  <si>
    <t xml:space="preserve">temples  </t>
  </si>
  <si>
    <t>fortification</t>
  </si>
  <si>
    <t>tours</t>
  </si>
  <si>
    <t>forts</t>
  </si>
  <si>
    <t>souterrains/caves</t>
  </si>
  <si>
    <t>créatures/ dangers</t>
  </si>
  <si>
    <t xml:space="preserve">pont/ouvrages </t>
  </si>
  <si>
    <t xml:space="preserve">ville/port </t>
  </si>
  <si>
    <t>monastères</t>
  </si>
  <si>
    <t>fortifications</t>
  </si>
  <si>
    <t>mines/carrières</t>
  </si>
  <si>
    <t>champs/vergers</t>
  </si>
  <si>
    <t>tombes/religieux</t>
  </si>
  <si>
    <t>mine/carrière</t>
  </si>
  <si>
    <t>Temple/monas</t>
  </si>
  <si>
    <t>créature/danger</t>
  </si>
  <si>
    <t xml:space="preserve">souterrain/cave </t>
  </si>
  <si>
    <t>Encodez les NE dans les survies pour le Perso</t>
  </si>
  <si>
    <t>pêc</t>
  </si>
  <si>
    <t>cha</t>
  </si>
  <si>
    <t>éle</t>
  </si>
  <si>
    <t>agr</t>
  </si>
  <si>
    <t>min</t>
  </si>
  <si>
    <t>pie</t>
  </si>
  <si>
    <t>boi</t>
  </si>
  <si>
    <t>pré</t>
  </si>
  <si>
    <t>épi</t>
  </si>
  <si>
    <t>vég</t>
  </si>
  <si>
    <t>pot</t>
  </si>
  <si>
    <t>pea</t>
  </si>
  <si>
    <t>tis</t>
  </si>
  <si>
    <t>TOT</t>
  </si>
  <si>
    <t>arm</t>
  </si>
  <si>
    <t>aru</t>
  </si>
  <si>
    <t>mét</t>
  </si>
  <si>
    <t>con</t>
  </si>
  <si>
    <t>dre</t>
  </si>
  <si>
    <t>Alcool</t>
  </si>
  <si>
    <t>alc</t>
  </si>
  <si>
    <t>arumure</t>
  </si>
  <si>
    <t>mag</t>
  </si>
  <si>
    <t>rel</t>
  </si>
  <si>
    <t>com</t>
  </si>
  <si>
    <t>mob</t>
  </si>
  <si>
    <t>fou</t>
  </si>
  <si>
    <t>tap</t>
  </si>
  <si>
    <t>jou</t>
  </si>
  <si>
    <t>orn</t>
  </si>
  <si>
    <t>tia</t>
  </si>
  <si>
    <t>out</t>
  </si>
  <si>
    <t>mat</t>
  </si>
  <si>
    <t>spé</t>
  </si>
  <si>
    <t>cré</t>
  </si>
  <si>
    <t>tiasne</t>
  </si>
  <si>
    <t>phi</t>
  </si>
  <si>
    <t>lib</t>
  </si>
  <si>
    <t>écr</t>
  </si>
  <si>
    <t>sci</t>
  </si>
  <si>
    <t>étr</t>
  </si>
  <si>
    <t>ord</t>
  </si>
  <si>
    <t>gui</t>
  </si>
  <si>
    <t>règ</t>
  </si>
  <si>
    <t>scu</t>
  </si>
  <si>
    <t>fre</t>
  </si>
  <si>
    <t>éso</t>
  </si>
  <si>
    <t>ens</t>
  </si>
  <si>
    <t>cul</t>
  </si>
  <si>
    <t>uni</t>
  </si>
  <si>
    <t>par</t>
  </si>
  <si>
    <t>poi</t>
  </si>
  <si>
    <t>exo</t>
  </si>
  <si>
    <t>gue</t>
  </si>
  <si>
    <t>mil</t>
  </si>
  <si>
    <t>éco</t>
  </si>
  <si>
    <t>fin</t>
  </si>
  <si>
    <t>unv</t>
  </si>
  <si>
    <t>unviersité</t>
  </si>
  <si>
    <t>CB?</t>
  </si>
  <si>
    <t>caractéristique</t>
  </si>
  <si>
    <t>profession</t>
  </si>
  <si>
    <t xml:space="preserve">Né </t>
  </si>
  <si>
    <t>DangerAHC</t>
  </si>
  <si>
    <t>DangerLE</t>
  </si>
  <si>
    <t>RichesseHC</t>
  </si>
  <si>
    <t>RichesseAC</t>
  </si>
  <si>
    <t>RichesseL</t>
  </si>
  <si>
    <t>Abandonné</t>
  </si>
  <si>
    <t>Décoré</t>
  </si>
  <si>
    <t>Luxueux</t>
  </si>
  <si>
    <t xml:space="preserve">Malade/blessé </t>
  </si>
  <si>
    <t xml:space="preserve">Faible </t>
  </si>
  <si>
    <t xml:space="preserve">Bonne santé </t>
  </si>
  <si>
    <t xml:space="preserve">Pleine forme </t>
  </si>
  <si>
    <t>LieuN</t>
  </si>
  <si>
    <t>Tombe</t>
  </si>
  <si>
    <t>ActivitéH</t>
  </si>
  <si>
    <t>normale</t>
  </si>
  <si>
    <t>consommation</t>
  </si>
  <si>
    <t>de zone</t>
  </si>
  <si>
    <t>en bande</t>
  </si>
  <si>
    <t>nouvelle zone</t>
  </si>
  <si>
    <t>défense</t>
  </si>
  <si>
    <t>rite</t>
  </si>
  <si>
    <t>2 jets à -1</t>
  </si>
  <si>
    <t>Repas</t>
  </si>
  <si>
    <t>Garde</t>
  </si>
  <si>
    <t>Combat</t>
  </si>
  <si>
    <t>Exploration</t>
  </si>
  <si>
    <t>Cérémonie</t>
  </si>
  <si>
    <t>Multiple</t>
  </si>
  <si>
    <t>préparation</t>
  </si>
  <si>
    <t>de lieu</t>
  </si>
  <si>
    <t>de trésor</t>
  </si>
  <si>
    <t>passage</t>
  </si>
  <si>
    <t>3 jets à -1</t>
  </si>
  <si>
    <t>pour jouer</t>
  </si>
  <si>
    <t>repérage</t>
  </si>
  <si>
    <t>de créature</t>
  </si>
  <si>
    <t>gagnant</t>
  </si>
  <si>
    <t>transhumance</t>
  </si>
  <si>
    <t>évènement</t>
  </si>
  <si>
    <t>de richesse</t>
  </si>
  <si>
    <t>souterraine</t>
  </si>
  <si>
    <t>religieuse</t>
  </si>
  <si>
    <t>4 jets à -1</t>
  </si>
  <si>
    <t>multiple</t>
  </si>
  <si>
    <t>digestion</t>
  </si>
  <si>
    <t>perdant</t>
  </si>
  <si>
    <t>exploration</t>
  </si>
  <si>
    <t>de mystère</t>
  </si>
  <si>
    <t>observation</t>
  </si>
  <si>
    <t>officielle</t>
  </si>
  <si>
    <t>5 jets à -1</t>
  </si>
  <si>
    <t>CréatureA</t>
  </si>
  <si>
    <t>CréatureAD</t>
  </si>
  <si>
    <t>LieuT</t>
  </si>
  <si>
    <t>TailleL</t>
  </si>
  <si>
    <t>MatériauxL</t>
  </si>
  <si>
    <t>DuréeE</t>
  </si>
  <si>
    <t>AmpleurE</t>
  </si>
  <si>
    <t>OrigineH</t>
  </si>
  <si>
    <t>AnimalM</t>
  </si>
  <si>
    <t>AnimalN</t>
  </si>
  <si>
    <t>AnimalA</t>
  </si>
  <si>
    <t>INS</t>
  </si>
  <si>
    <t>FRU</t>
  </si>
  <si>
    <t>D10/4</t>
  </si>
  <si>
    <t>D10/2</t>
  </si>
  <si>
    <t>D10x2</t>
  </si>
  <si>
    <t>D10/3</t>
  </si>
  <si>
    <t>D10xD10</t>
  </si>
  <si>
    <t>D100xD10</t>
  </si>
  <si>
    <t>migre</t>
  </si>
  <si>
    <t>social</t>
  </si>
  <si>
    <t>animalT</t>
  </si>
  <si>
    <t>Créatures</t>
  </si>
  <si>
    <t>param</t>
  </si>
  <si>
    <t>POPULATION carte</t>
  </si>
  <si>
    <t>lieux de culte</t>
  </si>
  <si>
    <t>Fréq./an</t>
  </si>
  <si>
    <t>pays</t>
  </si>
  <si>
    <t>hab</t>
  </si>
  <si>
    <t>aratad</t>
  </si>
  <si>
    <t>caldo</t>
  </si>
  <si>
    <t>ced</t>
  </si>
  <si>
    <t>clema</t>
  </si>
  <si>
    <t>crastara</t>
  </si>
  <si>
    <t>donara</t>
  </si>
  <si>
    <t>enstrim</t>
  </si>
  <si>
    <t>salaq</t>
  </si>
  <si>
    <t>shiben</t>
  </si>
  <si>
    <t>sorean</t>
  </si>
  <si>
    <t>ticasi</t>
  </si>
  <si>
    <t>uperan</t>
  </si>
  <si>
    <t>BARANIR</t>
  </si>
  <si>
    <t>CALREG</t>
  </si>
  <si>
    <t>DIRLARAN</t>
  </si>
  <si>
    <t>GOLEDON</t>
  </si>
  <si>
    <t>HARDMEN</t>
  </si>
  <si>
    <t>JAAPADZA</t>
  </si>
  <si>
    <t>KAZI</t>
  </si>
  <si>
    <t>LACEDI</t>
  </si>
  <si>
    <t>MAARDAN</t>
  </si>
  <si>
    <t>NORELAN</t>
  </si>
  <si>
    <t>SHARGUT</t>
  </si>
  <si>
    <t>SUADAN</t>
  </si>
  <si>
    <t>THALIB</t>
  </si>
  <si>
    <t>ZNEDALI</t>
  </si>
  <si>
    <t>tribus</t>
  </si>
  <si>
    <t>Ori.du lieu le plus proche</t>
  </si>
  <si>
    <t>Ori.Fief éloigné</t>
  </si>
  <si>
    <t>Ori.de la région à 25km</t>
  </si>
  <si>
    <t>Ori.autre royaume</t>
  </si>
  <si>
    <t xml:space="preserve">Ori.Fief voisin </t>
  </si>
  <si>
    <t>Vêt.Corrects, bonne coupe</t>
  </si>
  <si>
    <t>Vêt.Très beaux, couleurs vives</t>
  </si>
  <si>
    <t>Vêt.Beaux, colorés</t>
  </si>
  <si>
    <t>Vêt.De travail</t>
  </si>
  <si>
    <t>Vêt.Fonctionnels</t>
  </si>
  <si>
    <t>Vêt.Usés, taches</t>
  </si>
  <si>
    <t>Aaron</t>
  </si>
  <si>
    <t>Abdon</t>
  </si>
  <si>
    <t>Abdonie</t>
  </si>
  <si>
    <t>Abdonise</t>
  </si>
  <si>
    <t>Abel</t>
  </si>
  <si>
    <t>Abélard</t>
  </si>
  <si>
    <t>Abélie</t>
  </si>
  <si>
    <t>Abelin</t>
  </si>
  <si>
    <t>Abeline</t>
  </si>
  <si>
    <t>Abelle</t>
  </si>
  <si>
    <t>Abigaelle</t>
  </si>
  <si>
    <t>Abigaëlle</t>
  </si>
  <si>
    <t>Abigaïl</t>
  </si>
  <si>
    <t>Abondance</t>
  </si>
  <si>
    <t>Abraham</t>
  </si>
  <si>
    <t>Absalon</t>
  </si>
  <si>
    <t>Acace</t>
  </si>
  <si>
    <t>Acacie</t>
  </si>
  <si>
    <t>Acaciane</t>
  </si>
  <si>
    <t>Acanthe</t>
  </si>
  <si>
    <t>Achaire</t>
  </si>
  <si>
    <t>Achille</t>
  </si>
  <si>
    <t>Adalard</t>
  </si>
  <si>
    <t>Adalbald</t>
  </si>
  <si>
    <t>Adalbaude</t>
  </si>
  <si>
    <t>Adalbéron</t>
  </si>
  <si>
    <t>Adalbert</t>
  </si>
  <si>
    <t>Adalric</t>
  </si>
  <si>
    <t>Adalsinde</t>
  </si>
  <si>
    <t>Adam</t>
  </si>
  <si>
    <t>Adegrin</t>
  </si>
  <si>
    <t>Adegrine</t>
  </si>
  <si>
    <t>Adel</t>
  </si>
  <si>
    <t>Adélaïde</t>
  </si>
  <si>
    <t>Adèle</t>
  </si>
  <si>
    <t>Adélice</t>
  </si>
  <si>
    <t>Adélie</t>
  </si>
  <si>
    <t>Adelin</t>
  </si>
  <si>
    <t>Adeline</t>
  </si>
  <si>
    <t>Adelphe</t>
  </si>
  <si>
    <t>Adeltrude</t>
  </si>
  <si>
    <t>Adenet</t>
  </si>
  <si>
    <t>Adéodat</t>
  </si>
  <si>
    <t>Adhémar</t>
  </si>
  <si>
    <t>Adjutor</t>
  </si>
  <si>
    <t>Adolphe</t>
  </si>
  <si>
    <t>Adolphie</t>
  </si>
  <si>
    <t>Adon</t>
  </si>
  <si>
    <t>Adonis</t>
  </si>
  <si>
    <t>Adonise</t>
  </si>
  <si>
    <t>Adraste</t>
  </si>
  <si>
    <t>Adrastée</t>
  </si>
  <si>
    <t>Adrehilde</t>
  </si>
  <si>
    <t>Adrien</t>
  </si>
  <si>
    <t>Adrienne</t>
  </si>
  <si>
    <t>Aelis</t>
  </si>
  <si>
    <t>Agapet</t>
  </si>
  <si>
    <t>Agathange</t>
  </si>
  <si>
    <t>Agathe</t>
  </si>
  <si>
    <t>Agathon</t>
  </si>
  <si>
    <t>Agénor</t>
  </si>
  <si>
    <t>Agilbert</t>
  </si>
  <si>
    <t>Agilberte</t>
  </si>
  <si>
    <t>Aglaé</t>
  </si>
  <si>
    <t>Agnan</t>
  </si>
  <si>
    <t>Agnane</t>
  </si>
  <si>
    <t>Agneflète</t>
  </si>
  <si>
    <t>Agnel</t>
  </si>
  <si>
    <t>Agnès</t>
  </si>
  <si>
    <t>Agrippin</t>
  </si>
  <si>
    <t>Agrippine</t>
  </si>
  <si>
    <t>Aignan</t>
  </si>
  <si>
    <t>Aignane</t>
  </si>
  <si>
    <t>Aimable</t>
  </si>
  <si>
    <t>Aimé</t>
  </si>
  <si>
    <t>Aimée</t>
  </si>
  <si>
    <t>Alain</t>
  </si>
  <si>
    <t>Alaine</t>
  </si>
  <si>
    <t>Alban</t>
  </si>
  <si>
    <t>Albane</t>
  </si>
  <si>
    <t>Albérade</t>
  </si>
  <si>
    <t>Albéric</t>
  </si>
  <si>
    <t>Albert</t>
  </si>
  <si>
    <t>Alberte</t>
  </si>
  <si>
    <t>Albertet</t>
  </si>
  <si>
    <t>Albertine</t>
  </si>
  <si>
    <t>Albin</t>
  </si>
  <si>
    <t>Albine</t>
  </si>
  <si>
    <t>Alcée</t>
  </si>
  <si>
    <t>Alcibiade</t>
  </si>
  <si>
    <t>Alcide</t>
  </si>
  <si>
    <t>Alcidie</t>
  </si>
  <si>
    <t>Alcime</t>
  </si>
  <si>
    <t>Alcine</t>
  </si>
  <si>
    <t>Alcyone</t>
  </si>
  <si>
    <t>Aldebert</t>
  </si>
  <si>
    <t>Aldegonde</t>
  </si>
  <si>
    <t>Aldegrin</t>
  </si>
  <si>
    <t>Aldemar</t>
  </si>
  <si>
    <t>Aldéric</t>
  </si>
  <si>
    <t>Aldonce</t>
  </si>
  <si>
    <t>Aldric</t>
  </si>
  <si>
    <t>Aleaume</t>
  </si>
  <si>
    <t>Aleth</t>
  </si>
  <si>
    <t>Alexandre</t>
  </si>
  <si>
    <t>Alexandrine</t>
  </si>
  <si>
    <t>Alexane</t>
  </si>
  <si>
    <t>Alexiane</t>
  </si>
  <si>
    <t>Alexine</t>
  </si>
  <si>
    <t>Alexis</t>
  </si>
  <si>
    <t>Alexie</t>
  </si>
  <si>
    <t>Alice</t>
  </si>
  <si>
    <t>Aliénor</t>
  </si>
  <si>
    <t>Aliette</t>
  </si>
  <si>
    <t>Aline</t>
  </si>
  <si>
    <t>Alix</t>
  </si>
  <si>
    <t>Alizé</t>
  </si>
  <si>
    <t>Almine</t>
  </si>
  <si>
    <t>Almire</t>
  </si>
  <si>
    <t>Aloïs</t>
  </si>
  <si>
    <t>Aloïse</t>
  </si>
  <si>
    <t>Aloys</t>
  </si>
  <si>
    <t>Aloyse</t>
  </si>
  <si>
    <t>Alphée</t>
  </si>
  <si>
    <t>Alphonse</t>
  </si>
  <si>
    <t>Alphonsie</t>
  </si>
  <si>
    <t>Alphonsine</t>
  </si>
  <si>
    <t>Alpinien</t>
  </si>
  <si>
    <t>Althée</t>
  </si>
  <si>
    <t>Alverède</t>
  </si>
  <si>
    <t>Amadis</t>
  </si>
  <si>
    <t>Amaliane</t>
  </si>
  <si>
    <t>Amalric</t>
  </si>
  <si>
    <t>Amalthée</t>
  </si>
  <si>
    <t>Amande</t>
  </si>
  <si>
    <t>Amandin</t>
  </si>
  <si>
    <t>Amandine</t>
  </si>
  <si>
    <t>Amant</t>
  </si>
  <si>
    <t>Amante</t>
  </si>
  <si>
    <t>Amantine</t>
  </si>
  <si>
    <t>Amarande</t>
  </si>
  <si>
    <t>Amaranthe</t>
  </si>
  <si>
    <t>Amaryllis</t>
  </si>
  <si>
    <t>Amarynthe</t>
  </si>
  <si>
    <t>Ambre</t>
  </si>
  <si>
    <t>Ambrine</t>
  </si>
  <si>
    <t>Ambroise</t>
  </si>
  <si>
    <t>Ambroisie</t>
  </si>
  <si>
    <t>Ambroisine</t>
  </si>
  <si>
    <t>Amaury</t>
  </si>
  <si>
    <t>Amédée</t>
  </si>
  <si>
    <t>Ameliane</t>
  </si>
  <si>
    <t>Amélie</t>
  </si>
  <si>
    <t>Amélien</t>
  </si>
  <si>
    <t>Ameline</t>
  </si>
  <si>
    <t>Améthyste</t>
  </si>
  <si>
    <t>Amiel</t>
  </si>
  <si>
    <t>Aminte</t>
  </si>
  <si>
    <t>Amour</t>
  </si>
  <si>
    <t>Anaël</t>
  </si>
  <si>
    <t>Anaelle</t>
  </si>
  <si>
    <t>Anaïs</t>
  </si>
  <si>
    <t>Anastase</t>
  </si>
  <si>
    <t>Anastasiane</t>
  </si>
  <si>
    <t>Anastasie</t>
  </si>
  <si>
    <t>Anatole</t>
  </si>
  <si>
    <t>Anatolie</t>
  </si>
  <si>
    <t>Anatoline</t>
  </si>
  <si>
    <t>Ancelin</t>
  </si>
  <si>
    <t>Anceline</t>
  </si>
  <si>
    <t>Andelin</t>
  </si>
  <si>
    <t>Andéol</t>
  </si>
  <si>
    <t>Andoche</t>
  </si>
  <si>
    <t>André</t>
  </si>
  <si>
    <t>Andrée</t>
  </si>
  <si>
    <t>Anémone</t>
  </si>
  <si>
    <t>Angadrême</t>
  </si>
  <si>
    <t>Ange</t>
  </si>
  <si>
    <t>Angela</t>
  </si>
  <si>
    <t>Angelin</t>
  </si>
  <si>
    <t>Angeline</t>
  </si>
  <si>
    <t>Angélique</t>
  </si>
  <si>
    <t>Angilbe</t>
  </si>
  <si>
    <t>Angilberte</t>
  </si>
  <si>
    <t>Angilran</t>
  </si>
  <si>
    <t>Anglebert</t>
  </si>
  <si>
    <t>Angoustan</t>
  </si>
  <si>
    <t>Anicée</t>
  </si>
  <si>
    <t>Anicet</t>
  </si>
  <si>
    <t>Anicette</t>
  </si>
  <si>
    <t>Anis</t>
  </si>
  <si>
    <t>Annabelle</t>
  </si>
  <si>
    <t>Anne</t>
  </si>
  <si>
    <t>Annette</t>
  </si>
  <si>
    <t>Annibal</t>
  </si>
  <si>
    <t>Annie</t>
  </si>
  <si>
    <t>Annonciade</t>
  </si>
  <si>
    <t>Ansbert</t>
  </si>
  <si>
    <t>Ansberte</t>
  </si>
  <si>
    <t>Anselme</t>
  </si>
  <si>
    <t>Anstrudie</t>
  </si>
  <si>
    <t>Antheaume</t>
  </si>
  <si>
    <t>Anthelme</t>
  </si>
  <si>
    <t>Anthelmette</t>
  </si>
  <si>
    <t>Anthelmine</t>
  </si>
  <si>
    <t>Anthime</t>
  </si>
  <si>
    <t>Antide</t>
  </si>
  <si>
    <t>Antigone</t>
  </si>
  <si>
    <t>Antoine</t>
  </si>
  <si>
    <t>Antoinette</t>
  </si>
  <si>
    <t>Antonin</t>
  </si>
  <si>
    <t>Antonine</t>
  </si>
  <si>
    <t>Aphélie</t>
  </si>
  <si>
    <t>Aphrodite</t>
  </si>
  <si>
    <t>Apollinaire</t>
  </si>
  <si>
    <t>Apolline</t>
  </si>
  <si>
    <t>Apollon</t>
  </si>
  <si>
    <t>Apollonie</t>
  </si>
  <si>
    <t>Aquilin</t>
  </si>
  <si>
    <t>Aquiline</t>
  </si>
  <si>
    <t>Arabelle</t>
  </si>
  <si>
    <t>Arcade</t>
  </si>
  <si>
    <t>Arcadiane</t>
  </si>
  <si>
    <t>Arcadie</t>
  </si>
  <si>
    <t>Archambaud</t>
  </si>
  <si>
    <t>Archange</t>
  </si>
  <si>
    <t>Archibald</t>
  </si>
  <si>
    <t>Argine</t>
  </si>
  <si>
    <t>Arian</t>
  </si>
  <si>
    <t>Ariane</t>
  </si>
  <si>
    <t>Aricie</t>
  </si>
  <si>
    <t>Ariel</t>
  </si>
  <si>
    <t>Arielle</t>
  </si>
  <si>
    <t>Ariste</t>
  </si>
  <si>
    <t>Aristide</t>
  </si>
  <si>
    <t>Aristion</t>
  </si>
  <si>
    <t>Arlette</t>
  </si>
  <si>
    <t>Armance</t>
  </si>
  <si>
    <t>Armand</t>
  </si>
  <si>
    <t>Armande</t>
  </si>
  <si>
    <t>Armandie</t>
  </si>
  <si>
    <t>Armandine</t>
  </si>
  <si>
    <t>Armel</t>
  </si>
  <si>
    <t>Armeline</t>
  </si>
  <si>
    <t>Armide</t>
  </si>
  <si>
    <t>Armelle</t>
  </si>
  <si>
    <t>Armin</t>
  </si>
  <si>
    <t>Armine</t>
  </si>
  <si>
    <t>Arminie</t>
  </si>
  <si>
    <t>Arnalde</t>
  </si>
  <si>
    <t>Arnaud</t>
  </si>
  <si>
    <t>Arnaude</t>
  </si>
  <si>
    <t>Arnould</t>
  </si>
  <si>
    <t>Arolde</t>
  </si>
  <si>
    <t>Arsène</t>
  </si>
  <si>
    <t>Arsènie</t>
  </si>
  <si>
    <t>Arsinoé</t>
  </si>
  <si>
    <t>Arthaud</t>
  </si>
  <si>
    <t>Arthème</t>
  </si>
  <si>
    <t>Artémis</t>
  </si>
  <si>
    <t>Arthur</t>
  </si>
  <si>
    <t>Arthurine</t>
  </si>
  <si>
    <t>Ascelin</t>
  </si>
  <si>
    <t>Asceline</t>
  </si>
  <si>
    <t>Astérie</t>
  </si>
  <si>
    <t>Astrée</t>
  </si>
  <si>
    <t>Astride</t>
  </si>
  <si>
    <t>Athalie</t>
  </si>
  <si>
    <t>Athanase</t>
  </si>
  <si>
    <t>Athanasie</t>
  </si>
  <si>
    <t>Athénaïs</t>
  </si>
  <si>
    <t>Athina</t>
  </si>
  <si>
    <t>Aubane</t>
  </si>
  <si>
    <t>Aube</t>
  </si>
  <si>
    <t>Aubérie</t>
  </si>
  <si>
    <t>Aubert</t>
  </si>
  <si>
    <t>Aubertin</t>
  </si>
  <si>
    <t>Aubertine</t>
  </si>
  <si>
    <t>Aubin</t>
  </si>
  <si>
    <t>Aubry</t>
  </si>
  <si>
    <t>Aude</t>
  </si>
  <si>
    <t>Audeline</t>
  </si>
  <si>
    <t>Audebert</t>
  </si>
  <si>
    <t>Audette</t>
  </si>
  <si>
    <t>Audouin</t>
  </si>
  <si>
    <t>Audrey</t>
  </si>
  <si>
    <t>Audran</t>
  </si>
  <si>
    <t>Audric</t>
  </si>
  <si>
    <t>Auguste</t>
  </si>
  <si>
    <t>Augustin</t>
  </si>
  <si>
    <t>Augustine</t>
  </si>
  <si>
    <t>Aulde</t>
  </si>
  <si>
    <t>Aure</t>
  </si>
  <si>
    <t>Aurèle</t>
  </si>
  <si>
    <t>Aurélia</t>
  </si>
  <si>
    <t>Aurélie</t>
  </si>
  <si>
    <t>Aurélien</t>
  </si>
  <si>
    <t>Aurélienne</t>
  </si>
  <si>
    <t>Aurelle</t>
  </si>
  <si>
    <t>Aurian</t>
  </si>
  <si>
    <t>Auriane</t>
  </si>
  <si>
    <t>Aurore</t>
  </si>
  <si>
    <t>Automne</t>
  </si>
  <si>
    <t>Auxane</t>
  </si>
  <si>
    <t>Auxence</t>
  </si>
  <si>
    <t>Aveline</t>
  </si>
  <si>
    <t>Avigaelle</t>
  </si>
  <si>
    <t>Avigaïl</t>
  </si>
  <si>
    <t>Avoye</t>
  </si>
  <si>
    <t>Avril</t>
  </si>
  <si>
    <t>Axel</t>
  </si>
  <si>
    <t>Axeline</t>
  </si>
  <si>
    <t>Axellane</t>
  </si>
  <si>
    <t>Axelle</t>
  </si>
  <si>
    <t>Aymard</t>
  </si>
  <si>
    <t>Aymardine</t>
  </si>
  <si>
    <t>Aymeric</t>
  </si>
  <si>
    <t>Aymon</t>
  </si>
  <si>
    <t>Aymond</t>
  </si>
  <si>
    <t>Aymonde</t>
  </si>
  <si>
    <t>Azalée</t>
  </si>
  <si>
    <t>Azel</t>
  </si>
  <si>
    <t>Azelle</t>
  </si>
  <si>
    <t>Azélie</t>
  </si>
  <si>
    <t>Azeline</t>
  </si>
  <si>
    <t>Baptiste</t>
  </si>
  <si>
    <t>Barbe</t>
  </si>
  <si>
    <t>Barnabé</t>
  </si>
  <si>
    <t>Barthélemy</t>
  </si>
  <si>
    <t>Basile</t>
  </si>
  <si>
    <t>Bastien</t>
  </si>
  <si>
    <t>Baudouin</t>
  </si>
  <si>
    <t>Béatrice</t>
  </si>
  <si>
    <t>Béatrix</t>
  </si>
  <si>
    <t>Bénédicte</t>
  </si>
  <si>
    <t>Bénigne</t>
  </si>
  <si>
    <t>Benjamin</t>
  </si>
  <si>
    <t>Benoît</t>
  </si>
  <si>
    <t>Béranger</t>
  </si>
  <si>
    <t>Bérangère</t>
  </si>
  <si>
    <t>Bernard</t>
  </si>
  <si>
    <t>Bernadette</t>
  </si>
  <si>
    <t>Berthe</t>
  </si>
  <si>
    <t>Bertille</t>
  </si>
  <si>
    <t>Bertrand</t>
  </si>
  <si>
    <t>Beuve</t>
  </si>
  <si>
    <t>Blaise</t>
  </si>
  <si>
    <t>Blanche</t>
  </si>
  <si>
    <t>Blandine</t>
  </si>
  <si>
    <t>Bodon</t>
  </si>
  <si>
    <t>Boniface</t>
  </si>
  <si>
    <t>Bouchard</t>
  </si>
  <si>
    <t>Brice</t>
  </si>
  <si>
    <t>Brigitte</t>
  </si>
  <si>
    <t>Brunehaut</t>
  </si>
  <si>
    <t>Brunehilde</t>
  </si>
  <si>
    <t>Bruno</t>
  </si>
  <si>
    <t>Brunon</t>
  </si>
  <si>
    <t>Calixte</t>
  </si>
  <si>
    <t>Calliste</t>
  </si>
  <si>
    <t>Camélien</t>
  </si>
  <si>
    <t>Camille</t>
  </si>
  <si>
    <t>Camillien</t>
  </si>
  <si>
    <t>Candide</t>
  </si>
  <si>
    <t>Capucine</t>
  </si>
  <si>
    <t>Caribert</t>
  </si>
  <si>
    <t>Carine</t>
  </si>
  <si>
    <t>Carle</t>
  </si>
  <si>
    <t>Carloman</t>
  </si>
  <si>
    <t>Caroline</t>
  </si>
  <si>
    <t>Cassandre</t>
  </si>
  <si>
    <t>Cassien</t>
  </si>
  <si>
    <t>Catherine</t>
  </si>
  <si>
    <t>Cécile</t>
  </si>
  <si>
    <t>Cédric</t>
  </si>
  <si>
    <t>Céleste</t>
  </si>
  <si>
    <t>Célestin</t>
  </si>
  <si>
    <t>Célestine</t>
  </si>
  <si>
    <t>Célia</t>
  </si>
  <si>
    <t>Célien</t>
  </si>
  <si>
    <t>Céline</t>
  </si>
  <si>
    <t>Césaire</t>
  </si>
  <si>
    <t>César</t>
  </si>
  <si>
    <t>Chamas</t>
  </si>
  <si>
    <t>Chantal</t>
  </si>
  <si>
    <t>Charlène</t>
  </si>
  <si>
    <t>Charles</t>
  </si>
  <si>
    <t>Charline</t>
  </si>
  <si>
    <t>Charlotte</t>
  </si>
  <si>
    <t>Childebert</t>
  </si>
  <si>
    <t>Chilpéric</t>
  </si>
  <si>
    <t>Chloé</t>
  </si>
  <si>
    <t>Chrétien</t>
  </si>
  <si>
    <t>Christelle</t>
  </si>
  <si>
    <t>Christian</t>
  </si>
  <si>
    <t>Christiane</t>
  </si>
  <si>
    <t>Christine</t>
  </si>
  <si>
    <t>Christodule</t>
  </si>
  <si>
    <t>Christophe</t>
  </si>
  <si>
    <t>Claire</t>
  </si>
  <si>
    <t>Clara</t>
  </si>
  <si>
    <t>Clarence</t>
  </si>
  <si>
    <t>Claude</t>
  </si>
  <si>
    <t>Claudie</t>
  </si>
  <si>
    <t>Claudien</t>
  </si>
  <si>
    <t>Cléandre</t>
  </si>
  <si>
    <t>Clémence</t>
  </si>
  <si>
    <t>Clément</t>
  </si>
  <si>
    <t>Clémentine</t>
  </si>
  <si>
    <t>Clotaire</t>
  </si>
  <si>
    <t>Clotilde</t>
  </si>
  <si>
    <t>Clovis</t>
  </si>
  <si>
    <t>Colas</t>
  </si>
  <si>
    <t>Colin</t>
  </si>
  <si>
    <t>Coline</t>
  </si>
  <si>
    <t>Côme</t>
  </si>
  <si>
    <t>Constance</t>
  </si>
  <si>
    <t>Constant</t>
  </si>
  <si>
    <t>Constantin</t>
  </si>
  <si>
    <t>Cora</t>
  </si>
  <si>
    <t>Coralie</t>
  </si>
  <si>
    <t>Coraline</t>
  </si>
  <si>
    <t>Corentin</t>
  </si>
  <si>
    <t>Corentine</t>
  </si>
  <si>
    <t>Corinne</t>
  </si>
  <si>
    <t>Cosette</t>
  </si>
  <si>
    <t>Cyprien</t>
  </si>
  <si>
    <t>Cyriaque</t>
  </si>
  <si>
    <t>Cyrielle</t>
  </si>
  <si>
    <t>Cyrille</t>
  </si>
  <si>
    <t>Damien</t>
  </si>
  <si>
    <t>Daniel</t>
  </si>
  <si>
    <t>Danielle</t>
  </si>
  <si>
    <t>Danièle</t>
  </si>
  <si>
    <t>Daphné</t>
  </si>
  <si>
    <t>Daphnée</t>
  </si>
  <si>
    <t>David</t>
  </si>
  <si>
    <t>Delphine</t>
  </si>
  <si>
    <t>Denis</t>
  </si>
  <si>
    <t>Denise</t>
  </si>
  <si>
    <t>Désiré</t>
  </si>
  <si>
    <t>Diane</t>
  </si>
  <si>
    <t>Didier</t>
  </si>
  <si>
    <t>Dieudonné</t>
  </si>
  <si>
    <t>Dieudonnée</t>
  </si>
  <si>
    <t>Dominique</t>
  </si>
  <si>
    <t>Dorian</t>
  </si>
  <si>
    <t>Doriane</t>
  </si>
  <si>
    <t>Dorianne</t>
  </si>
  <si>
    <t>Dorine</t>
  </si>
  <si>
    <t>Dorothée</t>
  </si>
  <si>
    <t>Douce</t>
  </si>
  <si>
    <t>Dannick</t>
  </si>
  <si>
    <t>Dorice</t>
  </si>
  <si>
    <t>Edith</t>
  </si>
  <si>
    <t>Edouard</t>
  </si>
  <si>
    <t>Eléna</t>
  </si>
  <si>
    <t>Eléonore</t>
  </si>
  <si>
    <t>Eléis</t>
  </si>
  <si>
    <t>Eliane</t>
  </si>
  <si>
    <t>Elie</t>
  </si>
  <si>
    <t>Elia</t>
  </si>
  <si>
    <t>Eliette</t>
  </si>
  <si>
    <t>Élisabeth</t>
  </si>
  <si>
    <t>Elise</t>
  </si>
  <si>
    <t>Elisée</t>
  </si>
  <si>
    <t>Ella</t>
  </si>
  <si>
    <t>Elodie</t>
  </si>
  <si>
    <t>Eloïse</t>
  </si>
  <si>
    <t>Elsa</t>
  </si>
  <si>
    <t>Emeric</t>
  </si>
  <si>
    <t>Emile</t>
  </si>
  <si>
    <t>Emilien</t>
  </si>
  <si>
    <t>Emilie</t>
  </si>
  <si>
    <t>Emma</t>
  </si>
  <si>
    <t>Emmanuel</t>
  </si>
  <si>
    <t>Emmanuelle</t>
  </si>
  <si>
    <t>Emeline</t>
  </si>
  <si>
    <t>Enimie</t>
  </si>
  <si>
    <t>Epiphane</t>
  </si>
  <si>
    <t>Eric</t>
  </si>
  <si>
    <t>Ernest</t>
  </si>
  <si>
    <t>Ernestine</t>
  </si>
  <si>
    <t>Estevan</t>
  </si>
  <si>
    <t>Esther</t>
  </si>
  <si>
    <t>Estelle</t>
  </si>
  <si>
    <t>Etienne</t>
  </si>
  <si>
    <t>Eudes</t>
  </si>
  <si>
    <t>Eudoxe</t>
  </si>
  <si>
    <t>Eugène</t>
  </si>
  <si>
    <t>Eugénie</t>
  </si>
  <si>
    <t>Eulalie</t>
  </si>
  <si>
    <t>Eusèbe</t>
  </si>
  <si>
    <t>Eustache</t>
  </si>
  <si>
    <t>Evangéline</t>
  </si>
  <si>
    <t>Eva</t>
  </si>
  <si>
    <t>Eve</t>
  </si>
  <si>
    <t>Evelyne</t>
  </si>
  <si>
    <t>Fabien</t>
  </si>
  <si>
    <t>Fabrice</t>
  </si>
  <si>
    <t>Falba</t>
  </si>
  <si>
    <t>Fanny</t>
  </si>
  <si>
    <t>Fantine</t>
  </si>
  <si>
    <t>Faustine</t>
  </si>
  <si>
    <t>Félicie</t>
  </si>
  <si>
    <t>Félicité</t>
  </si>
  <si>
    <t>Félix</t>
  </si>
  <si>
    <t>Ferdinand</t>
  </si>
  <si>
    <t>Fernand</t>
  </si>
  <si>
    <t>Fernande</t>
  </si>
  <si>
    <t>Fiacre</t>
  </si>
  <si>
    <t>Fiona</t>
  </si>
  <si>
    <t>Firmin</t>
  </si>
  <si>
    <t>Flavie</t>
  </si>
  <si>
    <t>Flavien</t>
  </si>
  <si>
    <t>Flodoard</t>
  </si>
  <si>
    <t>Flore</t>
  </si>
  <si>
    <t>Florence</t>
  </si>
  <si>
    <t>Florent</t>
  </si>
  <si>
    <t>Florentin</t>
  </si>
  <si>
    <t>Florian</t>
  </si>
  <si>
    <t>Florie</t>
  </si>
  <si>
    <t>Fortuné</t>
  </si>
  <si>
    <t>Fortunée</t>
  </si>
  <si>
    <t>Foulques</t>
  </si>
  <si>
    <t>France</t>
  </si>
  <si>
    <t>Francia</t>
  </si>
  <si>
    <t>Francis</t>
  </si>
  <si>
    <t>Franck</t>
  </si>
  <si>
    <t>François</t>
  </si>
  <si>
    <t>Françoise</t>
  </si>
  <si>
    <t>Frédéric</t>
  </si>
  <si>
    <t>Fulbert</t>
  </si>
  <si>
    <t>Fulcran</t>
  </si>
  <si>
    <t>Fulgence</t>
  </si>
  <si>
    <t>Gabin</t>
  </si>
  <si>
    <t>Gabriel</t>
  </si>
  <si>
    <t>Gabrielle</t>
  </si>
  <si>
    <t>Gaël</t>
  </si>
  <si>
    <t>Gaëlle</t>
  </si>
  <si>
    <t>Garnier</t>
  </si>
  <si>
    <t>Gaston</t>
  </si>
  <si>
    <t>Gaspard</t>
  </si>
  <si>
    <t>Gatien</t>
  </si>
  <si>
    <t>Gaud</t>
  </si>
  <si>
    <t>Gautier</t>
  </si>
  <si>
    <t>Geneviève</t>
  </si>
  <si>
    <t>Geoffroy</t>
  </si>
  <si>
    <t>Georges</t>
  </si>
  <si>
    <t>Georgette</t>
  </si>
  <si>
    <t>Gérald</t>
  </si>
  <si>
    <t>Gérard</t>
  </si>
  <si>
    <t>Géraud</t>
  </si>
  <si>
    <t>Gerberge</t>
  </si>
  <si>
    <t>Germain</t>
  </si>
  <si>
    <t>Germaine</t>
  </si>
  <si>
    <t>Gertrude</t>
  </si>
  <si>
    <t>Gervais</t>
  </si>
  <si>
    <t>Ghislain</t>
  </si>
  <si>
    <t>Gilbert</t>
  </si>
  <si>
    <t>Gilles</t>
  </si>
  <si>
    <t>Girart</t>
  </si>
  <si>
    <t>Gisèle</t>
  </si>
  <si>
    <t>Gislebert</t>
  </si>
  <si>
    <t>Gladys</t>
  </si>
  <si>
    <t>Gwladys</t>
  </si>
  <si>
    <t>Gondebaud</t>
  </si>
  <si>
    <t>Gonthier</t>
  </si>
  <si>
    <t>Gontran</t>
  </si>
  <si>
    <t>Gonzague</t>
  </si>
  <si>
    <t>Grégoire</t>
  </si>
  <si>
    <t>Guenièvre</t>
  </si>
  <si>
    <t>Guérin</t>
  </si>
  <si>
    <t>Gui</t>
  </si>
  <si>
    <t>Guilhem</t>
  </si>
  <si>
    <t>Guilhemine</t>
  </si>
  <si>
    <t>Guillaume</t>
  </si>
  <si>
    <t>Guillemette</t>
  </si>
  <si>
    <t>Gustaphine</t>
  </si>
  <si>
    <t>Gustave</t>
  </si>
  <si>
    <t>Gustavine</t>
  </si>
  <si>
    <t>Guy</t>
  </si>
  <si>
    <t>Guyot</t>
  </si>
  <si>
    <t>Gwenael</t>
  </si>
  <si>
    <t>Gwenaëlle</t>
  </si>
  <si>
    <t>Gwendoline</t>
  </si>
  <si>
    <t>Hardouin</t>
  </si>
  <si>
    <t>Harmonie</t>
  </si>
  <si>
    <t>Hector</t>
  </si>
  <si>
    <t>Hédelin</t>
  </si>
  <si>
    <t>Hedwige</t>
  </si>
  <si>
    <t>Hélène</t>
  </si>
  <si>
    <t>Hélier</t>
  </si>
  <si>
    <t>Héloïse</t>
  </si>
  <si>
    <t>Henri</t>
  </si>
  <si>
    <t>Henriette</t>
  </si>
  <si>
    <t>Herbert</t>
  </si>
  <si>
    <t>Herluin</t>
  </si>
  <si>
    <t>Hermione</t>
  </si>
  <si>
    <t>Hervé</t>
  </si>
  <si>
    <t>Hilaire</t>
  </si>
  <si>
    <t>Hildebert</t>
  </si>
  <si>
    <t>Hincmar</t>
  </si>
  <si>
    <t>Hippolyte</t>
  </si>
  <si>
    <t>Honoré</t>
  </si>
  <si>
    <t>Hortense</t>
  </si>
  <si>
    <t>Hubert</t>
  </si>
  <si>
    <t>Hugo</t>
  </si>
  <si>
    <t>Hugues</t>
  </si>
  <si>
    <t>Huguette</t>
  </si>
  <si>
    <t>Igor</t>
  </si>
  <si>
    <t>Inès</t>
  </si>
  <si>
    <t>Innocent</t>
  </si>
  <si>
    <t>Irène</t>
  </si>
  <si>
    <t>Irina</t>
  </si>
  <si>
    <t>Iris</t>
  </si>
  <si>
    <t>Isabeau</t>
  </si>
  <si>
    <t>Isabelle</t>
  </si>
  <si>
    <t>Isadora</t>
  </si>
  <si>
    <t>Isaline</t>
  </si>
  <si>
    <t>Iseult</t>
  </si>
  <si>
    <t>Isidore</t>
  </si>
  <si>
    <t>Ingrid</t>
  </si>
  <si>
    <t>Isaac</t>
  </si>
  <si>
    <t>Jacinthe</t>
  </si>
  <si>
    <t>Jacques</t>
  </si>
  <si>
    <t>Jacqueline</t>
  </si>
  <si>
    <t>Jade</t>
  </si>
  <si>
    <t>Japhet</t>
  </si>
  <si>
    <t>Jean</t>
  </si>
  <si>
    <t>Jeanine</t>
  </si>
  <si>
    <t>Jeanne</t>
  </si>
  <si>
    <t>Jeannel</t>
  </si>
  <si>
    <t>Jeannot</t>
  </si>
  <si>
    <t>Jérémie</t>
  </si>
  <si>
    <t>Jérôme</t>
  </si>
  <si>
    <t>Jessica</t>
  </si>
  <si>
    <t>Joachim</t>
  </si>
  <si>
    <t>Joanny</t>
  </si>
  <si>
    <t>Job</t>
  </si>
  <si>
    <t>Jocelyn</t>
  </si>
  <si>
    <t>Jocelyne</t>
  </si>
  <si>
    <t>Joël</t>
  </si>
  <si>
    <t>Joëlle</t>
  </si>
  <si>
    <t>Johan</t>
  </si>
  <si>
    <t>Jonas</t>
  </si>
  <si>
    <t>Jonathan</t>
  </si>
  <si>
    <t>Joseph</t>
  </si>
  <si>
    <t>Joséphine</t>
  </si>
  <si>
    <t>Josse</t>
  </si>
  <si>
    <t>Josselin</t>
  </si>
  <si>
    <t>Jourdain</t>
  </si>
  <si>
    <t>Jude</t>
  </si>
  <si>
    <t>Judicaël</t>
  </si>
  <si>
    <t>Judith</t>
  </si>
  <si>
    <t>Jules</t>
  </si>
  <si>
    <t>Julia</t>
  </si>
  <si>
    <t>Julie</t>
  </si>
  <si>
    <t>Julien</t>
  </si>
  <si>
    <t>Juliette</t>
  </si>
  <si>
    <t>Juste</t>
  </si>
  <si>
    <t>Justin</t>
  </si>
  <si>
    <t>Justine</t>
  </si>
  <si>
    <t>Kilian</t>
  </si>
  <si>
    <t>Kevin</t>
  </si>
  <si>
    <t>Karine</t>
  </si>
  <si>
    <t>Karen</t>
  </si>
  <si>
    <t>Lætitia</t>
  </si>
  <si>
    <t>Lambert</t>
  </si>
  <si>
    <t>Landry</t>
  </si>
  <si>
    <t>Laurianne</t>
  </si>
  <si>
    <t>Laura</t>
  </si>
  <si>
    <t>Laure</t>
  </si>
  <si>
    <t>Laurel</t>
  </si>
  <si>
    <t>Laureline</t>
  </si>
  <si>
    <t>Laurence</t>
  </si>
  <si>
    <t>Lauren,</t>
  </si>
  <si>
    <t>Lorène</t>
  </si>
  <si>
    <t>Laurent</t>
  </si>
  <si>
    <t>Laurine</t>
  </si>
  <si>
    <t>Léa</t>
  </si>
  <si>
    <t>Léna</t>
  </si>
  <si>
    <t>Lennaic</t>
  </si>
  <si>
    <t>Leila</t>
  </si>
  <si>
    <t>Léo</t>
  </si>
  <si>
    <t>Léon</t>
  </si>
  <si>
    <t>Léonie</t>
  </si>
  <si>
    <t>Léonne.</t>
  </si>
  <si>
    <t>Léopold</t>
  </si>
  <si>
    <t>Létaud</t>
  </si>
  <si>
    <t>Leu</t>
  </si>
  <si>
    <t>Leufroy</t>
  </si>
  <si>
    <t>Liétald</t>
  </si>
  <si>
    <t>Lilian</t>
  </si>
  <si>
    <t>Lilou</t>
  </si>
  <si>
    <t>Lionel</t>
  </si>
  <si>
    <t>Lison</t>
  </si>
  <si>
    <t>Loïc</t>
  </si>
  <si>
    <t>Lorrain</t>
  </si>
  <si>
    <t>Lorraine</t>
  </si>
  <si>
    <t>Lothaire</t>
  </si>
  <si>
    <t>Lou</t>
  </si>
  <si>
    <t>Louis</t>
  </si>
  <si>
    <t>Luna</t>
  </si>
  <si>
    <t>Louna</t>
  </si>
  <si>
    <t>Lola</t>
  </si>
  <si>
    <t>Louise</t>
  </si>
  <si>
    <t>Loup</t>
  </si>
  <si>
    <t>Lucas</t>
  </si>
  <si>
    <t>Lucie</t>
  </si>
  <si>
    <t>Lucien</t>
  </si>
  <si>
    <t>Lucienne</t>
  </si>
  <si>
    <t>Lucille</t>
  </si>
  <si>
    <t>Lucile</t>
  </si>
  <si>
    <t>Ludivine</t>
  </si>
  <si>
    <t>Ludolphe</t>
  </si>
  <si>
    <t>Ludovic</t>
  </si>
  <si>
    <t>Lydie</t>
  </si>
  <si>
    <t>Lydia</t>
  </si>
  <si>
    <t>.Mégane</t>
  </si>
  <si>
    <t>Madeleine</t>
  </si>
  <si>
    <t>Madyson</t>
  </si>
  <si>
    <t>Maëlys</t>
  </si>
  <si>
    <t>Magali</t>
  </si>
  <si>
    <t>Maguelone</t>
  </si>
  <si>
    <t>Mahault</t>
  </si>
  <si>
    <t>Mahaut</t>
  </si>
  <si>
    <t>Mallaury</t>
  </si>
  <si>
    <t>Malhaury</t>
  </si>
  <si>
    <t>Malo</t>
  </si>
  <si>
    <t>Mamert</t>
  </si>
  <si>
    <t>Manassès</t>
  </si>
  <si>
    <t>Manon</t>
  </si>
  <si>
    <t>Marc</t>
  </si>
  <si>
    <t>Marceau</t>
  </si>
  <si>
    <t>Marcel</t>
  </si>
  <si>
    <t>Marcelin</t>
  </si>
  <si>
    <t>Marceline</t>
  </si>
  <si>
    <t>Margaux</t>
  </si>
  <si>
    <t>Margot</t>
  </si>
  <si>
    <t>Marguerite</t>
  </si>
  <si>
    <t>Marie</t>
  </si>
  <si>
    <t>Marina</t>
  </si>
  <si>
    <t>Marion</t>
  </si>
  <si>
    <t>Marius</t>
  </si>
  <si>
    <t>Marlène</t>
  </si>
  <si>
    <t>Marthe</t>
  </si>
  <si>
    <t>Martin</t>
  </si>
  <si>
    <t>Martine</t>
  </si>
  <si>
    <t>Mathilde</t>
  </si>
  <si>
    <t>Mathis</t>
  </si>
  <si>
    <t>Mathurin</t>
  </si>
  <si>
    <t>Matthias</t>
  </si>
  <si>
    <t>Mathias</t>
  </si>
  <si>
    <t>Matthieu</t>
  </si>
  <si>
    <t>Mathieu</t>
  </si>
  <si>
    <t>Maud</t>
  </si>
  <si>
    <t>Maugis</t>
  </si>
  <si>
    <t>Maurice</t>
  </si>
  <si>
    <t>Mauricet</t>
  </si>
  <si>
    <t>Mauricette</t>
  </si>
  <si>
    <t>Max</t>
  </si>
  <si>
    <t>Maxence</t>
  </si>
  <si>
    <t>Maxime</t>
  </si>
  <si>
    <t>Maximilien</t>
  </si>
  <si>
    <t>Mayeul</t>
  </si>
  <si>
    <t>Médéric</t>
  </si>
  <si>
    <t>Mélanie</t>
  </si>
  <si>
    <t>Mélina</t>
  </si>
  <si>
    <t>Méline</t>
  </si>
  <si>
    <t>Mélissa</t>
  </si>
  <si>
    <t>Mélissandre</t>
  </si>
  <si>
    <t>Mélisande</t>
  </si>
  <si>
    <t>Mence</t>
  </si>
  <si>
    <t>Merlin</t>
  </si>
  <si>
    <t>Mérovée</t>
  </si>
  <si>
    <t>Michel</t>
  </si>
  <si>
    <t>Michèle</t>
  </si>
  <si>
    <t>Micheline</t>
  </si>
  <si>
    <t>Mireille</t>
  </si>
  <si>
    <t>Miriam</t>
  </si>
  <si>
    <t>Moïse</t>
  </si>
  <si>
    <t>Moïsette</t>
  </si>
  <si>
    <t>Monique</t>
  </si>
  <si>
    <t>Morgane</t>
  </si>
  <si>
    <t>Muriel</t>
  </si>
  <si>
    <t>Murielle</t>
  </si>
  <si>
    <t>Mylène</t>
  </si>
  <si>
    <t>Nadège</t>
  </si>
  <si>
    <t>Nadia</t>
  </si>
  <si>
    <t>Nadine</t>
  </si>
  <si>
    <t>Naël</t>
  </si>
  <si>
    <t>Nathalie</t>
  </si>
  <si>
    <t>Natalie</t>
  </si>
  <si>
    <t>Nathan</t>
  </si>
  <si>
    <t>Naudet</t>
  </si>
  <si>
    <t>Néhémie</t>
  </si>
  <si>
    <t>Nestor</t>
  </si>
  <si>
    <t>Nicci</t>
  </si>
  <si>
    <t>Nicolas</t>
  </si>
  <si>
    <t>Nicole</t>
  </si>
  <si>
    <t>Nicolette</t>
  </si>
  <si>
    <t>Noé</t>
  </si>
  <si>
    <t>Noël</t>
  </si>
  <si>
    <t>Noëlle</t>
  </si>
  <si>
    <t>Noémie</t>
  </si>
  <si>
    <t>Nolwenn</t>
  </si>
  <si>
    <t>Norbert</t>
  </si>
  <si>
    <t>Norgot</t>
  </si>
  <si>
    <t>Normand</t>
  </si>
  <si>
    <t>Noyale</t>
  </si>
  <si>
    <t>Océan</t>
  </si>
  <si>
    <t>Océane</t>
  </si>
  <si>
    <t>Octave</t>
  </si>
  <si>
    <t>Odile</t>
  </si>
  <si>
    <t>Odilon</t>
  </si>
  <si>
    <t>Odon</t>
  </si>
  <si>
    <t>Oger</t>
  </si>
  <si>
    <t>Olga</t>
  </si>
  <si>
    <t>Olive</t>
  </si>
  <si>
    <t>Olivia</t>
  </si>
  <si>
    <t>Olivier</t>
  </si>
  <si>
    <t>Olympe</t>
  </si>
  <si>
    <t>Ophélie</t>
  </si>
  <si>
    <t>Orlane</t>
  </si>
  <si>
    <t>Oscar</t>
  </si>
  <si>
    <t>Oxlene</t>
  </si>
  <si>
    <t>Ozanne</t>
  </si>
  <si>
    <t>Pacôme</t>
  </si>
  <si>
    <t>Pascal</t>
  </si>
  <si>
    <t>Pascale</t>
  </si>
  <si>
    <t>Pascaline</t>
  </si>
  <si>
    <t>Paterne</t>
  </si>
  <si>
    <t>Patrice</t>
  </si>
  <si>
    <t>Paul</t>
  </si>
  <si>
    <t>Paule</t>
  </si>
  <si>
    <t>Paulette</t>
  </si>
  <si>
    <t>Pauline</t>
  </si>
  <si>
    <t>Priscille</t>
  </si>
  <si>
    <t>Pécine</t>
  </si>
  <si>
    <t>Pélagie</t>
  </si>
  <si>
    <t>Pénélope</t>
  </si>
  <si>
    <t>Pépin</t>
  </si>
  <si>
    <t>Perceval</t>
  </si>
  <si>
    <t>Perrine</t>
  </si>
  <si>
    <t>Pétronille</t>
  </si>
  <si>
    <t>Philémon</t>
  </si>
  <si>
    <t>Philibert</t>
  </si>
  <si>
    <t>Philippe</t>
  </si>
  <si>
    <t>Philippine</t>
  </si>
  <si>
    <t>Philomène</t>
  </si>
  <si>
    <t>Philothée</t>
  </si>
  <si>
    <t>Pollyanna</t>
  </si>
  <si>
    <t>Primerose</t>
  </si>
  <si>
    <t>Prosper</t>
  </si>
  <si>
    <t>Pulchérie</t>
  </si>
  <si>
    <t>Quentin</t>
  </si>
  <si>
    <t>Quitterie</t>
  </si>
  <si>
    <t>Rachel</t>
  </si>
  <si>
    <t>Raoul</t>
  </si>
  <si>
    <t>Raphaël</t>
  </si>
  <si>
    <t>Raphaëlle</t>
  </si>
  <si>
    <t>Raymond</t>
  </si>
  <si>
    <t>Raymonde</t>
  </si>
  <si>
    <t>Rebecca</t>
  </si>
  <si>
    <t>Régine</t>
  </si>
  <si>
    <t>Régis</t>
  </si>
  <si>
    <t>Réjean</t>
  </si>
  <si>
    <t>Réjeanne</t>
  </si>
  <si>
    <t>Rémi</t>
  </si>
  <si>
    <t>Rémy</t>
  </si>
  <si>
    <t>Renaud</t>
  </si>
  <si>
    <t>René</t>
  </si>
  <si>
    <t>Renée</t>
  </si>
  <si>
    <t>Reybaud</t>
  </si>
  <si>
    <t>Richard</t>
  </si>
  <si>
    <t>Robert</t>
  </si>
  <si>
    <t>Roch</t>
  </si>
  <si>
    <t>Rodolphe</t>
  </si>
  <si>
    <t>Roger</t>
  </si>
  <si>
    <t>Roland</t>
  </si>
  <si>
    <t>Rolande</t>
  </si>
  <si>
    <t>Romain</t>
  </si>
  <si>
    <t>Romuald</t>
  </si>
  <si>
    <t>Roméo</t>
  </si>
  <si>
    <t>Ronan</t>
  </si>
  <si>
    <t>Rosalie</t>
  </si>
  <si>
    <t>Rose</t>
  </si>
  <si>
    <t>Roselin</t>
  </si>
  <si>
    <t>Roseline</t>
  </si>
  <si>
    <t>Sabine</t>
  </si>
  <si>
    <t>Sacha</t>
  </si>
  <si>
    <t>Salomé</t>
  </si>
  <si>
    <t>Salomon</t>
  </si>
  <si>
    <t>Samuel</t>
  </si>
  <si>
    <t>Sandrine</t>
  </si>
  <si>
    <t>Sarah</t>
  </si>
  <si>
    <t>Savin</t>
  </si>
  <si>
    <t>Scholastique</t>
  </si>
  <si>
    <t>Sébastien</t>
  </si>
  <si>
    <t>Ségolène</t>
  </si>
  <si>
    <t>Serge</t>
  </si>
  <si>
    <t>Séverin</t>
  </si>
  <si>
    <t>Séverine</t>
  </si>
  <si>
    <t>Sibylle</t>
  </si>
  <si>
    <t>Sidoine</t>
  </si>
  <si>
    <t>Sigebert</t>
  </si>
  <si>
    <t>Sigismond</t>
  </si>
  <si>
    <t>Siméon</t>
  </si>
  <si>
    <t>Simon</t>
  </si>
  <si>
    <t>Simone</t>
  </si>
  <si>
    <t>Sixte</t>
  </si>
  <si>
    <t>Sixtine</t>
  </si>
  <si>
    <t>Solange</t>
  </si>
  <si>
    <t>Soleine</t>
  </si>
  <si>
    <t>Soline</t>
  </si>
  <si>
    <t>Solène</t>
  </si>
  <si>
    <t>Sophie</t>
  </si>
  <si>
    <t>Stanislas</t>
  </si>
  <si>
    <t>Stéphan</t>
  </si>
  <si>
    <t>Stéphane</t>
  </si>
  <si>
    <t>Stéphanie</t>
  </si>
  <si>
    <t>Suzanne</t>
  </si>
  <si>
    <t>Suzette</t>
  </si>
  <si>
    <t>Suzie</t>
  </si>
  <si>
    <t>Suzon</t>
  </si>
  <si>
    <t>Sylvain</t>
  </si>
  <si>
    <t>Sylvestre</t>
  </si>
  <si>
    <t>Sylviane</t>
  </si>
  <si>
    <t>Sylvie</t>
  </si>
  <si>
    <t>Syrine</t>
  </si>
  <si>
    <t>Tancrède</t>
  </si>
  <si>
    <t>Tanguy</t>
  </si>
  <si>
    <t>Tatiana</t>
  </si>
  <si>
    <t>Taurin</t>
  </si>
  <si>
    <t>Thaïs</t>
  </si>
  <si>
    <t>Théo</t>
  </si>
  <si>
    <t>Théodora</t>
  </si>
  <si>
    <t>Théodore</t>
  </si>
  <si>
    <t>Théophile</t>
  </si>
  <si>
    <t>Théophraste</t>
  </si>
  <si>
    <t>Thérèse</t>
  </si>
  <si>
    <t>Thibault</t>
  </si>
  <si>
    <t>Thibert</t>
  </si>
  <si>
    <t>Théodebert</t>
  </si>
  <si>
    <t>Thierry</t>
  </si>
  <si>
    <t>Théodoric</t>
  </si>
  <si>
    <t>Thomas</t>
  </si>
  <si>
    <t>Timoléon</t>
  </si>
  <si>
    <t>Timothée</t>
  </si>
  <si>
    <t>Tiphaine</t>
  </si>
  <si>
    <t>Titien</t>
  </si>
  <si>
    <t>Tonnin</t>
  </si>
  <si>
    <t>Trajan</t>
  </si>
  <si>
    <t>Tristan</t>
  </si>
  <si>
    <t>Turold</t>
  </si>
  <si>
    <t>Ulysse</t>
  </si>
  <si>
    <t>Ulrich</t>
  </si>
  <si>
    <t>Vaginas</t>
  </si>
  <si>
    <t>Valentin</t>
  </si>
  <si>
    <t>Valentine</t>
  </si>
  <si>
    <t>Valère</t>
  </si>
  <si>
    <t>Valérie</t>
  </si>
  <si>
    <t>Valéry</t>
  </si>
  <si>
    <t>Vanessa</t>
  </si>
  <si>
    <t>Venceslas</t>
  </si>
  <si>
    <t>Véronique</t>
  </si>
  <si>
    <t>Victoire</t>
  </si>
  <si>
    <t>Victor</t>
  </si>
  <si>
    <t>Victoria</t>
  </si>
  <si>
    <t>Victorien</t>
  </si>
  <si>
    <t>Victorin</t>
  </si>
  <si>
    <t>Victorine</t>
  </si>
  <si>
    <t>Vincent</t>
  </si>
  <si>
    <t>Vinciane</t>
  </si>
  <si>
    <t>Violette</t>
  </si>
  <si>
    <t>Virginie</t>
  </si>
  <si>
    <t>Vital</t>
  </si>
  <si>
    <t>Viviane</t>
  </si>
  <si>
    <t>Vivien</t>
  </si>
  <si>
    <t>Vladimir</t>
  </si>
  <si>
    <t>Waleran,</t>
  </si>
  <si>
    <t>Walerand</t>
  </si>
  <si>
    <t>Wandrille</t>
  </si>
  <si>
    <t>William</t>
  </si>
  <si>
    <t>Wendy</t>
  </si>
  <si>
    <t>Xavier</t>
  </si>
  <si>
    <t>Xavière</t>
  </si>
  <si>
    <t>Yann</t>
  </si>
  <si>
    <t>Yannick</t>
  </si>
  <si>
    <t>Yoann</t>
  </si>
  <si>
    <t>Yolande</t>
  </si>
  <si>
    <t>Ysaline</t>
  </si>
  <si>
    <t>Ysoline</t>
  </si>
  <si>
    <t>Yseult</t>
  </si>
  <si>
    <t>Yse</t>
  </si>
  <si>
    <t>Ysé</t>
  </si>
  <si>
    <t>Ysoie</t>
  </si>
  <si>
    <t>Yves</t>
  </si>
  <si>
    <t>Yvon</t>
  </si>
  <si>
    <t>Yvette</t>
  </si>
  <si>
    <t>Yvonne</t>
  </si>
  <si>
    <t>Zacharie</t>
  </si>
  <si>
    <t>Zaché</t>
  </si>
  <si>
    <t>Zélie</t>
  </si>
  <si>
    <t>Zéphir</t>
  </si>
  <si>
    <t>Zéphirin</t>
  </si>
  <si>
    <t>Zoé</t>
  </si>
  <si>
    <t>QT</t>
  </si>
  <si>
    <t>Qualité</t>
  </si>
  <si>
    <t>Ancienneté</t>
  </si>
  <si>
    <t>Spéciale +50</t>
  </si>
  <si>
    <t>Excellent E++ 100</t>
  </si>
  <si>
    <t>Très Petite -20</t>
  </si>
  <si>
    <t>Q++ 80</t>
  </si>
  <si>
    <t>Très récent</t>
  </si>
  <si>
    <t>Très locale</t>
  </si>
  <si>
    <t>Rare +30</t>
  </si>
  <si>
    <t>Très bon E+ 90</t>
  </si>
  <si>
    <t>Petite -10</t>
  </si>
  <si>
    <t>Q+ 70</t>
  </si>
  <si>
    <t>Récent</t>
  </si>
  <si>
    <t>Locale</t>
  </si>
  <si>
    <t>Originale +10</t>
  </si>
  <si>
    <t>Très bon E+ 80</t>
  </si>
  <si>
    <t>Q+ 60</t>
  </si>
  <si>
    <t>Normale</t>
  </si>
  <si>
    <t>E= 80</t>
  </si>
  <si>
    <t>Q= 50</t>
  </si>
  <si>
    <t>Régionale</t>
  </si>
  <si>
    <t>E= 70</t>
  </si>
  <si>
    <t>Assez Récent</t>
  </si>
  <si>
    <t>E= 60</t>
  </si>
  <si>
    <t>Q= 40</t>
  </si>
  <si>
    <t>E= 50</t>
  </si>
  <si>
    <t>Vieux -20</t>
  </si>
  <si>
    <t>Etrangère +30</t>
  </si>
  <si>
    <t>Inachevée -10</t>
  </si>
  <si>
    <t>Mauvais E- 40</t>
  </si>
  <si>
    <t>Q- 30</t>
  </si>
  <si>
    <t>Ancien +50</t>
  </si>
  <si>
    <t>Etrangère +50</t>
  </si>
  <si>
    <t>Défaut -30</t>
  </si>
  <si>
    <t>Mauvais E- 30</t>
  </si>
  <si>
    <t>Grande +10</t>
  </si>
  <si>
    <t>Q- 20</t>
  </si>
  <si>
    <t>Très ancien +80</t>
  </si>
  <si>
    <t>Lointain +100</t>
  </si>
  <si>
    <t>Grotesque -50</t>
  </si>
  <si>
    <t>Très mauvais E- - 20</t>
  </si>
  <si>
    <t>Très Grande +20</t>
  </si>
  <si>
    <t>Q- - 10</t>
  </si>
  <si>
    <t>Spécial +100</t>
  </si>
  <si>
    <t>Autre monde +200</t>
  </si>
  <si>
    <t>Renc</t>
  </si>
  <si>
    <t>Vassal de</t>
  </si>
  <si>
    <t>dNaissance</t>
  </si>
  <si>
    <t>gpNaissance1</t>
  </si>
  <si>
    <t>gpNaissance2</t>
  </si>
  <si>
    <t>Accouchement tardif</t>
  </si>
  <si>
    <t>poids +2 kg / taille +2cm</t>
  </si>
  <si>
    <t>Fracture</t>
  </si>
  <si>
    <t>Lacération grave</t>
  </si>
  <si>
    <t>Lacération légère</t>
  </si>
  <si>
    <t>Lacération moyenne</t>
  </si>
  <si>
    <t>Malformation grave</t>
  </si>
  <si>
    <t>Malformation légère</t>
  </si>
  <si>
    <t>Manque d’oxygène</t>
  </si>
  <si>
    <t>nat E–1</t>
  </si>
  <si>
    <t>Organe interne atteint</t>
  </si>
  <si>
    <t>MdJ détermine quel organe, Nat C–1, EN–3</t>
  </si>
  <si>
    <t>Prématuré</t>
  </si>
  <si>
    <t>poids -2 kg / taille -2 cm</t>
  </si>
  <si>
    <t>Difficulté cordon ombilical</t>
  </si>
  <si>
    <t>cou C-4</t>
  </si>
  <si>
    <t>Rétention excessive</t>
  </si>
  <si>
    <t>cou C-2</t>
  </si>
  <si>
    <t>Saignement abondant</t>
  </si>
  <si>
    <t>EN–4</t>
  </si>
  <si>
    <t>Saignement excessif</t>
  </si>
  <si>
    <t>EN–2</t>
  </si>
  <si>
    <t>Sang impur</t>
  </si>
  <si>
    <t>cou C–5   et  EN–5</t>
  </si>
  <si>
    <t>Sortie inappropriée</t>
  </si>
  <si>
    <t xml:space="preserve">nat D–1  et nat A–1  </t>
  </si>
  <si>
    <t>Souffle</t>
  </si>
  <si>
    <t xml:space="preserve">nat E–2 </t>
  </si>
  <si>
    <t>Trachée bloquée</t>
  </si>
  <si>
    <t>cou E–5 et nat C–1</t>
  </si>
  <si>
    <t>Veine bloquée</t>
  </si>
  <si>
    <t>Relancer deux fois les dés</t>
  </si>
  <si>
    <t>Un nouveau résultat 95-00 n’a aucun effet</t>
  </si>
  <si>
    <t>gpD10x</t>
  </si>
  <si>
    <t>gpD100x</t>
  </si>
  <si>
    <t>dCircon</t>
  </si>
  <si>
    <t>gpCircon</t>
  </si>
  <si>
    <t>dAge</t>
  </si>
  <si>
    <t>gpAge1</t>
  </si>
  <si>
    <t>gpAge2</t>
  </si>
  <si>
    <t>gpAnnee1</t>
  </si>
  <si>
    <t>gpAnnee2</t>
  </si>
  <si>
    <t>gpAnnee3</t>
  </si>
  <si>
    <t>gpMois1</t>
  </si>
  <si>
    <t>gpMois2</t>
  </si>
  <si>
    <t>gpJour1</t>
  </si>
  <si>
    <t>gpJour2</t>
  </si>
  <si>
    <t>gpJour3</t>
  </si>
  <si>
    <t>dLune</t>
  </si>
  <si>
    <t>gpLune1</t>
  </si>
  <si>
    <t>gpLune2</t>
  </si>
  <si>
    <t>dChevelure</t>
  </si>
  <si>
    <t>gpChevelure</t>
  </si>
  <si>
    <t>dStyle</t>
  </si>
  <si>
    <t>gpStyle</t>
  </si>
  <si>
    <t>dLongueur</t>
  </si>
  <si>
    <t>gpLongueur1</t>
  </si>
  <si>
    <t>dPilosite</t>
  </si>
  <si>
    <t>gpPilosite1</t>
  </si>
  <si>
    <t>gpPilosite2</t>
  </si>
  <si>
    <t>gpPilosite3</t>
  </si>
  <si>
    <t>dTeinte</t>
  </si>
  <si>
    <t>gpTeinte</t>
  </si>
  <si>
    <t>dMarque</t>
  </si>
  <si>
    <t>gpMarque</t>
  </si>
  <si>
    <t>dOdeur</t>
  </si>
  <si>
    <t>gpOdeur</t>
  </si>
  <si>
    <t>dArt</t>
  </si>
  <si>
    <t>gpArt1</t>
  </si>
  <si>
    <t>gpArt2</t>
  </si>
  <si>
    <t>gpArt3</t>
  </si>
  <si>
    <t>dHumour</t>
  </si>
  <si>
    <t>gpHumour</t>
  </si>
  <si>
    <t>dCroyance</t>
  </si>
  <si>
    <t>gpCroyance</t>
  </si>
  <si>
    <t>gpFoi</t>
  </si>
  <si>
    <t>dOrigine</t>
  </si>
  <si>
    <t>gpOrigine</t>
  </si>
  <si>
    <t>dLieu</t>
  </si>
  <si>
    <t>gpLieu</t>
  </si>
  <si>
    <t>dTerrain</t>
  </si>
  <si>
    <t>gpTerrain</t>
  </si>
  <si>
    <t>dDirection</t>
  </si>
  <si>
    <t>gpDirection</t>
  </si>
  <si>
    <t>dDistance</t>
  </si>
  <si>
    <t>gpDistance</t>
  </si>
  <si>
    <t>dNSp</t>
  </si>
  <si>
    <t>gpNSp</t>
  </si>
  <si>
    <t>gpBMp</t>
  </si>
  <si>
    <t>dFreSoe</t>
  </si>
  <si>
    <t>gpFreSoe</t>
  </si>
  <si>
    <t>dNSFreSoe</t>
  </si>
  <si>
    <t>gpNSFreSoe</t>
  </si>
  <si>
    <t>gpMort</t>
  </si>
  <si>
    <t>dRelation</t>
  </si>
  <si>
    <t>gpRelation</t>
  </si>
  <si>
    <t>dSituation</t>
  </si>
  <si>
    <t>gpSituation1</t>
  </si>
  <si>
    <t>gpSituation2</t>
  </si>
  <si>
    <t>dMedical</t>
  </si>
  <si>
    <t>gpMedical</t>
  </si>
  <si>
    <t>dIntensite</t>
  </si>
  <si>
    <t>gpIntensite</t>
  </si>
  <si>
    <t>dPsycho</t>
  </si>
  <si>
    <t>gpPsycho</t>
  </si>
  <si>
    <t>dNSPerso</t>
  </si>
  <si>
    <t>gpNSPerso1</t>
  </si>
  <si>
    <t>gpNSPerso2</t>
  </si>
  <si>
    <t>gpNSPerso3</t>
  </si>
  <si>
    <t>gpNSPerso4</t>
  </si>
  <si>
    <t>gpNSPerso5</t>
  </si>
  <si>
    <t>gpNSPerso6</t>
  </si>
  <si>
    <t>gpNSPerso7</t>
  </si>
  <si>
    <t>dCarriere</t>
  </si>
  <si>
    <t>gpCarriere</t>
  </si>
  <si>
    <t>dNS0</t>
  </si>
  <si>
    <t>NS0</t>
  </si>
  <si>
    <t>NS2</t>
  </si>
  <si>
    <t>NS3</t>
  </si>
  <si>
    <t>NS4</t>
  </si>
  <si>
    <t>dNS5</t>
  </si>
  <si>
    <t>NS5</t>
  </si>
  <si>
    <t>dNS6</t>
  </si>
  <si>
    <t>NS6</t>
  </si>
  <si>
    <t>dNS7</t>
  </si>
  <si>
    <t>NS7</t>
  </si>
  <si>
    <t>dNS8</t>
  </si>
  <si>
    <t>NS8</t>
  </si>
  <si>
    <t>dNS9</t>
  </si>
  <si>
    <t>NS9</t>
  </si>
  <si>
    <t>gpTic</t>
  </si>
  <si>
    <t>gpCaractere</t>
  </si>
  <si>
    <t>dTraitsSpe</t>
  </si>
  <si>
    <t>gpTraitSpe</t>
  </si>
  <si>
    <t>dHistoire</t>
  </si>
  <si>
    <t>gpHistoire</t>
  </si>
  <si>
    <t>gpTraitmi</t>
  </si>
  <si>
    <t>gpTraitMa</t>
  </si>
  <si>
    <t>gpDon</t>
  </si>
  <si>
    <t>gpDefaut</t>
  </si>
  <si>
    <t>gpPrincipe</t>
  </si>
  <si>
    <t>gpDispo</t>
  </si>
  <si>
    <t>gpOption</t>
  </si>
  <si>
    <t>gpCapacite</t>
  </si>
  <si>
    <t>gpObjet</t>
  </si>
  <si>
    <t>gpStatut</t>
  </si>
  <si>
    <t>gpRichesse</t>
  </si>
  <si>
    <t>gpAttitude</t>
  </si>
  <si>
    <t>gpTalentA</t>
  </si>
  <si>
    <t>gpTalentM</t>
  </si>
  <si>
    <t>gpHistoireR</t>
  </si>
  <si>
    <t>gpHistoireE</t>
  </si>
  <si>
    <t>gpBenediction</t>
  </si>
  <si>
    <t>gpMalediction</t>
  </si>
  <si>
    <t>gpEtrange</t>
  </si>
  <si>
    <t xml:space="preserve">Né d’un hors mariage : NS-5 </t>
  </si>
  <si>
    <t>Liberté</t>
  </si>
  <si>
    <t>Athée</t>
  </si>
  <si>
    <t>Chaque ‘0’ (ou 10 donc) obtenu sur un D10 donne +1 au natif, Foi-5</t>
  </si>
  <si>
    <t>Hibou</t>
  </si>
  <si>
    <t>Sang</t>
  </si>
  <si>
    <t>Argent</t>
  </si>
  <si>
    <t>Un x4 devient x5, un x3 devient x2</t>
  </si>
  <si>
    <t>Plat -1</t>
  </si>
  <si>
    <t>Très courts</t>
  </si>
  <si>
    <t>Aucune</t>
  </si>
  <si>
    <t>Glabre</t>
  </si>
  <si>
    <t>Très foncée</t>
  </si>
  <si>
    <t>Avant-bras</t>
  </si>
  <si>
    <t>Fraîcheur spéciale, transpiration faible : nat Ap+4</t>
  </si>
  <si>
    <t>Incapable, max Em-D10</t>
  </si>
  <si>
    <t>Rigole de tout et tout le temps, humour gras ou fin : nat Em+3, cou I-1, Foi-3</t>
  </si>
  <si>
    <t>Rejet de toutes les croyances: nat I+2, nat Em+2, NS-5</t>
  </si>
  <si>
    <t>Du centre ou riche, NS+3</t>
  </si>
  <si>
    <t>Nord-Ouest</t>
  </si>
  <si>
    <t>Maladie C-1</t>
  </si>
  <si>
    <t>Éparpillée</t>
  </si>
  <si>
    <t xml:space="preserve">Dans D10*+1 lieux différents, déterminez les circonstances : BM-5 </t>
  </si>
  <si>
    <t>Très Faible</t>
  </si>
  <si>
    <t>Basse plèbe </t>
  </si>
  <si>
    <t xml:space="preserve">1xArme </t>
  </si>
  <si>
    <t>Petit artisan</t>
  </si>
  <si>
    <t xml:space="preserve">1xTG </t>
  </si>
  <si>
    <t>animaux</t>
  </si>
  <si>
    <t>Vêtements</t>
  </si>
  <si>
    <t>Infernal  V+4/Ap-4</t>
  </si>
  <si>
    <t>Taille spéciale. D10* : 1=+10 (nat C+2, A-1)…2=-10(nat A+2, C-1)…3=+20(nat C+3, A-2)…4=-20(nat A+3, C-2), minimum 130cm, maximum 220cm</t>
  </si>
  <si>
    <t>Effort, +1 Budget de Construction</t>
  </si>
  <si>
    <t>adopte systématiquement un comportement non dangereux : VO-5 VD+5</t>
  </si>
  <si>
    <t>acide : capable de cracher une bave acide (type Poison d6/d6) à 3 m de distance, 3 fois par jour</t>
  </si>
  <si>
    <t>vieillesse : âge de départ + 1D10 années, perte de 1D10 dans tous les maxima (un seul jet à faire)</t>
  </si>
  <si>
    <t>Droiture : garde sa parole/ne ment jamais/n’attaque pas un désarmé (d3) : CI+10 max F+10</t>
  </si>
  <si>
    <t>méchant/suspicieux/vengeur (d3) : max NdC 4</t>
  </si>
  <si>
    <t>découverte : un bonus permanent de +20 à un talent, au choix du J</t>
  </si>
  <si>
    <t>allergie : RMa x 2 défaut =si en ciblé par magie ou utilise la magie, alors teste V(Res) pour ne pas éternuer pendant 1D10 phases avec alors un malus général de 10 pendant, max C(san)-2</t>
  </si>
  <si>
    <t>PN : 1D10 doses d’herbe/de poison/de produits d’animaux (d3)</t>
  </si>
  <si>
    <t>damné/famille damnée (d2): ne peut refuser l’hospitalité/ne peut avoir d’animaux/ne peut refuser l’aide d’autre/ne peut refuser un défi/ne peut accepter d’argent (d5) : NS/2 Foi-10</t>
  </si>
  <si>
    <t>haine/passion (d2) pour l’alcool/les jeux/la bagarre/sexe/bonne cuisine/manières (d6) : cou V+3</t>
  </si>
  <si>
    <t>Béni : max F/En/D/A/C (d5) +1d6x5</t>
  </si>
  <si>
    <t>Apprenti : les coûts pour apprendre les nouveaux sortilèges sont divisés par deux</t>
  </si>
  <si>
    <t>a perdu/gagné (d2) un objet précieux/magique/héritage famille (d3) : à déterminer</t>
  </si>
  <si>
    <t>apparition locale d’une relique majeure attirant pèlerins et curieux : révélation, Foi+5</t>
  </si>
  <si>
    <t>abandonné : test V(Car) pour se faire passer pour quelqu’un d’autre pour 1 tour</t>
  </si>
  <si>
    <t>pardonné : supprime tous les malus accumulés dans les  natifs</t>
  </si>
  <si>
    <t>accusé : supprime tous les bonus accumulés dans les  natifs</t>
  </si>
  <si>
    <t>déphasé : en combat, donne ses actions après/avant (d2) tous ceux à moins de 10m</t>
  </si>
  <si>
    <t>Né dans le mariage : Foi +1</t>
  </si>
  <si>
    <t>Excellence</t>
  </si>
  <si>
    <t>SI</t>
  </si>
  <si>
    <t>+1 natif si D20&lt; natif pour chaque caractéristique</t>
  </si>
  <si>
    <t>Sanglier</t>
  </si>
  <si>
    <t>Mvt Stratégique+10%</t>
  </si>
  <si>
    <t>Or</t>
  </si>
  <si>
    <t>Deux x3 passent à x4, un x3 passe à x2</t>
  </si>
  <si>
    <t>Châtain</t>
  </si>
  <si>
    <t>Ondulés +1</t>
  </si>
  <si>
    <t>Bol</t>
  </si>
  <si>
    <t>Moustache</t>
  </si>
  <si>
    <t>Duvet</t>
  </si>
  <si>
    <t>Foncée</t>
  </si>
  <si>
    <t>Bassin</t>
  </si>
  <si>
    <t>Douceur et odeur délicate : nat Ap+2</t>
  </si>
  <si>
    <t>Très mauvais, max Em-d6</t>
  </si>
  <si>
    <t>Apprécie les mots d’humour et les traits d’esprit : nat E+2, cou V-1, Foi-1</t>
  </si>
  <si>
    <t>Croyance dans les divinités païennes (voir MdJ) : nat Em+2, NS-3</t>
  </si>
  <si>
    <t>Du nord-ouest ou ancienne, CPA TG+5%</t>
  </si>
  <si>
    <t>Nord</t>
  </si>
  <si>
    <t>Epidémie C-1</t>
  </si>
  <si>
    <t>Unie</t>
  </si>
  <si>
    <t>Proche de la notion de clan : BM+3</t>
  </si>
  <si>
    <t>Plèbe </t>
  </si>
  <si>
    <t>1xS</t>
  </si>
  <si>
    <t>Récolteur</t>
  </si>
  <si>
    <t>artisan</t>
  </si>
  <si>
    <t>Arracheur dent</t>
  </si>
  <si>
    <t>Poils</t>
  </si>
  <si>
    <t>Immoral  Em-4/I+4</t>
  </si>
  <si>
    <t>Poids extrême, nat C+d6-d6. Localisation, D10* : 1=ventre…2=fesses…3=partout…4=excroissance Combien, D10* : 1=-5%…2=+10%…3=-15%…4=+20%</t>
  </si>
  <si>
    <t>Entraînement : une caractéristique courante +4 au choix du J.</t>
  </si>
  <si>
    <t xml:space="preserve">amour/haine (d2) d’une couleur/ d’un animal (d2) </t>
  </si>
  <si>
    <t>beaucoup trop confiant : Moral+3 VD-5</t>
  </si>
  <si>
    <t>animalité : peut se changer en animal (au du choix MdJ) une fois par jour pour 10 EN, durée 10 minutes</t>
  </si>
  <si>
    <t>anatomie endommagée : une partie aléatoire du corps subit +100 blessures</t>
  </si>
  <si>
    <t>Noblesse : ne blesse pas un innocent/ne torture jamais/ne tue pas par plaisir (d3) : max Em+10</t>
  </si>
  <si>
    <t>paternaliste/envahissant/surprotecteur (d3) : CI+10</t>
  </si>
  <si>
    <t xml:space="preserve">révélation : un bonus permanent de NE+10 à deux talents, au choix du J </t>
  </si>
  <si>
    <t>pauvreté : famille totalement ruinée, tout argent du J est résultat d’un vol : BM/10, NS-1</t>
  </si>
  <si>
    <t>avarice/générosité, loyal/déloyal, honnête/malhonnête  (d3) et (d2) : cou Em+1d6-1d6</t>
  </si>
  <si>
    <t>Carcasse : armure naturelle de 1d2 en T/E/C</t>
  </si>
  <si>
    <t>Béni : max I/V/E/Em/Ap (d5) +1d6x5</t>
  </si>
  <si>
    <t xml:space="preserve">accusé d’/a déjoué (d2) un crime léger/moyen/grave (d3) qu’il n’a pas commis : conséquences </t>
  </si>
  <si>
    <t>coup d’état/changement de faction/révolte politique (d3) local : impliqué dans l’intrigue</t>
  </si>
  <si>
    <t>entraîné : supprime tous les malus accumulés dans les  courants</t>
  </si>
  <si>
    <t>délaissé : supprime tous les bonus accumulés dans les  courants</t>
  </si>
  <si>
    <t>furie : chaque malus  donne VO+/VD-2 (d2)</t>
  </si>
  <si>
    <t>Bâtard reconnu : NS-2, Humour+1</t>
  </si>
  <si>
    <t>Sagesse</t>
  </si>
  <si>
    <t>EE</t>
  </si>
  <si>
    <t>+10% aux 2 natifs les plus élevés, -5% aux deux natifs les plus faibles</t>
  </si>
  <si>
    <t>Ours</t>
  </si>
  <si>
    <t>Cuivre</t>
  </si>
  <si>
    <t>Trois x2 passent à x3, un x3 passe à 2</t>
  </si>
  <si>
    <t>Brun</t>
  </si>
  <si>
    <t>Frisés</t>
  </si>
  <si>
    <t>Courts</t>
  </si>
  <si>
    <t>Grosse moustache</t>
  </si>
  <si>
    <t>Peu  pileux</t>
  </si>
  <si>
    <t>Bras</t>
  </si>
  <si>
    <t>Aucun, cou Ap+d3-d3</t>
  </si>
  <si>
    <t>Médiocre, max Em-d3</t>
  </si>
  <si>
    <t>Croyance liée à son histoire, ethnie et origines : NS+1</t>
  </si>
  <si>
    <t>Du nord-est ou frontalière, CPA TC+5%</t>
  </si>
  <si>
    <t>Nord-est</t>
  </si>
  <si>
    <t>Héréditaire C-1</t>
  </si>
  <si>
    <t>Origines diverses</t>
  </si>
  <si>
    <t>Alliances particulières avec étrangers: NS+2</t>
  </si>
  <si>
    <t xml:space="preserve">Artisan pauvre </t>
  </si>
  <si>
    <t>Guerrier</t>
  </si>
  <si>
    <t>1xArme</t>
  </si>
  <si>
    <t>Bâtisseur</t>
  </si>
  <si>
    <t>1xTG</t>
  </si>
  <si>
    <t>Belliqueux  Moral+4/I-4</t>
  </si>
  <si>
    <t>Cheveux spéciaux, max Ap-3. D10* : 1= cassants…2= gras…3= épais…4= bicolores</t>
  </si>
  <si>
    <t>Entraînement supérieur : deux caractéristiques courantes +6 au choix du J.</t>
  </si>
  <si>
    <t>Pro-noblesse/anti-noble (d2) : BM +10%/-10% Foi-10</t>
  </si>
  <si>
    <t>dépendant d’une drogue physique/mentale (d2) : max V-5/V-3</t>
  </si>
  <si>
    <t>archer né : les malus de distance pour les tirs sont divisés par deux</t>
  </si>
  <si>
    <t>attire les éléments : RMa=0 contre les forces liées aux éléments (eau/terre/feu/air)</t>
  </si>
  <si>
    <t>Humain : aide toujours/ne trahit jamais/respecte l’autorité (d3) : max I+10</t>
  </si>
  <si>
    <t>susceptible/grincheux/irritable (d3) : CI-10</t>
  </si>
  <si>
    <t>maîtrise : un NE+3/+20 à un sort/une arme (d2), au choix du J</t>
  </si>
  <si>
    <t>concentration totale : permet d’économiser une phase de préparation sur toutes les actions, défaut = VD-10 contre les attaques de  flanc ou de côté , max A(sop)-2</t>
  </si>
  <si>
    <t>Arme : une arme aiguisée +1D10* dans T/E/C (d3)</t>
  </si>
  <si>
    <t>criminel : la famille fait partie d’un groupe criminel ou mafieux : BM +D10-D10x10%, NS max 6</t>
  </si>
  <si>
    <t>Petit trésor : 3xD10xD10 Sous en plus</t>
  </si>
  <si>
    <t>ancien voleur repenti/cleptomane agressif (d2) : BMx1d3/1d3</t>
  </si>
  <si>
    <t>Chéri : cou F/En/D/A/C (d5) +1d6x5</t>
  </si>
  <si>
    <t>Chéri : cou I/V/E/Em/Ap (d5) +1d6x5</t>
  </si>
  <si>
    <t>ami/en fuite/pourchassé (d3) d’un sorcier/d’une secte (d2) : implication dans ce drame</t>
  </si>
  <si>
    <t>crue/feu/sécheresse (d3) affectant la nourriture/détruisant des constructions (d2) : accident &amp; blessure</t>
  </si>
  <si>
    <t>amnésique : test I(Mem) pour deviner un secret dissimulé dans l’esprit d’un proche à 10m</t>
  </si>
  <si>
    <t>oublié : supprime tous les malus accumulés dans les  maxima</t>
  </si>
  <si>
    <t>repoussé : supprime tous les bonus accumulés dans les  maxima</t>
  </si>
  <si>
    <t>études : incapable d’apprendre des pouvoirs/le CPA des pouvoirs est divisé par 2 (d2)</t>
  </si>
  <si>
    <t>Bâtard non reconnu : NS-4, BM–1% , Humour-1</t>
  </si>
  <si>
    <t>KO</t>
  </si>
  <si>
    <t>Peut transférer 3 points de natifs intellectuels vers natifs physiques, 1 pour 2, Foi -2</t>
  </si>
  <si>
    <t>Écureuil</t>
  </si>
  <si>
    <t>Air</t>
  </si>
  <si>
    <t>Foi+D10</t>
  </si>
  <si>
    <t>Plomb</t>
  </si>
  <si>
    <t>Le total des multiplicateurs/2 est gagné en points max</t>
  </si>
  <si>
    <t>Brun foncé</t>
  </si>
  <si>
    <t>Bouclés +1</t>
  </si>
  <si>
    <t>Haut de nuque</t>
  </si>
  <si>
    <t>Barbichette</t>
  </si>
  <si>
    <t>Pâle</t>
  </si>
  <si>
    <t>Cheville</t>
  </si>
  <si>
    <t>Forte odeur, fumet désagréable : nat Ap-2</t>
  </si>
  <si>
    <t>Pas fameux max I-d3</t>
  </si>
  <si>
    <t>Sombre, ne sourit que rarement : nat E-2, cou I+1, Foi+1</t>
  </si>
  <si>
    <t>Fidèle dans son âme et son cœur : nat V+1, NS+5</t>
  </si>
  <si>
    <t>Désertique ou très pauvre, BM-10</t>
  </si>
  <si>
    <t>Ouest</t>
  </si>
  <si>
    <t>Suite maladie C-1</t>
  </si>
  <si>
    <t>Divisée par intérêt</t>
  </si>
  <si>
    <t>Conflits internes : BM-5 ou +5 (gagnant ou perdant)(d2)</t>
  </si>
  <si>
    <t>Forte (Foi-1)</t>
  </si>
  <si>
    <t>Petit artisan </t>
  </si>
  <si>
    <t>Cueilleur</t>
  </si>
  <si>
    <t>Forgeron</t>
  </si>
  <si>
    <t>1xTG 1xArme</t>
  </si>
  <si>
    <t>Garçon écurie</t>
  </si>
  <si>
    <t>Dignitaire religieux</t>
  </si>
  <si>
    <t>Articulation</t>
  </si>
  <si>
    <t>Vindicatif  V+4/Em-4</t>
  </si>
  <si>
    <t>Yeux spéciaux, nat Ap+3. D10* : 1=violet…2=or…3=émeraude…4=vairons</t>
  </si>
  <si>
    <t>Entraînement unique : une caractéristique courante +10 au choix du J.</t>
  </si>
  <si>
    <t>capricieux/maniaque (d2) : VIT+1/-1</t>
  </si>
  <si>
    <t>fanatique membre d’une secte/religion (d2) : Foi=80+2D10</t>
  </si>
  <si>
    <t>armurier né : aucun malus dû aux armures portées</t>
  </si>
  <si>
    <t>aura : visible entourant le corps de couleur rougeâtre/bleuâtre/jaunâtre/verdâtre/blanchâtre (d5)</t>
  </si>
  <si>
    <t>Scrupuleux : garde sa parole vis-à-vis proches/ne ment qu’aux hérétiques (d2) : max Ap+10</t>
  </si>
  <si>
    <t>timide/réservé/sans assurance (d3) : CI-20</t>
  </si>
  <si>
    <t>coureur : peut avoir MVp x2 pour 10 phases, défaut = 10% par tour d’avoir une crampe musculaire provoquant une paralysie complète pendant 1D10 phases, max En(fat)-2</t>
  </si>
  <si>
    <t>Arme spéciale : poids/taille/critique/vitesse/résistance (d5) améliorée de 1D10x10%</t>
  </si>
  <si>
    <t>Guilde: la famille est influente au sein d’une Guilde, marque d’appartenance : BMxd6-d6x10%, NS+1</t>
  </si>
  <si>
    <t>Trésor : 4xD10xD100 Sous en plus</t>
  </si>
  <si>
    <t>pardonne toujours/jamais (d2) les offenses personnelles : cou V+1D10-1D10</t>
  </si>
  <si>
    <t xml:space="preserve">Corpulent : PdC + 1D10x10% </t>
  </si>
  <si>
    <t xml:space="preserve">Concentré : PdM +1D10x10% </t>
  </si>
  <si>
    <t>apprécié/marqué (d2) par une faute commise/corrigée : effets psychologiques</t>
  </si>
  <si>
    <t>découverte de ressource locale attirant les gens de loin : richesse aléatoire V=D100xD10* sous</t>
  </si>
  <si>
    <t>amoureux : test Ap(Cha) pour CI+10 pendant 1 tour</t>
  </si>
  <si>
    <t>aidé : supprime tous les malus accumulés à la BM</t>
  </si>
  <si>
    <t>abandonné : supprime tous les bonus accumulés à la BM</t>
  </si>
  <si>
    <t>devin : capable de deviner tous les sorts en préparation à Em(inu) m / aucun bonus des Focus de magie(d2)</t>
  </si>
  <si>
    <t>Adopté : déterminer circonstances, points achat de TC +5%</t>
  </si>
  <si>
    <t>Pérennité</t>
  </si>
  <si>
    <t>NA</t>
  </si>
  <si>
    <t>Peut transférer 4 fois d’un natif vers un autre à raison de 1 pour 2</t>
  </si>
  <si>
    <t>Mésange</t>
  </si>
  <si>
    <t>Rubis</t>
  </si>
  <si>
    <t>Les multiplicateurs peuvent aller de 1 à 5</t>
  </si>
  <si>
    <t>Crépus -1</t>
  </si>
  <si>
    <t>Bas de nuque</t>
  </si>
  <si>
    <t>Bouc</t>
  </si>
  <si>
    <t>Toison</t>
  </si>
  <si>
    <t>Très pâle</t>
  </si>
  <si>
    <t>Odeur pestilentielle et repoussante : nat Ap-4</t>
  </si>
  <si>
    <t>Moyen max I-1</t>
  </si>
  <si>
    <t>Maussade et sévère, réprime le rire avec constance : nat Em-3, cou V+1, Foi+3</t>
  </si>
  <si>
    <t>Fera tout pour la victoire de sa cause : nat I-1, nat V+2, Moral combat +2</t>
  </si>
  <si>
    <t>Montagneuse ou très riche, BM+10</t>
  </si>
  <si>
    <t>Centre</t>
  </si>
  <si>
    <t>1D10 x 50m, BM-3</t>
  </si>
  <si>
    <t>Accident travail V+1</t>
  </si>
  <si>
    <t>Dépendante d’une autre</t>
  </si>
  <si>
    <t>Liée à une autre famille ayant un NS+2 (max 9), NS+2</t>
  </si>
  <si>
    <t>Très forte (Foi-2)</t>
  </si>
  <si>
    <t>Artisan </t>
  </si>
  <si>
    <t xml:space="preserve">1xS 1xTG </t>
  </si>
  <si>
    <t xml:space="preserve">Artisan </t>
  </si>
  <si>
    <t>2xTG</t>
  </si>
  <si>
    <t>Propreté</t>
  </si>
  <si>
    <t>Grossier  I-4/V+4</t>
  </si>
  <si>
    <t>Peau spéciale, nat Ap-3. D10* : 1=taches rouges…2=ébène…3=blanche…4=épaisse comme du cuir (ajoute armure TEC+1, partout).</t>
  </si>
  <si>
    <t>Maladie de jeunesse : max Ap(bea)/2.</t>
  </si>
  <si>
    <t>extraverti/introverti (d2) : CI +5/-5</t>
  </si>
  <si>
    <t xml:space="preserve">incapable de mentir/menteur compulsif (d2) : CI-20/+20 </t>
  </si>
  <si>
    <t>aversion d’arme : incapable d’utiliser des armes orientée Taille/Estoc/Concussion (d3)</t>
  </si>
  <si>
    <t>Rigide : se méfie de l’autorité/n’accepte pas les injustices (d2) : BM-10%</t>
  </si>
  <si>
    <t>exagère tout/mythomane/vaniteux (d3) : max NdC 5</t>
  </si>
  <si>
    <t>avantage : 2 natifs différents à +3, au choix du J</t>
  </si>
  <si>
    <t>empathie animale : choisir une race d’animaux avec laquelle tous les tests ont un bonus +25 et si élevage d’un animal de cette race pendant au moins 1 mois alors télépathie disponible à 100m, défaut = les animaux ennemis de cette race sont ennemis enragés et à vue du Perso, Foi-5</t>
  </si>
  <si>
    <t>Petite relique : ayant un effet permanent bénéfique (MdJ choisit le sortilège) NEM1d6/NE1d3</t>
  </si>
  <si>
    <t>cosmopolite: famille d’origines diverses (ethniques et culturelles) : CPA TG-10%</t>
  </si>
  <si>
    <t>Grand trésor : 5xD100xD100 Sous en plus</t>
  </si>
  <si>
    <t>recherche la hiérarchie/l’égalité sociale (d2) : cou I+1D10-1D10</t>
  </si>
  <si>
    <t>Dédié : nat F/En/D/A/C (d5) +1d6x5</t>
  </si>
  <si>
    <t>Dédié : nat I/V/E/Em/Ap (d5) +1d6x5</t>
  </si>
  <si>
    <t>blessure mineure/majeure (d2) handicapante : temporaire 5/10 dans F/En/D/A/C (d5)</t>
  </si>
  <si>
    <t>découverte de ruines/de donjon (d2) avec d’anciens trésors : mystère à dévoiler</t>
  </si>
  <si>
    <t>animalité : test Em(Com) pour comprendre les intentions et émotions d’un animal à 30m</t>
  </si>
  <si>
    <t>guidé : CPA sont maximum x1</t>
  </si>
  <si>
    <t>perdu : supprime toutes les réductions de CPA</t>
  </si>
  <si>
    <t>empathique : gagne automatiquement un CC à chaque rencontre / ne gagne jamais de CC (d2)</t>
  </si>
  <si>
    <t>Orphelin : déterminer sort de la famille, BM-5%, Humour-2</t>
  </si>
  <si>
    <t>Balance</t>
  </si>
  <si>
    <t>EA</t>
  </si>
  <si>
    <t>Le natif le plus proche de 11 voit son max augmenter de 5</t>
  </si>
  <si>
    <t>Fourmi</t>
  </si>
  <si>
    <t>Souffle-1 par tour</t>
  </si>
  <si>
    <t>Un x4 passe à x3, un x4 passe x5</t>
  </si>
  <si>
    <t>Longs</t>
  </si>
  <si>
    <t>Épaisse toison</t>
  </si>
  <si>
    <t>Clavicule</t>
  </si>
  <si>
    <t>Correct max I+d3</t>
  </si>
  <si>
    <t>Variée, BM+5, CPA +5%</t>
  </si>
  <si>
    <t>Est</t>
  </si>
  <si>
    <t>1D10 x 50m, BM-4</t>
  </si>
  <si>
    <t>Accident maison V+1</t>
  </si>
  <si>
    <t>Itinérante</t>
  </si>
  <si>
    <t>Sans terre ni maison : BM–20, CPA TG+5% Foi-2</t>
  </si>
  <si>
    <t>Artisan aisé</t>
  </si>
  <si>
    <t>Vétéran</t>
  </si>
  <si>
    <t>1xTC 1xS</t>
  </si>
  <si>
    <t>Armurier</t>
  </si>
  <si>
    <t>2xTG 1xTC</t>
  </si>
  <si>
    <t>Fabricant trappe</t>
  </si>
  <si>
    <t>Saleté</t>
  </si>
  <si>
    <t>Menteur  CI-20/V+4</t>
  </si>
  <si>
    <t>Pilosité, nat Ap+d6-d6. D10* : 1=aucun poil…2=erratique…3=sur abondante…4=bicolore.</t>
  </si>
  <si>
    <t>Vieille fracture : localiser sur le corps,  max A-20%.</t>
  </si>
  <si>
    <t>fier de son groupe/royaume/culture (d3) : Foi+1/+2/+3</t>
  </si>
  <si>
    <t>intolérant vis-à-vis d’une race/ethnie/groupe religieux (d3) : max Em-5 Foi+5</t>
  </si>
  <si>
    <t>aversion du tir : incapable d’utiliser des armes de tir/de lancer (d2)</t>
  </si>
  <si>
    <t>flambeur/prend de gros risques/chipoteur (d3) : CI+5</t>
  </si>
  <si>
    <t>support : un talent à N3, au choix du J</t>
  </si>
  <si>
    <t>enchanté : RMa +25 et bonus +10 pour lancer des sorts, défaut = peur du noir V(Res)x1, si test raté alors panique pendant 1D10 heures, Foi+10</t>
  </si>
  <si>
    <t>Relique : ayant un effet permanent bénéfique (MdJ choisit le sortilège) NEM2d6/NE1d6</t>
  </si>
  <si>
    <t>Terres : 5x1D10 hectares de bonnes terres</t>
  </si>
  <si>
    <t>humble dans toute sa vie/hédoniste total (d2) : cou Em+1D10-1D10</t>
  </si>
  <si>
    <t>Elu : ne peut jamais tomber malade</t>
  </si>
  <si>
    <t>erreur commise/découverte unique (d2) lors d’un apprentissage/expérience (d2) : connaissances + ou -</t>
  </si>
  <si>
    <t>dépression/croissance (d2) économique légère/importante (d2) : profit ou perte personnelle</t>
  </si>
  <si>
    <t>anneau unique : test D(Man) pour bonus +20 dans un talent d’artisanat</t>
  </si>
  <si>
    <t xml:space="preserve">aidé : J doit supprimer 1D10* effets spéciaux obtenus au choix </t>
  </si>
  <si>
    <t>lâché : ne peut acquérir qu’un seul métier</t>
  </si>
  <si>
    <t>sanguin : peut gagner un pouvoir d’une créature en buvant son sang, durée 1 tour/ VO/2 contre créatures</t>
  </si>
  <si>
    <t>Aîné : héritier, NS+5, BM+5%, points TG +5%</t>
  </si>
  <si>
    <t>Clairvoyance</t>
  </si>
  <si>
    <t>Mystique</t>
  </si>
  <si>
    <t>Points d’ajustement des caractéristiques +6</t>
  </si>
  <si>
    <t>Physique</t>
  </si>
  <si>
    <t>Os</t>
  </si>
  <si>
    <t>Diamant</t>
  </si>
  <si>
    <t>Deux x3 passent à x2, deux x3 passent à x4</t>
  </si>
  <si>
    <t>Longs - chignon</t>
  </si>
  <si>
    <t>Grosse barbe</t>
  </si>
  <si>
    <t>Foison</t>
  </si>
  <si>
    <t>Bon, max Em+1</t>
  </si>
  <si>
    <t>Sud-ouest</t>
  </si>
  <si>
    <t>1D10 x 50m, BM-5</t>
  </si>
  <si>
    <t>accident voyage V+1</t>
  </si>
  <si>
    <t>Résidente</t>
  </si>
  <si>
    <t>Bien installée dans un lieu : BM+2</t>
  </si>
  <si>
    <t>Riche artisan </t>
  </si>
  <si>
    <t>1xTC 1xTG</t>
  </si>
  <si>
    <t>Maître artisan</t>
  </si>
  <si>
    <t>2xTG 1xArme</t>
  </si>
  <si>
    <t>écrit</t>
  </si>
  <si>
    <t>Écrivain public</t>
  </si>
  <si>
    <t>Orifice</t>
  </si>
  <si>
    <t>Sadique  I+4/Em-4</t>
  </si>
  <si>
    <t>Âge de départ modifié. D10* : 1=-2 ans…2=+3 ans…3=-4 ans…4=+5 ans.</t>
  </si>
  <si>
    <t>Echappé de prison étrangère il y a 1D100 jours, poursuivi par D10* groupes d’hommes.</t>
  </si>
  <si>
    <t>membre d’une secte ultra : RMa +2 Foi+10</t>
  </si>
  <si>
    <t>mauvaise mémoire/mémoire à court terme (d2) : max I-5/I-10</t>
  </si>
  <si>
    <t>aura : bonus RMa + PM, aura d’un rayon de (RMa)cm légèrement visible à minuit, pendant 2 minutes</t>
  </si>
  <si>
    <t>Aveugle : Vue/3 pendant la nuit/jour (d2)</t>
  </si>
  <si>
    <t>Profiteur : prend avantage d’un ennemi faible/torture que si utile/profite des groupes (d3) : max V-10</t>
  </si>
  <si>
    <t xml:space="preserve">amical/parle tout le temps/chaleureux (d3) : CI+20 </t>
  </si>
  <si>
    <t>géant : +20 en F et C cou et max, le plus grand de la région, défaut = teste V(Res)x1 si applique sa force pour éviter d’écraser ou de brusquer la cible, max I(rai)-3</t>
  </si>
  <si>
    <t>Grande relique : ayant un effet permanent bénéfique (MdJ choisit le sortilège) NEM3d6/NE2d6</t>
  </si>
  <si>
    <t>Petite rente : revenu de 1d6 x100 Sous par mois</t>
  </si>
  <si>
    <t>libertaire antiautoritaire et anticlérical, anarchiste : cou I+2, V+3, E+4, Em+5</t>
  </si>
  <si>
    <t>Gargantuesque : consommation de Nourriture PdN/jour +1D10x10 %</t>
  </si>
  <si>
    <t xml:space="preserve">Fluide : EN + 1D10x10% </t>
  </si>
  <si>
    <t>excellente santé/maladie grave, 5 bonus/malus généraux pour 1D10 jours : origine / contagieux</t>
  </si>
  <si>
    <t>émigration/immigration (d2) importante de réfugiés : exode forcé</t>
  </si>
  <si>
    <t>arme forgée : test V(Car) pour une phase à VOx2</t>
  </si>
  <si>
    <t>soutenu : +1D10* points de création</t>
  </si>
  <si>
    <t>pressé : perd tous les points de création restant</t>
  </si>
  <si>
    <t>futé : voit/ne peut pas voir(d2) la présence de compartiments ou poches secrets sur un corps/dans un repaire (d2)</t>
  </si>
  <si>
    <t>Nièce/cousin : adopté, NS-3, Humour+2</t>
  </si>
  <si>
    <t>Puissance</t>
  </si>
  <si>
    <t>EO</t>
  </si>
  <si>
    <t>Les deux natifs les plus proches de 2 voit son max augmenter de 7</t>
  </si>
  <si>
    <t>Cheval</t>
  </si>
  <si>
    <t>Détection magie+d6</t>
  </si>
  <si>
    <t>Perle</t>
  </si>
  <si>
    <t>Le total des multiplicateurs/2 est gagné en points courant</t>
  </si>
  <si>
    <t>Très longs</t>
  </si>
  <si>
    <t>Longue barbe</t>
  </si>
  <si>
    <t>Tapis de poils</t>
  </si>
  <si>
    <t>Coude</t>
  </si>
  <si>
    <t>Très bon, max Em+d3</t>
  </si>
  <si>
    <t>Éloignée ou isolée, NS-3</t>
  </si>
  <si>
    <t>Lieu-dit, +1 jet Table Spéciale</t>
  </si>
  <si>
    <t>Spécial, Foi+(d6-d6)x2</t>
  </si>
  <si>
    <t>Sud</t>
  </si>
  <si>
    <t xml:space="preserve">1D10 x 200m, une Survie au choix+N1 </t>
  </si>
  <si>
    <t>naturelle C+1</t>
  </si>
  <si>
    <t>Libre</t>
  </si>
  <si>
    <t>Ouverture d’esprit, tolérance : BM-10, nat Em +1 Foi-2</t>
  </si>
  <si>
    <t>Petite noblesse </t>
  </si>
  <si>
    <t>Guerrier élite</t>
  </si>
  <si>
    <t>Mage</t>
  </si>
  <si>
    <t>fer</t>
  </si>
  <si>
    <t>Peau</t>
  </si>
  <si>
    <t>Hypocrite  E-4/CI+20</t>
  </si>
  <si>
    <t>Apparence générale. D10* : 1=vêtements crasseux(cou Ap-5)…2= vêtements très classes(cou Ap+5)…3=toujours sale(max ap-5)…4=toujours propre(max Ap+5). Lié à une manie.</t>
  </si>
  <si>
    <t>Echappé d’une prison locale il y a 1d6 jours, poursuivi par D10* gardes.</t>
  </si>
  <si>
    <t>membre d’une sous-culture locale : cou I+5, Foi-5</t>
  </si>
  <si>
    <t>très avare/vénal/cleptomane (d3) : BM+10%/+5%/+20%</t>
  </si>
  <si>
    <t>béni : bonus général +10 quand en présence d’une race définie par le MdJ</t>
  </si>
  <si>
    <t>cannibale : doit manger de la viande humaine au moins une fois par semaine sinon Maladie+1</t>
  </si>
  <si>
    <t>Egoïsme : ne tient pas sa parole/profite de toute faiblesse ennemie (d2) : max Em-10</t>
  </si>
  <si>
    <t>courtois/accueillant/généreux (d3) : min NdC 2</t>
  </si>
  <si>
    <t>Rareté : un objet au hasard avec une propriété d’usage augmentée de 1D10x10%</t>
  </si>
  <si>
    <t>royale: famille de sang royal : NS caché = 1d6+3 – BM x1d6 Foi+10</t>
  </si>
  <si>
    <t>Rente : revenu de 2d6 x100 Sous par mois</t>
  </si>
  <si>
    <t>Glissant : VD +1d6x5</t>
  </si>
  <si>
    <t>Focus : RMa +1d6x5</t>
  </si>
  <si>
    <t>folie passagère/perdu dans un lieu inconnu (d2) : raison/lieu, 10 tempo en I/V/E/Em/Ap (d5)</t>
  </si>
  <si>
    <t>enlèvement/assassinat (d2) d’une personnalité importante (NS 6+1d3) : rapt/dénonciation</t>
  </si>
  <si>
    <t>couvert : budget de construction +1D10</t>
  </si>
  <si>
    <t>découvert : budget de construction -1D10</t>
  </si>
  <si>
    <t xml:space="preserve">magique : est insensible / est incapable de résister (d2) aux défenses des reliques </t>
  </si>
  <si>
    <t>Cousin éloigné : adopté, NS-6, déterminer les raisons de cette adoption</t>
  </si>
  <si>
    <t>Grandeur</t>
  </si>
  <si>
    <t>EI</t>
  </si>
  <si>
    <t>Le natif le plus proche de 20 voit son max augmenter de 8, Foi+2</t>
  </si>
  <si>
    <t>Chat</t>
  </si>
  <si>
    <t>Très longs – nattes</t>
  </si>
  <si>
    <t>Crâne</t>
  </si>
  <si>
    <t>Excellent, max Em+d6</t>
  </si>
  <si>
    <t>Spécial, CPA TG+10%, Foi+2</t>
  </si>
  <si>
    <t>Sud-est</t>
  </si>
  <si>
    <t>1D10 x 200m, une Survie au choix+N2</t>
  </si>
  <si>
    <t>violente C+1</t>
  </si>
  <si>
    <t xml:space="preserve">Origine spéciale </t>
  </si>
  <si>
    <t>Selon MdJ, effets à déterminer : BM+5, NS+5 Foi+D10-D10</t>
  </si>
  <si>
    <t>Moyenne noblesse </t>
  </si>
  <si>
    <t>Champion</t>
  </si>
  <si>
    <t>1xTC 2xTG</t>
  </si>
  <si>
    <t xml:space="preserve">Sage </t>
  </si>
  <si>
    <t>3xTG</t>
  </si>
  <si>
    <t>mer</t>
  </si>
  <si>
    <t>Maître chenil</t>
  </si>
  <si>
    <t>Maître d'arme</t>
  </si>
  <si>
    <t>Objet</t>
  </si>
  <si>
    <t>Vicieux  Critique+4 /Em-4</t>
  </si>
  <si>
    <t>Caractéristique spéciale, à déterminer au hasard avec un D10. D10* : 1=+5…2=-5…3=+10…4=-10 à la valeur courante.</t>
  </si>
  <si>
    <t>Malédiction : D10* 1=sociale …2=fausse …3=magique et utile…4=magique et handicapante.</t>
  </si>
  <si>
    <t>mentalité d’érudit/guerrier/voleur (d3) : cou I/F/D +5</t>
  </si>
  <si>
    <t>très mauvais caractère : max V+5 &amp; Ap-5</t>
  </si>
  <si>
    <t>chair putride : odeur très forte, aucune créature/animal ne le chassera si c’est pour le manger</t>
  </si>
  <si>
    <t>cheveux colorés : deux couleurs forts différentes au choix du MdJ, nat Ap+d6-d6</t>
  </si>
  <si>
    <t>Méchanceté : peut kidnapper innocent/tue par plaisir/n’aide que si intéressé (d3) : max Ap-10</t>
  </si>
  <si>
    <t>imprudent/confident/courageux (d3) : min NdC 1</t>
  </si>
  <si>
    <t>maître total : tous les coûts et le temps d’apprentissage de ce qui est lié à la magie sont /2, défaut = à chaque rire, éternuement, pleur, saignement une aura rougeâtre apparaît sur le visage ou les mains, max Ap-5</t>
  </si>
  <si>
    <t>Focus : rare donnant NEM+1d3, NE(sorts)+1d3, RMa+NEM+NE, bonus général de 2</t>
  </si>
  <si>
    <t>conspiration: famille liée à un complot pour prendre le pouvoir local/régional/royal (d3) : NS+d3-d3</t>
  </si>
  <si>
    <t>Bonne rente : revenu de 1d3 x1000 Sous par mois</t>
  </si>
  <si>
    <t>Immortel : RM +1d6x5</t>
  </si>
  <si>
    <t>Forteresse : VdCx2</t>
  </si>
  <si>
    <t>fuite d’/accepté par (d2) une secte occulte/group de bandits (d2): poursuite/aide par d6 personnes</t>
  </si>
  <si>
    <t>épidémie légère/moyenne/grave (d3) affecte la région causant 1d6x2/x4/x6% de morts : malade M=D10*</t>
  </si>
  <si>
    <t>propulsé : multiplicateurs +1d6+EE65</t>
  </si>
  <si>
    <t>enfoncé : multiplicateurs -1d6</t>
  </si>
  <si>
    <t>résistance : divise/multiplie (d2) par 2 les effets d’encombrement/de poids (d2)</t>
  </si>
  <si>
    <t>Relation spéciale : NS+10, BM+(d6-d6)x5%, à la discrétion du MdJ, Foi+2</t>
  </si>
  <si>
    <t>Brillance</t>
  </si>
  <si>
    <t>Fanatique</t>
  </si>
  <si>
    <t>Doit passer un total de 6 natifs des 2 deux bas scores vers les 2 plus hauts, Foi+5</t>
  </si>
  <si>
    <t>Serpent</t>
  </si>
  <si>
    <t>Lumière</t>
  </si>
  <si>
    <t>CS+D10</t>
  </si>
  <si>
    <t>Très longs – tresse</t>
  </si>
  <si>
    <t>Dents²</t>
  </si>
  <si>
    <t>Surnaturel, nat Em+d6</t>
  </si>
  <si>
    <t>inconnue Foi-1</t>
  </si>
  <si>
    <t>Rejetée</t>
  </si>
  <si>
    <t>Ayant fui sa région d’origine : NS(père)x5% d’avoir un ennemi puissant</t>
  </si>
  <si>
    <t>Grande noblesse </t>
  </si>
  <si>
    <t>2xTC 2xTG</t>
  </si>
  <si>
    <t>4xTG</t>
  </si>
  <si>
    <t>Maître équipage</t>
  </si>
  <si>
    <t>Langage</t>
  </si>
  <si>
    <t>Métier maîtrisé = N3 dans le(s) talent(s) concernés si acheté, quel que soit le CPA. D10* 1= un talent de sa profession …2= d’un talent du père …3= deux talents de sa profession…4=maître de Guilde (prendre le talent professionnel principal lié).</t>
  </si>
  <si>
    <t>Proche des Anciens : une langue ancienne à NE10 et une arme Ancienne à déterminer.</t>
  </si>
  <si>
    <t>optimiste/pessimiste (d2) : max V+5/-5</t>
  </si>
  <si>
    <t>chanceux : peut relancer une fois par jour n’importe un jet de D100</t>
  </si>
  <si>
    <t>couard : un test V(Res)x1 par tour pour rester en combat, sinon doit fuir</t>
  </si>
  <si>
    <t>Infidèle : ne travaille pas en groupe/peut trahir un ami/aucun respect de l’ordre (d3) : NdC à 3 max</t>
  </si>
  <si>
    <t>plaintif/agressif/accusateur (d3) Foi-1 : max NdC 3</t>
  </si>
  <si>
    <t xml:space="preserve">odeur forte : couvrant toutes les autres à 3 m, défaut = sensible à la chaleur, malus général -10 si température &gt;30°, Odorat-10, Ouïe+20 </t>
  </si>
  <si>
    <t>Créature : sauvage dressée avec I/10 ordres, au choix du MdJ, avec variation possible</t>
  </si>
  <si>
    <t>riche: famille très riche : BM + D10*x100%</t>
  </si>
  <si>
    <t>Rare rente : revenu de 1d6x1000 Sous par mois</t>
  </si>
  <si>
    <t>Héritier : régénération Mana x2</t>
  </si>
  <si>
    <t>gain d’un objet (1D10 PA) / d’une somme (1d6 PA) dans un marchandage : valeur réelle/escroquerie</t>
  </si>
  <si>
    <t>escarmouche/bataille/guerre (d3) contre des brigands/mercenaires/armée ennemis (d3) : participation</t>
  </si>
  <si>
    <t>cavalier : test A(Equ) pour maîtriser une monture sans les mains pendant 1 tour</t>
  </si>
  <si>
    <t>chanceux : richesse finale multipliée par 2</t>
  </si>
  <si>
    <t>isolé : richesse finale divisée par 2</t>
  </si>
  <si>
    <t>endurance : divise/multiplie (d2) par deux les effets de la faim/soif/maladie/fatigue/drogue (d5)</t>
  </si>
  <si>
    <t>Chien</t>
  </si>
  <si>
    <t>Max+Natif</t>
  </si>
  <si>
    <t>Doigt (non pouce)</t>
  </si>
  <si>
    <t>Admirée</t>
  </si>
  <si>
    <t>Déterminez la raison : NS+10 Foi+2</t>
  </si>
  <si>
    <t>parole</t>
  </si>
  <si>
    <t>Herbo/Min/Equ </t>
  </si>
  <si>
    <t>Origine spéciale (NS final modifié de +d6-3, min 0 , max 9). Géographie, D10* : 1=étranger…2=tribal …3=espion étranger…4=survivant massacre. Sociale,  D10* : 1=petite noblesse (BM+10)…2=titre gagné…3=titre usurpé…4=grande noblesse (BM+20).</t>
  </si>
  <si>
    <t>Richesse au jeu : 1D100 PA de plus au trésor de départ, en pièces.</t>
  </si>
  <si>
    <t>paresseux : nat F-2 BM -10%</t>
  </si>
  <si>
    <t>vengeur sanglant : max V+5 &amp; Moral+3</t>
  </si>
  <si>
    <t>concentration totale : prépare ou recharge les armes sans délai</t>
  </si>
  <si>
    <t>arrogant/nobliau/supérieur (d3) : CI+-5</t>
  </si>
  <si>
    <t>bénédiction: la famille jouit d’une chance générale : bonus +25 pour événements affectant la famille, Foi+20</t>
  </si>
  <si>
    <t>Maître du tir : NE toujours max à arcs/arbalètes/fronde (d3)</t>
  </si>
  <si>
    <t>Immunisé : Résistance Poison +1d6x5</t>
  </si>
  <si>
    <t>légère/grave (d2) maladie, alité pendant 1d6/1d6x5 jours, perte d’autant EN : Maladie 1 + Fatigue 2</t>
  </si>
  <si>
    <t>événement astronomique/chute de météore causant la panique/la folie (d2) : malédiction de la région</t>
  </si>
  <si>
    <t>douillet : test C(Rob) pour supprimer tous les malus de souffle non lié aux blessures</t>
  </si>
  <si>
    <t>Rat</t>
  </si>
  <si>
    <t>Epaule</t>
  </si>
  <si>
    <t>Par ses actes, sa foi, sa générosité : BM+3, NS+5 Foi+1</t>
  </si>
  <si>
    <t>Faux  CI-10/I+3</t>
  </si>
  <si>
    <t>Langage spécial à NE = D10*x20. Origine de la langue, D10* : 1=royaume voisin…2=royaume lointain …3=tribu…4=autre race.</t>
  </si>
  <si>
    <t>Chance au jeu : 2D10 PO de plus au trésor de départ, en créance ou pièces.</t>
  </si>
  <si>
    <t>timide/hédoniste (d2) : CI-10/+10</t>
  </si>
  <si>
    <t>deux jets sur la table, relancez les 96-100</t>
  </si>
  <si>
    <t xml:space="preserve">conscience : peut tester V(car) pour éviter de perdre conscience ou d’être étourdi </t>
  </si>
  <si>
    <t>damné : recherché/poursuivit (d2) par une force divine de Divin = 1D10*-1 (au choix du MdJ)</t>
  </si>
  <si>
    <t>confiant/facile/influençable (d3) : CI+15</t>
  </si>
  <si>
    <t>ouïe magique : Ouïe+20 et permet d’entendre normalement à travers 6m à d’épaisseur, défaut = incapable d’être réveillé dans sa première heure de sommeil, max C(rob)-3</t>
  </si>
  <si>
    <t>Maître de mêlée : NE toujours max à épée/hache/lance/masse/pique (d5)</t>
  </si>
  <si>
    <t>Mortel : RMa des cibles de sorts divisées par deux</t>
  </si>
  <si>
    <t>marqué par Dieu, nouveau prophète local, CI+20 pour 1D10 semaines : renommée, Foi+20</t>
  </si>
  <si>
    <t>fanatiques pillant/terrorisant (d2) la région sous le couvert de l’inquisition/d’hérésie (d2) : victime ou participe</t>
  </si>
  <si>
    <t>empathie : test Em(Inu) pour un test d’un talent général à son maximum</t>
  </si>
  <si>
    <t>Reflet</t>
  </si>
  <si>
    <t>Fesse</t>
  </si>
  <si>
    <t>Sens spécial, un des cinq au choix du J. Bonus +D10*x10 mais jamais plus que 80.</t>
  </si>
  <si>
    <t>toujours propre/sale (d2) : max C+5/-5</t>
  </si>
  <si>
    <t>dédié : bonus général de 5 contre toutes les créatures d’une race définie par le MdJ</t>
  </si>
  <si>
    <t>dormeur : doit dormir 1d6 heures après chaque combat d’une durée de plus d’une minute sinon Fatigue+1</t>
  </si>
  <si>
    <t>paranoïaque/fou/girouette (d3) : CI-15</t>
  </si>
  <si>
    <t>mort d’un ami/d’un membre de la famille (d2) : tristesse, chagrin, 10 tempo en V</t>
  </si>
  <si>
    <t xml:space="preserve">fête locale/festival/foire/joute/fête (d5) très populaire : réjouissance, bonus général +1 pour 1d6 jours </t>
  </si>
  <si>
    <t>esclave : test En(Sou) pour supprimer tous les malus de souffle</t>
  </si>
  <si>
    <t>Genou</t>
  </si>
  <si>
    <t>Entraîneur animaux</t>
  </si>
  <si>
    <t>Soigneur d'animaux</t>
  </si>
  <si>
    <t>Perfide  I+3/NdC max 5</t>
  </si>
  <si>
    <t>Médical, à détailler par le MdJ. Effets permanents sur RP &amp;  C. D10* : 1=résistance à une maladie…2=maladie permanente…3=malformation physique…4=porteur de virus.</t>
  </si>
  <si>
    <t>désarme : un test sur D(Coo)/2 pour désarmer un adversaire, coûte 5 EN, 1x/phase, coûte 1 PAC</t>
  </si>
  <si>
    <t>essence mortelle : la salive/le toucher (d2) est un poison de NEM/NE=D10 à déterminer au hasard</t>
  </si>
  <si>
    <t>poignet magique : VO+20 pour toutes les armes de jet à la main, défaut = 2% de s’évanouir pendant 1D10 phases et VO+20 devient VO-5 pour 1D10 heures, max D(man)-3</t>
  </si>
  <si>
    <t>Rapide : VO +1d6x5</t>
  </si>
  <si>
    <t>Parleur : CI +1D10x10% de la valeur</t>
  </si>
  <si>
    <t>rejeté/admis (d2) d’une Guilde/corporation/groupe social (d3) : relations, BM-30%/+10%</t>
  </si>
  <si>
    <t>grande arrivée de produits spéciaux/uniques/très appréciés (d3) dans la région : plaisir, joie, partage</t>
  </si>
  <si>
    <t>fiole de guérison : test D(Man) pour créer une dose à base d’huile et sang, avec bonus CSx2</t>
  </si>
  <si>
    <t>Gros Orteil</t>
  </si>
  <si>
    <t>Intolérant  Em-3/V+3</t>
  </si>
  <si>
    <t>Main spéciale (voir problème médicaux pour détails). D10* : 1=gaucher…2=ambidextre…3=manque un doigt (nat D-3)…4=manque un pouce (nat D-5).</t>
  </si>
  <si>
    <t>destiné : un test I(Rai) par heure pour deviner la direction à suivre lorsqu’il cherche quelque chose</t>
  </si>
  <si>
    <t>faible défense : VD/2 / incapable d’utiliser des boucliers / des armures (d3)</t>
  </si>
  <si>
    <t>Sorcellerie : connaît 1D10* sorts d’un alignement aléatoire à NEM I/10 et NE=NEM/2, magie innée</t>
  </si>
  <si>
    <t>retour d’un grand voyage (2D10 semaines) à l’étranger/dans un plan/région éloignée (d3) : expérience</t>
  </si>
  <si>
    <t>invention scientifique/culturelle/politique majeure (d3) changeant la situation : révolutionnaire ou contre</t>
  </si>
  <si>
    <t>goûteur : test I(Rai) pour détecter le poison dans n’importe quel ingrédient en main</t>
  </si>
  <si>
    <t>Hanche</t>
  </si>
  <si>
    <t>servage</t>
  </si>
  <si>
    <t>Tailleur pierre</t>
  </si>
  <si>
    <t>Cupide  BM+10/I-3</t>
  </si>
  <si>
    <t>faible sens : perte de 1D10* x 10% dans un des sens Vue/Ouïe/Toucher/Goût/Odorat (d5)</t>
  </si>
  <si>
    <t>résistance magique : P de tomber dans coma ou étourdi  /2, défaut = 2% chaque semaine de contracter une ancienne fièvre pour 1d6 jours avec -10 EN, 10 Temporaire en Ap(Cha) et V(Car), max C(san)-2</t>
  </si>
  <si>
    <t>Vecteur : coût mana/2 des sorts connus</t>
  </si>
  <si>
    <t>réussite/échec (d2) dans une quête contre une créature/une menace/un sauvetage (d3) : résultat</t>
  </si>
  <si>
    <t>nourriture avariée cause des maladies/des hallucinations/des crises de folie (d3) : maladie M2, EN-D10xd6</t>
  </si>
  <si>
    <t>illusionné : test Em(Inu) pour deviner un espace invisible à l’œil nu à 10m</t>
  </si>
  <si>
    <t>Joue²</t>
  </si>
  <si>
    <t>sombre</t>
  </si>
  <si>
    <t>Gens d'arme</t>
  </si>
  <si>
    <t>Fabr. De tente</t>
  </si>
  <si>
    <t>éloquent : toujours une phase en moins (minimum une) pour lancer un sort</t>
  </si>
  <si>
    <t>faiblesse d’âme : RMa/RP nulle (d2)</t>
  </si>
  <si>
    <t>souffle magique : peut retenir sa respiration pendant 5 minutes avec aucun malus de souffle, défaut = allergique aux conifères donc malus général de 20 à 10m d’un végétal de ce genre, max En(sou)-2</t>
  </si>
  <si>
    <t>Vision : pour 1D10 EN dépensés a 50% d’avoir une vision sur une personne connue/une chose (d2)</t>
  </si>
  <si>
    <t>s’est fait un ennemi/ami (d2) puissant (NS 1d6+3, NEC 1d6+4) suite à un crime : danger immédiat</t>
  </si>
  <si>
    <t>nouveau courant de pensée/goûts/habitudes (d3) à la mode : nouveauté, max I+5</t>
  </si>
  <si>
    <t>imitateur : test E(Voi) pour CI+20 pendant 15 min</t>
  </si>
  <si>
    <t>Langue²</t>
  </si>
  <si>
    <t>Arrogant  Ap-3/Moral+3</t>
  </si>
  <si>
    <t>Naissance favorable : une caractéristique native +2d3 au choix du J.</t>
  </si>
  <si>
    <t>enchanteur : capable d’apprendre tous les sorts sans limite de DS ni de NE ou autre restriction</t>
  </si>
  <si>
    <t>force incontrôlée : test V(Car) pour contenir sa force quand manipule objet sinon s’inflige 1d6 C à la main</t>
  </si>
  <si>
    <t>sort d’une période de famine/d’abondance (d2) 1D10* malus/bonus généraux pour 1d6 semaines: réserves</t>
  </si>
  <si>
    <t>nouvelles taxes légères/moyennes/lourdes (d3) sur tous les habitants : jacquerie ou répression</t>
  </si>
  <si>
    <t>immunisé : test C(San) pour annuler n’importe quel poison actif sur soi</t>
  </si>
  <si>
    <t>Homme d'arme</t>
  </si>
  <si>
    <t>Brutal  F+3/D-3</t>
  </si>
  <si>
    <t>Caractère double. Un trait de caractère aléatoire supplémentaire.</t>
  </si>
  <si>
    <t>enfant du volcan : le corps ignore les effets du feu une fois par jour pendant V(res)/2 phases</t>
  </si>
  <si>
    <t>fragile : les coups critiques ont un +25 sur le Perso</t>
  </si>
  <si>
    <t>ton magique : CI+15, défaut = peur des tempêtes donc malus général -20 si exposé à cela, max E(voi)-2</t>
  </si>
  <si>
    <t>révolte locale/régionale/rébellion générale (d3) de paysans/artisans/toute la population (d3) : heurs</t>
  </si>
  <si>
    <t>large vision : test I(Mem) pour avoir Vue+25 pendant une heure</t>
  </si>
  <si>
    <t xml:space="preserve">E </t>
  </si>
  <si>
    <t>Lancer deux fois sur la table : un dé de 62 à 100 n’aura aucun effet.</t>
  </si>
  <si>
    <t>Agressif  VO+3/VD-3</t>
  </si>
  <si>
    <t xml:space="preserve">Foi intense : fanatique (Foi80+2D10) d’un alignement au hasard. D10* : 1=El’Bis…2=El’Der…3=El’Dor…4=El’Lar. </t>
  </si>
  <si>
    <t>Richesse : une pièce de famille possédée depuis la naissance (tableau, statue, etc.).</t>
  </si>
  <si>
    <t xml:space="preserve">esprit enchanté : RMa x 2 </t>
  </si>
  <si>
    <t>frêle : coups de Taille/Estoc/Concussion reçus doublés après la réduction de l’armure (d3)</t>
  </si>
  <si>
    <t>voix magique : une fois par jour permet d’étourdir pendant une phase tout le monde dans un rayon de 30m, défaut = après cela 25% d’être muet pour 1D10 heures,  Foi+5</t>
  </si>
  <si>
    <t>vient de gagner/perdre (d2) son travail/sa source de revenu (d2) : BM +20/-40%</t>
  </si>
  <si>
    <t>scandale sexuel/corruption/chantage (d3) de responsables militaires/politiques (d2) locaux : honte, CI-10</t>
  </si>
  <si>
    <t>méticuleux : test D(Man) pour réussir n’importe quelle lettre ou dessin/copie</t>
  </si>
  <si>
    <t>Main (dos)</t>
  </si>
  <si>
    <t>Morose  V-2/Em+2</t>
  </si>
  <si>
    <t>Héritage important : trois objets pour une valeur totale inférieure à 40 PO, au choix du J.</t>
  </si>
  <si>
    <t>éveil né : ne peut jamais être embusqué ni surpris, aucun bonus pour l’attaquer de dos</t>
  </si>
  <si>
    <t>haine totale : d’une race/ethnie/religion (d3), attaque immédiate à vue</t>
  </si>
  <si>
    <t>vue magique : voit les sources de chaleur à travers 1m de matière à Vue/2 m, défaut = nécessite 1d6h de sommeil ou malus général -5 pendant ces heures, max Em(inu)+2</t>
  </si>
  <si>
    <t>traître/espion (d2) en train de comploter/assassiner/voler (d3) : fuite ou capture</t>
  </si>
  <si>
    <t>meurtrier : test D(Coo) pour gagner une classe de dégât dans la phase courante</t>
  </si>
  <si>
    <t>Âme</t>
  </si>
  <si>
    <t>Mollet</t>
  </si>
  <si>
    <t>Indifférent  Em-2/V+2</t>
  </si>
  <si>
    <t>Héritage unique : un objet unique ayant une valeur inférieure à 100PO, au choix J.</t>
  </si>
  <si>
    <t>favorisé : proche d’un noble très puissant (à NS 6+d3), BM +20%, CI+5</t>
  </si>
  <si>
    <t>haine animale : MdJ choisit la race animale, provoque l’attaque à vue dans les deux sens</t>
  </si>
  <si>
    <t>yeux brillants : CI+20 et max Ap+20,  défaut = maux de tête, D100=66 entraîne étourdi 4 phases, Foi-5</t>
  </si>
  <si>
    <t>tremblement de terre/ouragan/feu de ville (d3) entraîne des mort/du désordre (d2) : blessé &amp; ruines</t>
  </si>
  <si>
    <t>musicien : test E(Voi) pour donner un bonus général +1D10 à ses amis pendant 1tour à 10m</t>
  </si>
  <si>
    <t>Nez²</t>
  </si>
  <si>
    <t>Pessimiste  Moral-2/I+2</t>
  </si>
  <si>
    <t xml:space="preserve">Don spécial, à définir par le MdJ. S’utilise comme un talent spécial, D10 usages par jour. Type de don, d6 : 1=art…2=communication…3=nature…4=mécanique…5=foi…6=mémoire. Amplitude, NE = D10* x20 </t>
  </si>
  <si>
    <t>Terres : si NS &gt;3 alors NSxD10 hectares de terres fertiles sinon D100 ares.</t>
  </si>
  <si>
    <t xml:space="preserve">fidèle de Dieu : PdM x 2 </t>
  </si>
  <si>
    <t>hémophile : double les dégâts d’Estoc passant l’armure, CS-10</t>
  </si>
  <si>
    <t>yeux magiques : en fermant un œil permet de voir l’invisible mais plus le visible, défaut = 5% de devenir aveugle pour 1D10 heures après cela, max E(rap)+3</t>
  </si>
  <si>
    <t>une grande créature/un sorcier (d2) ravage la région/détruit les vies (d2) : quête &amp; danger</t>
  </si>
  <si>
    <t>Nuque</t>
  </si>
  <si>
    <t>Marin mer</t>
  </si>
  <si>
    <t>Hautain  CI-5/BM+5</t>
  </si>
  <si>
    <t xml:space="preserve">Sens spécial. ‘Connaissance de’ ou ‘résistance à’. S’utilise comme un talent spécial. Type, D10 : 1= mémoire… 2=direction… 3=temps… 4=distance… 5=nombres… 6=maladie… 7=drogues… 8= alcool… 9=nourriture… 10=choix MdJ. Amplitude = D10* x20 </t>
  </si>
  <si>
    <t>illettré : ne peut ni lire, ni écrire et ne peut pas apprendre les talents liés à l’écriture et à la lecture</t>
  </si>
  <si>
    <t>vague de crimes rituels/ethniques (d2) sans précédent : réaction ou fuite</t>
  </si>
  <si>
    <t>ouïe développée : test I (Mem) pour avoir Ouïe+25 pendant une heure</t>
  </si>
  <si>
    <t>Chair</t>
  </si>
  <si>
    <t>Œil²</t>
  </si>
  <si>
    <t>Égocentrique  RMa+2/Em-2</t>
  </si>
  <si>
    <t>Psychologie : déterminez un trouble psychologique supplémentaire.</t>
  </si>
  <si>
    <t>Maîtrise d’une arme : bonus D10*x10 dans un talent d’arme.</t>
  </si>
  <si>
    <t>focus mana : test Em(Inu) une fois par jour pour ressentir toutes les réserves de mana à Em(Inu) mètres</t>
  </si>
  <si>
    <t>insensible : ne ressent pas le feu/froid/ T/E /C(d5) mais perte EN+20%</t>
  </si>
  <si>
    <t>perdu : test E(Rap) pour trouver automatiquement des traces d’un être dans les 10m de rayon</t>
  </si>
  <si>
    <t>Oreille</t>
  </si>
  <si>
    <t>Fier  Ap+2/VD-2</t>
  </si>
  <si>
    <t>Famille spéciale (BM+5). D10* : 1= D10 enfants supplémentaires…2=orphelin suite à un massacre…3= jumeau /jumelle…4=un seul sexe (que des frères ou que des sœurs).</t>
  </si>
  <si>
    <t xml:space="preserve">focus personnel : un Natif doublé pour une caractéristique au hasard </t>
  </si>
  <si>
    <t>lien esprit-corps : chaque point de magie(PdM) utilisé cause une perte de 1 point d’EN</t>
  </si>
  <si>
    <t>Orteil (non gros)</t>
  </si>
  <si>
    <t>Effacé  VD+2/Ap-2</t>
  </si>
  <si>
    <t>force divine : ne souffre d’aucun effet d’encombrement, utilise toutes les armes de mêlée à une main</t>
  </si>
  <si>
    <t xml:space="preserve">malade chronique : un test C(San) par semaine pour ne pas tomber malade (état +1), au choix du MdJ </t>
  </si>
  <si>
    <t>sectaire : test V(Car) pour un tRN sur une négociation commerciale en cours</t>
  </si>
  <si>
    <t>Fertilité</t>
  </si>
  <si>
    <t>Nerveux  E+2/En-2</t>
  </si>
  <si>
    <t>malchanceux : -10 aux coups critiques infligés, +10 aux échecs critiques subis</t>
  </si>
  <si>
    <t>sixième sens : test Em(Com) pour avoir un bonus général de 10 pour 1 tour</t>
  </si>
  <si>
    <t>Pied</t>
  </si>
  <si>
    <t>Chef  Obéissance+5/I-2</t>
  </si>
  <si>
    <t>infidèle : capable d’apprendre tous les sorts sans lien religieux, aucun malus pour monter les NE des sort</t>
  </si>
  <si>
    <t>tatoué : test Ap(Bea) pour réussir le prochain CI si dans 2 phases</t>
  </si>
  <si>
    <t>Plante des Pieds</t>
  </si>
  <si>
    <t>Introverti  E-2/Em+2</t>
  </si>
  <si>
    <t>instinctif : VDx2 et tous les malus de combat à la VD sont divisés par deux</t>
  </si>
  <si>
    <t>mémoire du fou : 10% à chaque stress d’être frappé de folie, pendant 1d6 phases, due à un souvenir lointain</t>
  </si>
  <si>
    <t>téméraire : test V(Res) pour MVp x2 pendant un tour</t>
  </si>
  <si>
    <t>Poignet</t>
  </si>
  <si>
    <t>Coquet  Ap+3/VO-3</t>
  </si>
  <si>
    <t>invincible : ne peut jamais être étourdi</t>
  </si>
  <si>
    <t>métal : ne peut pas utiliser ni porter d’objets en fer/argent/or/bronze/cuivre(d5)</t>
  </si>
  <si>
    <t>visionnaire : test V(Car) pour placer une cible de même race en mode défensif pendant 1 tour</t>
  </si>
  <si>
    <t>Serein  V+3/Réaction-10</t>
  </si>
  <si>
    <t>Animal de compagnie entraîné: D10* 1=chien …2=rongeur…3=faucon…4=créature.</t>
  </si>
  <si>
    <t>nanisme/gigantisme : perte/gain (d2) de 1D10*x 10 cm (min 110cm max 210cm)</t>
  </si>
  <si>
    <t>Sexe²</t>
  </si>
  <si>
    <t>Timide  V-3/VD+3</t>
  </si>
  <si>
    <t>lié à la mana : un test Em(Com)/2 par jour pour comprendre les propriétés d’une relique touchée</t>
  </si>
  <si>
    <t>non-contrôle : tous les sorts non-offensifs utilisent le RMa du Perso contre eux, malus -10 pour lancer un sort</t>
  </si>
  <si>
    <t>Franc  CI+10/BM-10</t>
  </si>
  <si>
    <t>magicien : -20 au D100 des échecs critiques des sortilèges</t>
  </si>
  <si>
    <t>obèse : poids +1d6x10%, max C-10, En-10, A-10, Ap-10, F+10</t>
  </si>
  <si>
    <t>Sternum</t>
  </si>
  <si>
    <t>Calme  VD+3/VO-3</t>
  </si>
  <si>
    <t>Ennemi puissant : avec un NEC(Perso)+1d6 et une prime de 1D100 PA pour capture/mort(d2).</t>
  </si>
  <si>
    <t>Talon</t>
  </si>
  <si>
    <t xml:space="preserve">Joueur : effet spécial si 33/66  tiré </t>
  </si>
  <si>
    <t>Découverte spéciale : une caractéristique native intellectuelle +2d6 au choix du J.</t>
  </si>
  <si>
    <t>maître d’arme né : tous les talents d’armes à CPA/2 et CNS/2</t>
  </si>
  <si>
    <t>Thorax/poitrine</t>
  </si>
  <si>
    <t>Ambitieux  CPA TG+10%/BM-10</t>
  </si>
  <si>
    <t>Contact local : D10* 1=ami…2=allié…3=complice…4=espion, excellente relation (NdC=6).</t>
  </si>
  <si>
    <t>maître d’arme : connaît toutes les armes à N2</t>
  </si>
  <si>
    <t>peau colorée : de longues traces à la couleur vive (bleu/rougeâtre/jaunâtre) (d3), max Ap-10, CI-30</t>
  </si>
  <si>
    <t>Ventre/Abdomen</t>
  </si>
  <si>
    <t>Capricieux  Vitesse-10/Ap+3</t>
  </si>
  <si>
    <t>Contact régional : D10* 1=chevalier …2=noble…3=voleur…4=assassin, soutien (NdC=6).</t>
  </si>
  <si>
    <t>maître de la douleur : aucun malus dû aux pertes d’EN / au point de famine / aux blessures (d3)</t>
  </si>
  <si>
    <t>petit bras : incapable d’utiliser des armes nécessitant deux mains pour être manipulées en combat</t>
  </si>
  <si>
    <t>Rien</t>
  </si>
  <si>
    <t>Extraverti  CI+10/I-3</t>
  </si>
  <si>
    <t>Défi historique : une caractéristique native physique +5 au choix du J.</t>
  </si>
  <si>
    <t>maléfique : lié aux forces des ténèbres, possède un sort EO défini par MdJ, à NEM=NE=V(car)/10</t>
  </si>
  <si>
    <t>petit cœur : malus de souffle doublés</t>
  </si>
  <si>
    <t>Deux zones</t>
  </si>
  <si>
    <t>Téméraire  Moral+3/VD-3</t>
  </si>
  <si>
    <t>pyrophobie : incapable de manipuler du feu ou de s’approcher d’un feu à moins de V(car) m</t>
  </si>
  <si>
    <t>Chevaleresque  VO+4/Fuite-20</t>
  </si>
  <si>
    <t>Meilleur ami perdu au loin : a une clef/ une information(d2) pour le sauver, détails selon MdJ.</t>
  </si>
  <si>
    <t>pierre : incapable de nager, se noie automatiquement</t>
  </si>
  <si>
    <t>Doux  Ap+4/VO-4</t>
  </si>
  <si>
    <t>Deux lancers : un nouveau lancé de 91-00 n’a aucun effet.</t>
  </si>
  <si>
    <t>pourchassé : par un/groupe/masse/peuple (1D10*), tête mise à prix pour une somme de 30x1D100 sous</t>
  </si>
  <si>
    <t>Sensible  Em+4/VD-4</t>
  </si>
  <si>
    <t xml:space="preserve">presbyte / myope (d2) : malus 30 à Vue </t>
  </si>
  <si>
    <t>Courageux  Moral+5/Esquive-20</t>
  </si>
  <si>
    <t>ombre : peut tester V(Car)x1 une fois par jour pour être invisible pendant V/10 tours dans une zone d’ombre</t>
  </si>
  <si>
    <t>psychotique : attaque à la moindre insulte/offense (d2) si un test de V(Car) raté</t>
  </si>
  <si>
    <t>Accueillant  Ap+4/RMa-4</t>
  </si>
  <si>
    <t>précision : NE+2 pour tous les sorts offensifs (à RMa active)</t>
  </si>
  <si>
    <t>regard/toucher (d2) de pierre : si un test V(Car) réussi, par phase, alors cible « pétrifiée » pendant 1d6 phases</t>
  </si>
  <si>
    <t>Tolérant  Em+4/Critique-4</t>
  </si>
  <si>
    <t>réputation : connu pour ses méfaits, malus 30 à CI, ne peut avoir aucun ami (NdC 5 ou 6)</t>
  </si>
  <si>
    <t>Généreux  BM-20/CI+20</t>
  </si>
  <si>
    <t>régénération : CS + 1D10* x 10%, régénère 1 Blessure locale par tour</t>
  </si>
  <si>
    <t>sans focus : les sorts ont distance/durée/effet (d3) divisée par 2</t>
  </si>
  <si>
    <t>Bon  Moral-4/NdC min 1</t>
  </si>
  <si>
    <t>régénère : récupère 1 EN/ Malus /Mana (d3) par heure</t>
  </si>
  <si>
    <t>sans peur : ne s’enfuit jamais, reste toujours le dernier à se battre, Moral +20</t>
  </si>
  <si>
    <t>Dévoué  V+4/En-4</t>
  </si>
  <si>
    <t>résilience : armure naturelle,  bonus +1D10* en Taille / Estoc / Concussion (d3), sur tout le corps</t>
  </si>
  <si>
    <t>sensible à la nuit : malus général -15 pendant la nuit/dans les ténèbres (d2)</t>
  </si>
  <si>
    <t>Courtois  E+4/Vitesse-20</t>
  </si>
  <si>
    <t>résistant : RMa+25 à tous les sorts d’un alignement El’Bis/El’Dor/El’Der/El’Lar/Si’Th/Tous (d6)</t>
  </si>
  <si>
    <t>sensible : double dégâts et malus des effets du feu/froid/mental (d3)</t>
  </si>
  <si>
    <t>sauteur : peut sauter MVp m en longueur après un élan de MVp mètres, une fois par heure</t>
  </si>
  <si>
    <t>souffle de mort : 1x/jour peut souffler la mort NEM=NE=d6 sur une cible qu’il embrasse sur bouche</t>
  </si>
  <si>
    <t>sens du danger : un test gratuit de Em(Inu) par heure pour prédire un danger contre soi dans l’heure qui suit</t>
  </si>
  <si>
    <t>superstitieux : un test Em(Inu) x 2 par jour au réveil pour éviter d’avoir un malus général de 5 pendant 12h</t>
  </si>
  <si>
    <t>sens : un sens Ouïe/Vue/Toucher/Goût/Odorat (d5) avec +1D10* x 10% (max 80)</t>
  </si>
  <si>
    <t>tueur d’ami : test de I(Rai) x 2 par heure pour éviter d’attaquer un ami/proche en vue</t>
  </si>
  <si>
    <t>souffle infini : ne prend aucun malus de souffle et malus dus à la fatigue/2</t>
  </si>
  <si>
    <t>double effet : relancer deux fois sur la table, un autre ‘100’ = rien</t>
  </si>
  <si>
    <t>télépathe : capable de deviner l’intention immédiate d’une personne en vue, test Em(Inu)x1, coût 6 EN</t>
  </si>
  <si>
    <t>temporel : la durée d’effet sur soi de tous les sorts appris est doublée</t>
  </si>
  <si>
    <t>tueur de pouvoir : gagne 1d6 EN et PdM chaque fois qu’il est la cible d’un sortilège</t>
  </si>
  <si>
    <t>visionnaire : la portée de tous les sorts appris est doublée</t>
  </si>
  <si>
    <t>volonté de fer : immunisé contre la peur et la fascination, RMa x3 contre les sorts de sommeil</t>
  </si>
  <si>
    <t>infravision : peut voir les sources de chaleurs à (Vue)m, uniquement pendant la nuit, coût 3 EN</t>
  </si>
  <si>
    <t>vue éthérée : capable de voir tout ce qui est invisible (vivant ou inerte) à une portée de (Vue)m, coût 2 EN</t>
  </si>
  <si>
    <t>yeux vairons : capable de voir, avec un test de Vue, les êtres et objets invisibles en fermant un œil</t>
  </si>
  <si>
    <t>yeux de lynx : si test Vue réussi alors VO+10, 1x/phase</t>
  </si>
  <si>
    <t>yeux étincelants : bonus CI+25, nat Ap +6</t>
  </si>
  <si>
    <t>Naissance</t>
  </si>
  <si>
    <t>dé1</t>
  </si>
  <si>
    <t>dé2</t>
  </si>
  <si>
    <t>dé3</t>
  </si>
  <si>
    <t>dé4</t>
  </si>
  <si>
    <t>Etape</t>
  </si>
  <si>
    <t>Effet1</t>
  </si>
  <si>
    <t>Effet2</t>
  </si>
  <si>
    <t>Effet3</t>
  </si>
  <si>
    <t>Circonstance</t>
  </si>
  <si>
    <t>Annee</t>
  </si>
  <si>
    <t>Mois</t>
  </si>
  <si>
    <t>Jour</t>
  </si>
  <si>
    <t>Lune</t>
  </si>
  <si>
    <t>Chevelure</t>
  </si>
  <si>
    <t>Style</t>
  </si>
  <si>
    <t>Longueur</t>
  </si>
  <si>
    <t>gpLongueur2</t>
  </si>
  <si>
    <t>Pilosite tête(M)</t>
  </si>
  <si>
    <t>Pilosite corps(M)</t>
  </si>
  <si>
    <t>Intellectuelle -1</t>
  </si>
  <si>
    <t>A +1</t>
  </si>
  <si>
    <t>E +2</t>
  </si>
  <si>
    <t>D -2</t>
  </si>
  <si>
    <t>Em +3</t>
  </si>
  <si>
    <t>I -3</t>
  </si>
  <si>
    <t>Roux -Ap</t>
  </si>
  <si>
    <t>Noir -Ap</t>
  </si>
  <si>
    <t>Blond +Ap</t>
  </si>
  <si>
    <t>Teinte de la peau</t>
  </si>
  <si>
    <t>Mod nat Ap-2 à +2</t>
  </si>
  <si>
    <t>Marque de peau</t>
  </si>
  <si>
    <t>dMarque2</t>
  </si>
  <si>
    <t>gpMarque2</t>
  </si>
  <si>
    <t>bouton</t>
  </si>
  <si>
    <t>tache</t>
  </si>
  <si>
    <t>plaque</t>
  </si>
  <si>
    <t>zébrure</t>
  </si>
  <si>
    <t>Odeur</t>
  </si>
  <si>
    <t>Humour</t>
  </si>
  <si>
    <t>Croyance</t>
  </si>
  <si>
    <t>Direction</t>
  </si>
  <si>
    <t>Distance</t>
  </si>
  <si>
    <t>NS père</t>
  </si>
  <si>
    <t>Nb Frères &amp; Sœurs</t>
  </si>
  <si>
    <t>Adopté</t>
  </si>
  <si>
    <t>Inconnu</t>
  </si>
  <si>
    <t>Métier père</t>
  </si>
  <si>
    <t>²</t>
  </si>
  <si>
    <t>déNS1</t>
  </si>
  <si>
    <t>déNS2</t>
  </si>
  <si>
    <t>déNS3</t>
  </si>
  <si>
    <t>déNS4</t>
  </si>
  <si>
    <t>gpNS1</t>
  </si>
  <si>
    <t>Position</t>
  </si>
  <si>
    <t>Age père</t>
  </si>
  <si>
    <t>Age mère</t>
  </si>
  <si>
    <t>Héritage</t>
  </si>
  <si>
    <t>NS mère, frè soe</t>
  </si>
  <si>
    <t>Morts père mère</t>
  </si>
  <si>
    <t>Mariage fre soe</t>
  </si>
  <si>
    <t>Mariage Perso</t>
  </si>
  <si>
    <t>Relation Famille</t>
  </si>
  <si>
    <t>Situation Famille</t>
  </si>
  <si>
    <t>Médical</t>
  </si>
  <si>
    <t>Psychologie</t>
  </si>
  <si>
    <t>NS perso</t>
  </si>
  <si>
    <t>Carrière Perso</t>
  </si>
  <si>
    <t>1er Métier Perso</t>
  </si>
  <si>
    <t>2nd Métier</t>
  </si>
  <si>
    <t>3ième Métier</t>
  </si>
  <si>
    <t>Tics et manies</t>
  </si>
  <si>
    <t>Trait spécial 1</t>
  </si>
  <si>
    <t>Trait spécial 2</t>
  </si>
  <si>
    <t>Trait spécial 3</t>
  </si>
  <si>
    <t>Trait spécial 4</t>
  </si>
  <si>
    <t>Histoire 1</t>
  </si>
  <si>
    <t>Histoire 2</t>
  </si>
  <si>
    <t>Histoire 3</t>
  </si>
  <si>
    <t>TableSpe</t>
  </si>
  <si>
    <t>gpNatif</t>
  </si>
  <si>
    <t>dNatif</t>
  </si>
  <si>
    <t>Points de Const.</t>
  </si>
  <si>
    <t>Caracéristiques</t>
  </si>
  <si>
    <t>CPA TC</t>
  </si>
  <si>
    <t>CPA TG</t>
  </si>
  <si>
    <t xml:space="preserve">Richesse </t>
  </si>
  <si>
    <t>Monnaie</t>
  </si>
  <si>
    <t>Poiids</t>
  </si>
  <si>
    <t>Carrure</t>
  </si>
  <si>
    <t>dCarrure</t>
  </si>
  <si>
    <t>gpCarrure</t>
  </si>
  <si>
    <t>très fine</t>
  </si>
  <si>
    <t>fine</t>
  </si>
  <si>
    <t>large</t>
  </si>
  <si>
    <t>très large</t>
  </si>
  <si>
    <t>Vue</t>
  </si>
  <si>
    <t>Acrobate</t>
  </si>
  <si>
    <t>acrobatie</t>
  </si>
  <si>
    <t>esquive</t>
  </si>
  <si>
    <t>comédie</t>
  </si>
  <si>
    <t>maquillage</t>
  </si>
  <si>
    <t>Alchimiste</t>
  </si>
  <si>
    <t>alchimie</t>
  </si>
  <si>
    <t>forge</t>
  </si>
  <si>
    <t>Amuseur</t>
  </si>
  <si>
    <t xml:space="preserve">acrobatie </t>
  </si>
  <si>
    <t>chant</t>
  </si>
  <si>
    <t>jeu</t>
  </si>
  <si>
    <t>maquillage </t>
  </si>
  <si>
    <t>Apothicaire</t>
  </si>
  <si>
    <t>herboristerie</t>
  </si>
  <si>
    <t>Architecte</t>
  </si>
  <si>
    <t>gestion</t>
  </si>
  <si>
    <t>lecture</t>
  </si>
  <si>
    <t>création</t>
  </si>
  <si>
    <t>pièges</t>
  </si>
  <si>
    <t>Armateur</t>
  </si>
  <si>
    <t>const. navale</t>
  </si>
  <si>
    <t>marine</t>
  </si>
  <si>
    <t>charpente</t>
  </si>
  <si>
    <t>cartographie</t>
  </si>
  <si>
    <t>navigation</t>
  </si>
  <si>
    <t>armurerie</t>
  </si>
  <si>
    <t>couture</t>
  </si>
  <si>
    <t>mine</t>
  </si>
  <si>
    <t>cuir</t>
  </si>
  <si>
    <t>torture</t>
  </si>
  <si>
    <t>S ville</t>
  </si>
  <si>
    <t>équarrissage</t>
  </si>
  <si>
    <t>Artiste</t>
  </si>
  <si>
    <t>calligraphie</t>
  </si>
  <si>
    <t>Assassin</t>
  </si>
  <si>
    <t>criminalité</t>
  </si>
  <si>
    <t>traque</t>
  </si>
  <si>
    <t>Astrologue</t>
  </si>
  <si>
    <t>astrologie</t>
  </si>
  <si>
    <t>lang. Divin</t>
  </si>
  <si>
    <t>Aubergiste</t>
  </si>
  <si>
    <t>brasserie</t>
  </si>
  <si>
    <t>TC</t>
  </si>
  <si>
    <t>rhétorique</t>
  </si>
  <si>
    <t>mendicité</t>
  </si>
  <si>
    <t>Bailli</t>
  </si>
  <si>
    <t>convoyage</t>
  </si>
  <si>
    <t>diplomatie</t>
  </si>
  <si>
    <t>Banneret</t>
  </si>
  <si>
    <t xml:space="preserve">arme mêlée </t>
  </si>
  <si>
    <t>obéissance</t>
  </si>
  <si>
    <t>stratégie</t>
  </si>
  <si>
    <t>Barbier</t>
  </si>
  <si>
    <t>arme mêlée</t>
  </si>
  <si>
    <t>lecture lèvres</t>
  </si>
  <si>
    <t>Baron</t>
  </si>
  <si>
    <t>Bateleur</t>
  </si>
  <si>
    <t xml:space="preserve">charpente </t>
  </si>
  <si>
    <t>S cours d'eau</t>
  </si>
  <si>
    <t>Berger</t>
  </si>
  <si>
    <t>résilience</t>
  </si>
  <si>
    <t>cuisine</t>
  </si>
  <si>
    <t>résistance</t>
  </si>
  <si>
    <t>Bûcheron</t>
  </si>
  <si>
    <t>coupe</t>
  </si>
  <si>
    <t>S forêt</t>
  </si>
  <si>
    <t>Caravanier</t>
  </si>
  <si>
    <t>Carrier</t>
  </si>
  <si>
    <t>maçonnerie</t>
  </si>
  <si>
    <t>Cartographe</t>
  </si>
  <si>
    <t>S océan</t>
  </si>
  <si>
    <t>usure</t>
  </si>
  <si>
    <t>Chapelain</t>
  </si>
  <si>
    <t>Charpentier</t>
  </si>
  <si>
    <t>transport</t>
  </si>
  <si>
    <t>ébénisterie</t>
  </si>
  <si>
    <t>ingénierie</t>
  </si>
  <si>
    <t>Charretier</t>
  </si>
  <si>
    <t>piste</t>
  </si>
  <si>
    <t>arme distance</t>
  </si>
  <si>
    <t>lang. signes</t>
  </si>
  <si>
    <t>Chaudronnier</t>
  </si>
  <si>
    <t>joaillerie</t>
  </si>
  <si>
    <t>cavalerie</t>
  </si>
  <si>
    <t>combat à cheval</t>
  </si>
  <si>
    <t>Clerc</t>
  </si>
  <si>
    <t>héraldique</t>
  </si>
  <si>
    <t>Colporteur</t>
  </si>
  <si>
    <t>Comte</t>
  </si>
  <si>
    <t>Conseiller</t>
  </si>
  <si>
    <t>Cordonnier</t>
  </si>
  <si>
    <t>Courtisan</t>
  </si>
  <si>
    <t>sexe</t>
  </si>
  <si>
    <t>danse</t>
  </si>
  <si>
    <t>Cuisinier</t>
  </si>
  <si>
    <t>Danseur</t>
  </si>
  <si>
    <t>langage</t>
  </si>
  <si>
    <t>Diplomate</t>
  </si>
  <si>
    <t>Distilleur</t>
  </si>
  <si>
    <t>Drapier</t>
  </si>
  <si>
    <t>Ébéniste</t>
  </si>
  <si>
    <t>archerie</t>
  </si>
  <si>
    <t>cavalier</t>
  </si>
  <si>
    <t>dissimulation</t>
  </si>
  <si>
    <t>Écuyer</t>
  </si>
  <si>
    <t>Embaumeur</t>
  </si>
  <si>
    <t xml:space="preserve">Enlumineur </t>
  </si>
  <si>
    <t>Équarrisseur</t>
  </si>
  <si>
    <t>Ermite</t>
  </si>
  <si>
    <t>S colline</t>
  </si>
  <si>
    <t>S souterrain</t>
  </si>
  <si>
    <t>nage</t>
  </si>
  <si>
    <t>Espion</t>
  </si>
  <si>
    <t>TG</t>
  </si>
  <si>
    <t xml:space="preserve">Fabr. De tente </t>
  </si>
  <si>
    <t xml:space="preserve">Fauconnier </t>
  </si>
  <si>
    <t>S plaine</t>
  </si>
  <si>
    <t>Forestier</t>
  </si>
  <si>
    <t>Arme distance</t>
  </si>
  <si>
    <t>Fourreur</t>
  </si>
  <si>
    <t xml:space="preserve">élevage </t>
  </si>
  <si>
    <t xml:space="preserve">agriculture </t>
  </si>
  <si>
    <t>Geôlier</t>
  </si>
  <si>
    <t>Graveur</t>
  </si>
  <si>
    <t>Guérisseur</t>
  </si>
  <si>
    <t>Harpiste</t>
  </si>
  <si>
    <t>Héraut</t>
  </si>
  <si>
    <t>charge</t>
  </si>
  <si>
    <t>Ingénieur</t>
  </si>
  <si>
    <t>Inquisiteur</t>
  </si>
  <si>
    <t xml:space="preserve">Intendant </t>
  </si>
  <si>
    <t>Joaillier</t>
  </si>
  <si>
    <t>Jongleur</t>
  </si>
  <si>
    <t>Maçon</t>
  </si>
  <si>
    <t>art du combat</t>
  </si>
  <si>
    <t>Maraud</t>
  </si>
  <si>
    <t xml:space="preserve">Marchand </t>
  </si>
  <si>
    <t>S marais</t>
  </si>
  <si>
    <t>const. Navale</t>
  </si>
  <si>
    <t>Mathématicien</t>
  </si>
  <si>
    <t>Médecin</t>
  </si>
  <si>
    <t xml:space="preserve">mendicité </t>
  </si>
  <si>
    <t>Ménestrel</t>
  </si>
  <si>
    <t>Menuisier</t>
  </si>
  <si>
    <t>cbt cheval</t>
  </si>
  <si>
    <t>S montagne</t>
  </si>
  <si>
    <t>Mineur</t>
  </si>
  <si>
    <t>Musicien</t>
  </si>
  <si>
    <t>Notaire</t>
  </si>
  <si>
    <t>Orateur</t>
  </si>
  <si>
    <t>lang. Signes</t>
  </si>
  <si>
    <t>Ouvrier</t>
  </si>
  <si>
    <t>escalade</t>
  </si>
  <si>
    <t xml:space="preserve">Parfumeur </t>
  </si>
  <si>
    <t>Pilote</t>
  </si>
  <si>
    <t>Pisteur</t>
  </si>
  <si>
    <t>Plaideur</t>
  </si>
  <si>
    <t>Porcher</t>
  </si>
  <si>
    <t>Potier</t>
  </si>
  <si>
    <t>Prêcheur</t>
  </si>
  <si>
    <t>Prêtre</t>
  </si>
  <si>
    <t>Prévôt</t>
  </si>
  <si>
    <t>Professeur</t>
  </si>
  <si>
    <t>Prostitué</t>
  </si>
  <si>
    <t>Ramoneur</t>
  </si>
  <si>
    <t>piège</t>
  </si>
  <si>
    <t>Rebouteux</t>
  </si>
  <si>
    <t>Rentier</t>
  </si>
  <si>
    <t>Scientifique</t>
  </si>
  <si>
    <t>Scribe</t>
  </si>
  <si>
    <t xml:space="preserve">Sellier </t>
  </si>
  <si>
    <t>Sergent</t>
  </si>
  <si>
    <t>Serrurier</t>
  </si>
  <si>
    <t>Soigneur animaux</t>
  </si>
  <si>
    <t>Tailleur</t>
  </si>
  <si>
    <t>Tanneur</t>
  </si>
  <si>
    <t>Tavernier</t>
  </si>
  <si>
    <t>Teinturier</t>
  </si>
  <si>
    <t>Tisserand</t>
  </si>
  <si>
    <t>Tuilier</t>
  </si>
  <si>
    <t>Tuteur</t>
  </si>
  <si>
    <t>Usurier</t>
  </si>
  <si>
    <t>Vigneron</t>
  </si>
  <si>
    <t>gpMetiers</t>
  </si>
  <si>
    <t>gpCPAMetiers</t>
  </si>
  <si>
    <t xml:space="preserve">3ième Métier </t>
  </si>
  <si>
    <t xml:space="preserve">2nd Métier </t>
  </si>
  <si>
    <t>gpTal1</t>
  </si>
  <si>
    <t>gpN1</t>
  </si>
  <si>
    <t>gpN2</t>
  </si>
  <si>
    <t>gpN3</t>
  </si>
  <si>
    <t>gpN4</t>
  </si>
  <si>
    <t>gpN5</t>
  </si>
  <si>
    <t>gpTal2</t>
  </si>
  <si>
    <t>gpTal3</t>
  </si>
  <si>
    <t>gpTal4</t>
  </si>
  <si>
    <t>gpTal5</t>
  </si>
  <si>
    <t>gpTal6</t>
  </si>
  <si>
    <t>TG inclus</t>
  </si>
  <si>
    <t>TG reçus</t>
  </si>
  <si>
    <t>langue même race</t>
  </si>
  <si>
    <t>urbain</t>
  </si>
  <si>
    <t>rural</t>
  </si>
  <si>
    <t xml:space="preserve">S(ville) </t>
  </si>
  <si>
    <t>S(terrain)</t>
  </si>
  <si>
    <t>culture générale</t>
  </si>
  <si>
    <t>2 TG à N3</t>
  </si>
  <si>
    <t>2 TG à N1</t>
  </si>
  <si>
    <t>2 TG à N2</t>
  </si>
  <si>
    <t>n2</t>
  </si>
  <si>
    <t>n3</t>
  </si>
  <si>
    <t>n1</t>
  </si>
  <si>
    <r>
      <t>CPA(</t>
    </r>
    <r>
      <rPr>
        <i/>
        <sz val="9"/>
        <color theme="1"/>
        <rFont val="Calibri"/>
        <family val="2"/>
        <scheme val="minor"/>
      </rPr>
      <t>Torture</t>
    </r>
    <r>
      <rPr>
        <sz val="9"/>
        <color theme="1"/>
        <rFont val="Calibri"/>
        <family val="2"/>
        <scheme val="minor"/>
      </rPr>
      <t>)x2</t>
    </r>
  </si>
  <si>
    <r>
      <t xml:space="preserve">Ville, N1 </t>
    </r>
    <r>
      <rPr>
        <i/>
        <sz val="9"/>
        <rFont val="Calibri"/>
        <family val="2"/>
        <scheme val="minor"/>
      </rPr>
      <t xml:space="preserve">S(ville)  </t>
    </r>
  </si>
  <si>
    <r>
      <t xml:space="preserve">Forêt, N1 </t>
    </r>
    <r>
      <rPr>
        <i/>
        <sz val="9"/>
        <rFont val="Calibri"/>
        <family val="2"/>
        <scheme val="minor"/>
      </rPr>
      <t>S(Forêt)</t>
    </r>
  </si>
  <si>
    <r>
      <t>Cœur,</t>
    </r>
    <r>
      <rPr>
        <vertAlign val="superscript"/>
        <sz val="9"/>
        <rFont val="Calibri"/>
        <family val="2"/>
        <scheme val="minor"/>
      </rPr>
      <t xml:space="preserve"> </t>
    </r>
    <r>
      <rPr>
        <sz val="9"/>
        <rFont val="Calibri"/>
        <family val="2"/>
        <scheme val="minor"/>
      </rPr>
      <t>BM+3</t>
    </r>
  </si>
  <si>
    <r>
      <t>Rejeté</t>
    </r>
    <r>
      <rPr>
        <sz val="9"/>
        <rFont val="Calibri"/>
        <family val="2"/>
        <scheme val="minor"/>
      </rPr>
      <t> : ignoré / attaqué par les membres du clan / de la famille(d3) : NS-5 BM-5 Foi-2</t>
    </r>
  </si>
  <si>
    <r>
      <t>Albinos</t>
    </r>
    <r>
      <rPr>
        <sz val="9"/>
        <rFont val="Calibri"/>
        <family val="2"/>
        <scheme val="minor"/>
      </rPr>
      <t> : problème lié à l’exposition au soleil (Vue/2, nat Ap/3, peau très pâle, cheveux blancs)</t>
    </r>
  </si>
  <si>
    <r>
      <t>Acrophobie</t>
    </r>
    <r>
      <rPr>
        <sz val="9"/>
        <rFont val="Calibri"/>
        <family val="2"/>
        <scheme val="minor"/>
      </rPr>
      <t xml:space="preserve"> – peur des hauteurs : V, </t>
    </r>
    <r>
      <rPr>
        <i/>
        <sz val="9"/>
        <rFont val="Calibri"/>
        <family val="2"/>
        <scheme val="minor"/>
      </rPr>
      <t>Escalade</t>
    </r>
    <r>
      <rPr>
        <sz val="9"/>
        <rFont val="Calibri"/>
        <family val="2"/>
        <scheme val="minor"/>
      </rPr>
      <t xml:space="preserve">, </t>
    </r>
    <r>
      <rPr>
        <i/>
        <sz val="9"/>
        <rFont val="Calibri"/>
        <family val="2"/>
        <scheme val="minor"/>
      </rPr>
      <t>S(montagne), Acrobatie</t>
    </r>
  </si>
  <si>
    <r>
      <t xml:space="preserve">adore/déteste voyager (d2) : CPA </t>
    </r>
    <r>
      <rPr>
        <i/>
        <sz val="9"/>
        <rFont val="Calibri"/>
        <family val="2"/>
        <scheme val="minor"/>
      </rPr>
      <t>Survie</t>
    </r>
    <r>
      <rPr>
        <sz val="9"/>
        <rFont val="Calibri"/>
        <family val="2"/>
        <scheme val="minor"/>
      </rPr>
      <t xml:space="preserve"> x2 ou /2</t>
    </r>
  </si>
  <si>
    <r>
      <t xml:space="preserve">Quelques gemmes : 1d6 gemmes précieuses, voir </t>
    </r>
    <r>
      <rPr>
        <i/>
        <sz val="9"/>
        <rFont val="Calibri"/>
        <family val="2"/>
        <scheme val="minor"/>
      </rPr>
      <t>Livre Trésor</t>
    </r>
  </si>
  <si>
    <r>
      <t>D100 (</t>
    </r>
    <r>
      <rPr>
        <i/>
        <sz val="9"/>
        <color theme="1"/>
        <rFont val="Calibri"/>
        <family val="2"/>
        <scheme val="minor"/>
      </rPr>
      <t>voir 1.3.12 Marque de peau</t>
    </r>
    <r>
      <rPr>
        <sz val="9"/>
        <color theme="1"/>
        <rFont val="Calibri"/>
        <family val="2"/>
        <scheme val="minor"/>
      </rPr>
      <t>), nat C–1</t>
    </r>
  </si>
  <si>
    <r>
      <t xml:space="preserve">Bourg, N1 </t>
    </r>
    <r>
      <rPr>
        <i/>
        <sz val="9"/>
        <rFont val="Calibri"/>
        <family val="2"/>
        <scheme val="minor"/>
      </rPr>
      <t>S(ville)</t>
    </r>
  </si>
  <si>
    <r>
      <t xml:space="preserve">Plaine, N1 </t>
    </r>
    <r>
      <rPr>
        <i/>
        <sz val="9"/>
        <rFont val="Calibri"/>
        <family val="2"/>
        <scheme val="minor"/>
      </rPr>
      <t>S(Plaine)</t>
    </r>
  </si>
  <si>
    <r>
      <t>Cœur,</t>
    </r>
    <r>
      <rPr>
        <vertAlign val="superscript"/>
        <sz val="9"/>
        <rFont val="Calibri"/>
        <family val="2"/>
        <scheme val="minor"/>
      </rPr>
      <t xml:space="preserve"> </t>
    </r>
    <r>
      <rPr>
        <sz val="9"/>
        <rFont val="Calibri"/>
        <family val="2"/>
        <scheme val="minor"/>
      </rPr>
      <t>BM+4</t>
    </r>
    <r>
      <rPr>
        <sz val="11"/>
        <color theme="1"/>
        <rFont val="Calibri"/>
        <family val="2"/>
        <scheme val="minor"/>
      </rPr>
      <t/>
    </r>
  </si>
  <si>
    <r>
      <t>Impopulaire</t>
    </r>
    <r>
      <rPr>
        <sz val="9"/>
        <rFont val="Calibri"/>
        <family val="2"/>
        <scheme val="minor"/>
      </rPr>
      <t> : ignoré du chef clan/famille, autre membre famille contact normal, aucune faveur et encouragé à partir : NS-2 BM-3</t>
    </r>
  </si>
  <si>
    <r>
      <t>Alcoolique</t>
    </r>
    <r>
      <rPr>
        <sz val="9"/>
        <rFont val="Calibri"/>
        <family val="2"/>
        <scheme val="minor"/>
      </rPr>
      <t> +intensité : test quotidien, si échec alors doit boire une dose d’alcool</t>
    </r>
  </si>
  <si>
    <r>
      <t>Agoraphobie</t>
    </r>
    <r>
      <rPr>
        <sz val="9"/>
        <rFont val="Calibri"/>
        <family val="2"/>
        <scheme val="minor"/>
      </rPr>
      <t xml:space="preserve"> – peur des grands espaces : V, </t>
    </r>
    <r>
      <rPr>
        <i/>
        <sz val="9"/>
        <rFont val="Calibri"/>
        <family val="2"/>
        <scheme val="minor"/>
      </rPr>
      <t>Convoyage, Naviguation, Marine</t>
    </r>
    <r>
      <rPr>
        <sz val="9"/>
        <rFont val="Calibri"/>
        <family val="2"/>
        <scheme val="minor"/>
      </rPr>
      <t xml:space="preserve">, </t>
    </r>
    <r>
      <rPr>
        <i/>
        <sz val="9"/>
        <rFont val="Calibri"/>
        <family val="2"/>
        <scheme val="minor"/>
      </rPr>
      <t>S(steppe, plaine, océan)</t>
    </r>
  </si>
  <si>
    <r>
      <t xml:space="preserve">Équilibre magique : bonus +20 pour </t>
    </r>
    <r>
      <rPr>
        <i/>
        <sz val="9"/>
        <rFont val="Calibri"/>
        <family val="2"/>
        <scheme val="minor"/>
      </rPr>
      <t>Embuscade</t>
    </r>
    <r>
      <rPr>
        <sz val="9"/>
        <rFont val="Calibri"/>
        <family val="2"/>
        <scheme val="minor"/>
      </rPr>
      <t xml:space="preserve">, </t>
    </r>
    <r>
      <rPr>
        <i/>
        <sz val="9"/>
        <rFont val="Calibri"/>
        <family val="2"/>
        <scheme val="minor"/>
      </rPr>
      <t xml:space="preserve">Acrobatie </t>
    </r>
    <r>
      <rPr>
        <sz val="9"/>
        <rFont val="Calibri"/>
        <family val="2"/>
        <scheme val="minor"/>
      </rPr>
      <t xml:space="preserve">et  </t>
    </r>
    <r>
      <rPr>
        <i/>
        <sz val="9"/>
        <rFont val="Calibri"/>
        <family val="2"/>
        <scheme val="minor"/>
      </rPr>
      <t xml:space="preserve">Art du combat, </t>
    </r>
    <r>
      <rPr>
        <sz val="9"/>
        <rFont val="Calibri"/>
        <family val="2"/>
        <scheme val="minor"/>
      </rPr>
      <t>défaut = oreille interne faussée donc sourd en nageant et sous la pluie avec malus général 20 , max A(equ)-2</t>
    </r>
  </si>
  <si>
    <r>
      <t xml:space="preserve">Gemmes : 1D10 gemmes précieuses, voir </t>
    </r>
    <r>
      <rPr>
        <i/>
        <sz val="9"/>
        <rFont val="Calibri"/>
        <family val="2"/>
        <scheme val="minor"/>
      </rPr>
      <t>Livre Trésor</t>
    </r>
  </si>
  <si>
    <r>
      <t xml:space="preserve">ambidextre : test D(Coo) pour avoir un deuxième coup gratuit en combat, comme </t>
    </r>
    <r>
      <rPr>
        <i/>
        <sz val="9"/>
        <rFont val="Calibri"/>
        <family val="2"/>
        <scheme val="minor"/>
      </rPr>
      <t>Art du Combat</t>
    </r>
  </si>
  <si>
    <r>
      <t>D100 (</t>
    </r>
    <r>
      <rPr>
        <i/>
        <sz val="9"/>
        <color theme="1"/>
        <rFont val="Calibri"/>
        <family val="2"/>
        <scheme val="minor"/>
      </rPr>
      <t>voir 1.3.12 Marque de peau</t>
    </r>
    <r>
      <rPr>
        <sz val="9"/>
        <color theme="1"/>
        <rFont val="Calibri"/>
        <family val="2"/>
        <scheme val="minor"/>
      </rPr>
      <t>), nat C-3</t>
    </r>
  </si>
  <si>
    <r>
      <t>CPA(</t>
    </r>
    <r>
      <rPr>
        <i/>
        <sz val="9"/>
        <color theme="1"/>
        <rFont val="Calibri"/>
        <family val="2"/>
        <scheme val="minor"/>
      </rPr>
      <t>Médecine</t>
    </r>
    <r>
      <rPr>
        <sz val="9"/>
        <color theme="1"/>
        <rFont val="Calibri"/>
        <family val="2"/>
        <scheme val="minor"/>
      </rPr>
      <t>)x2</t>
    </r>
  </si>
  <si>
    <r>
      <t xml:space="preserve">Village, N1 </t>
    </r>
    <r>
      <rPr>
        <i/>
        <sz val="9"/>
        <rFont val="Calibri"/>
        <family val="2"/>
        <scheme val="minor"/>
      </rPr>
      <t>S(plaine)</t>
    </r>
  </si>
  <si>
    <r>
      <t xml:space="preserve">Colline, N1 </t>
    </r>
    <r>
      <rPr>
        <i/>
        <sz val="9"/>
        <rFont val="Calibri"/>
        <family val="2"/>
        <scheme val="minor"/>
      </rPr>
      <t>S(Colline)</t>
    </r>
  </si>
  <si>
    <r>
      <t>Cœur,</t>
    </r>
    <r>
      <rPr>
        <vertAlign val="superscript"/>
        <sz val="9"/>
        <rFont val="Calibri"/>
        <family val="2"/>
        <scheme val="minor"/>
      </rPr>
      <t xml:space="preserve"> </t>
    </r>
    <r>
      <rPr>
        <sz val="9"/>
        <rFont val="Calibri"/>
        <family val="2"/>
        <scheme val="minor"/>
      </rPr>
      <t>BM+5</t>
    </r>
    <r>
      <rPr>
        <sz val="11"/>
        <color theme="1"/>
        <rFont val="Calibri"/>
        <family val="2"/>
        <scheme val="minor"/>
      </rPr>
      <t/>
    </r>
  </si>
  <si>
    <r>
      <t>Normal</t>
    </r>
    <r>
      <rPr>
        <sz val="9"/>
        <rFont val="Calibri"/>
        <family val="2"/>
        <scheme val="minor"/>
      </rPr>
      <t> : intégration habituelle au sein du clan / de la famille. NS+1 et BM+1.</t>
    </r>
  </si>
  <si>
    <r>
      <t>Allergie</t>
    </r>
    <r>
      <rPr>
        <sz val="9"/>
        <rFont val="Calibri"/>
        <family val="2"/>
        <scheme val="minor"/>
      </rPr>
      <t> +intensité: test au contact, MdJ détermine le type d’allergie (à quoi ?) et effets</t>
    </r>
  </si>
  <si>
    <r>
      <t>Ailourophobie</t>
    </r>
    <r>
      <rPr>
        <sz val="9"/>
        <rFont val="Calibri"/>
        <family val="2"/>
        <scheme val="minor"/>
      </rPr>
      <t xml:space="preserve"> – peur des félins : Em, </t>
    </r>
    <r>
      <rPr>
        <i/>
        <sz val="9"/>
        <rFont val="Calibri"/>
        <family val="2"/>
        <scheme val="minor"/>
      </rPr>
      <t>Elevage, S(ville)</t>
    </r>
    <r>
      <rPr>
        <sz val="9"/>
        <rFont val="Calibri"/>
        <family val="2"/>
        <scheme val="minor"/>
      </rPr>
      <t xml:space="preserve">, </t>
    </r>
    <r>
      <rPr>
        <i/>
        <sz val="9"/>
        <rFont val="Calibri"/>
        <family val="2"/>
        <scheme val="minor"/>
      </rPr>
      <t>équarrissage</t>
    </r>
  </si>
  <si>
    <r>
      <t>D100 (</t>
    </r>
    <r>
      <rPr>
        <i/>
        <sz val="9"/>
        <color theme="1"/>
        <rFont val="Calibri"/>
        <family val="2"/>
        <scheme val="minor"/>
      </rPr>
      <t>voir 1.3.12 Marque de peau</t>
    </r>
    <r>
      <rPr>
        <sz val="9"/>
        <color theme="1"/>
        <rFont val="Calibri"/>
        <family val="2"/>
        <scheme val="minor"/>
      </rPr>
      <t>), nat C-1</t>
    </r>
  </si>
  <si>
    <r>
      <t xml:space="preserve">Hameau, N1 </t>
    </r>
    <r>
      <rPr>
        <i/>
        <sz val="9"/>
        <rFont val="Calibri"/>
        <family val="2"/>
        <scheme val="minor"/>
      </rPr>
      <t>Cueillette</t>
    </r>
  </si>
  <si>
    <r>
      <t xml:space="preserve">Montagne, N1 </t>
    </r>
    <r>
      <rPr>
        <i/>
        <sz val="9"/>
        <rFont val="Calibri"/>
        <family val="2"/>
        <scheme val="minor"/>
      </rPr>
      <t>S(Montagne)</t>
    </r>
  </si>
  <si>
    <r>
      <t>Cœur,</t>
    </r>
    <r>
      <rPr>
        <vertAlign val="superscript"/>
        <sz val="9"/>
        <rFont val="Calibri"/>
        <family val="2"/>
        <scheme val="minor"/>
      </rPr>
      <t xml:space="preserve"> </t>
    </r>
    <r>
      <rPr>
        <sz val="9"/>
        <rFont val="Calibri"/>
        <family val="2"/>
        <scheme val="minor"/>
      </rPr>
      <t>BM+6</t>
    </r>
    <r>
      <rPr>
        <sz val="11"/>
        <color theme="1"/>
        <rFont val="Calibri"/>
        <family val="2"/>
        <scheme val="minor"/>
      </rPr>
      <t/>
    </r>
  </si>
  <si>
    <r>
      <t>Populaire</t>
    </r>
    <r>
      <rPr>
        <sz val="9"/>
        <rFont val="Calibri"/>
        <family val="2"/>
        <scheme val="minor"/>
      </rPr>
      <t> : bonne relation avec majorité des gens, faveurs &amp; privilèges possibles : NS+3 BM+3</t>
    </r>
  </si>
  <si>
    <r>
      <t>Ambidextre</t>
    </r>
    <r>
      <rPr>
        <sz val="9"/>
        <rFont val="Calibri"/>
        <family val="2"/>
        <scheme val="minor"/>
      </rPr>
      <t xml:space="preserve"> : nat D+5, </t>
    </r>
    <r>
      <rPr>
        <i/>
        <sz val="9"/>
        <rFont val="Calibri"/>
        <family val="2"/>
        <scheme val="minor"/>
      </rPr>
      <t>Combat à 2 armes</t>
    </r>
    <r>
      <rPr>
        <sz val="9"/>
        <rFont val="Calibri"/>
        <family val="2"/>
        <scheme val="minor"/>
      </rPr>
      <t xml:space="preserve">(N2), </t>
    </r>
    <r>
      <rPr>
        <i/>
        <sz val="9"/>
        <rFont val="Calibri"/>
        <family val="2"/>
        <scheme val="minor"/>
      </rPr>
      <t>Vitesse</t>
    </r>
    <r>
      <rPr>
        <sz val="9"/>
        <rFont val="Calibri"/>
        <family val="2"/>
        <scheme val="minor"/>
      </rPr>
      <t>(N1), VO+5, VD+5</t>
    </r>
  </si>
  <si>
    <r>
      <t>Aphasie</t>
    </r>
    <r>
      <rPr>
        <sz val="9"/>
        <rFont val="Calibri"/>
        <family val="2"/>
        <scheme val="minor"/>
      </rPr>
      <t xml:space="preserve"> – problèmes de langage : E, </t>
    </r>
    <r>
      <rPr>
        <i/>
        <sz val="9"/>
        <rFont val="Calibri"/>
        <family val="2"/>
        <scheme val="minor"/>
      </rPr>
      <t>Langue (toutes), Chant, Rhétorique, Baratin</t>
    </r>
  </si>
  <si>
    <r>
      <t xml:space="preserve">connaissance : une langue NE+10 et </t>
    </r>
    <r>
      <rPr>
        <i/>
        <sz val="9"/>
        <rFont val="Calibri"/>
        <family val="2"/>
        <scheme val="minor"/>
      </rPr>
      <t xml:space="preserve">Lecture </t>
    </r>
    <r>
      <rPr>
        <sz val="9"/>
        <rFont val="Calibri"/>
        <family val="2"/>
        <scheme val="minor"/>
      </rPr>
      <t>gratuit à N3, au choix du J</t>
    </r>
  </si>
  <si>
    <r>
      <t>D100 (</t>
    </r>
    <r>
      <rPr>
        <i/>
        <sz val="9"/>
        <color theme="1"/>
        <rFont val="Calibri"/>
        <family val="2"/>
        <scheme val="minor"/>
      </rPr>
      <t>voir 1.3.12 Marque de peau</t>
    </r>
    <r>
      <rPr>
        <sz val="9"/>
        <color theme="1"/>
        <rFont val="Calibri"/>
        <family val="2"/>
        <scheme val="minor"/>
      </rPr>
      <t>), nat C-2</t>
    </r>
  </si>
  <si>
    <r>
      <t>CPA(</t>
    </r>
    <r>
      <rPr>
        <i/>
        <sz val="9"/>
        <color theme="1"/>
        <rFont val="Calibri"/>
        <family val="2"/>
        <scheme val="minor"/>
      </rPr>
      <t>Magie</t>
    </r>
    <r>
      <rPr>
        <sz val="9"/>
        <color theme="1"/>
        <rFont val="Calibri"/>
        <family val="2"/>
        <scheme val="minor"/>
      </rPr>
      <t>)x2</t>
    </r>
  </si>
  <si>
    <r>
      <t>Cil</t>
    </r>
    <r>
      <rPr>
        <vertAlign val="superscript"/>
        <sz val="9"/>
        <color theme="1"/>
        <rFont val="Calibri"/>
        <family val="2"/>
        <scheme val="minor"/>
      </rPr>
      <t>1</t>
    </r>
  </si>
  <si>
    <r>
      <t xml:space="preserve">Tour, CPA </t>
    </r>
    <r>
      <rPr>
        <i/>
        <sz val="9"/>
        <rFont val="Calibri"/>
        <family val="2"/>
        <scheme val="minor"/>
      </rPr>
      <t>Piéton</t>
    </r>
    <r>
      <rPr>
        <sz val="9"/>
        <rFont val="Calibri"/>
        <family val="2"/>
        <scheme val="minor"/>
      </rPr>
      <t>/2</t>
    </r>
  </si>
  <si>
    <r>
      <t xml:space="preserve">Marais/Souterrain, N1 </t>
    </r>
    <r>
      <rPr>
        <i/>
        <sz val="9"/>
        <rFont val="Calibri"/>
        <family val="2"/>
        <scheme val="minor"/>
      </rPr>
      <t>S(Mar/Sout)</t>
    </r>
  </si>
  <si>
    <r>
      <t>Favori</t>
    </r>
    <r>
      <rPr>
        <sz val="9"/>
        <rFont val="Calibri"/>
        <family val="2"/>
        <scheme val="minor"/>
      </rPr>
      <t> : l’élu du clan / de la famille, promis à un avenir, jalousie possible : NS+5 BM+5 Foi+2</t>
    </r>
  </si>
  <si>
    <r>
      <t>Marque</t>
    </r>
    <r>
      <rPr>
        <sz val="9"/>
        <rFont val="Calibri"/>
        <family val="2"/>
        <scheme val="minor"/>
      </rPr>
      <t xml:space="preserve"> de naissance +intensité: localiser selon </t>
    </r>
    <r>
      <rPr>
        <i/>
        <sz val="9"/>
        <rFont val="Calibri"/>
        <family val="2"/>
        <scheme val="minor"/>
      </rPr>
      <t xml:space="preserve">1.3.12 Marque de peau, </t>
    </r>
    <r>
      <rPr>
        <sz val="9"/>
        <rFont val="Calibri"/>
        <family val="2"/>
        <scheme val="minor"/>
      </rPr>
      <t>effets doublés</t>
    </r>
  </si>
  <si>
    <r>
      <t>Algoraphobie</t>
    </r>
    <r>
      <rPr>
        <sz val="9"/>
        <rFont val="Calibri"/>
        <family val="2"/>
        <scheme val="minor"/>
      </rPr>
      <t xml:space="preserve"> – peur de la douleur : C &amp; V, </t>
    </r>
    <r>
      <rPr>
        <i/>
        <sz val="9"/>
        <rFont val="Calibri"/>
        <family val="2"/>
        <scheme val="minor"/>
      </rPr>
      <t>Résistance, Résilience, Torture</t>
    </r>
  </si>
  <si>
    <r>
      <t xml:space="preserve">art martial : bonus +20 à </t>
    </r>
    <r>
      <rPr>
        <i/>
        <sz val="9"/>
        <rFont val="Calibri"/>
        <family val="2"/>
        <scheme val="minor"/>
      </rPr>
      <t>Mêlée &amp;</t>
    </r>
    <r>
      <rPr>
        <sz val="9"/>
        <rFont val="Calibri"/>
        <family val="2"/>
        <scheme val="minor"/>
      </rPr>
      <t xml:space="preserve"> </t>
    </r>
    <r>
      <rPr>
        <i/>
        <sz val="9"/>
        <rFont val="Calibri"/>
        <family val="2"/>
        <scheme val="minor"/>
      </rPr>
      <t>Esquive</t>
    </r>
    <r>
      <rPr>
        <sz val="9"/>
        <rFont val="Calibri"/>
        <family val="2"/>
        <scheme val="minor"/>
      </rPr>
      <t xml:space="preserve"> </t>
    </r>
  </si>
  <si>
    <r>
      <t>D100 (</t>
    </r>
    <r>
      <rPr>
        <i/>
        <sz val="9"/>
        <color theme="1"/>
        <rFont val="Calibri"/>
        <family val="2"/>
        <scheme val="minor"/>
      </rPr>
      <t>voir 1.3.12 Marque de peau</t>
    </r>
    <r>
      <rPr>
        <sz val="9"/>
        <color theme="1"/>
        <rFont val="Calibri"/>
        <family val="2"/>
        <scheme val="minor"/>
      </rPr>
      <t>), nat C–4</t>
    </r>
  </si>
  <si>
    <r>
      <t xml:space="preserve">Manoir, CPA </t>
    </r>
    <r>
      <rPr>
        <i/>
        <sz val="9"/>
        <rFont val="Calibri"/>
        <family val="2"/>
        <scheme val="minor"/>
      </rPr>
      <t>Commerce</t>
    </r>
    <r>
      <rPr>
        <sz val="9"/>
        <rFont val="Calibri"/>
        <family val="2"/>
        <scheme val="minor"/>
      </rPr>
      <t>/2</t>
    </r>
  </si>
  <si>
    <r>
      <t xml:space="preserve">Cours d’eau / Côte, N1 </t>
    </r>
    <r>
      <rPr>
        <i/>
        <sz val="9"/>
        <rFont val="Calibri"/>
        <family val="2"/>
        <scheme val="minor"/>
      </rPr>
      <t>S(Cours d’ eau)</t>
    </r>
  </si>
  <si>
    <r>
      <t>Daltonisme</t>
    </r>
    <r>
      <rPr>
        <sz val="9"/>
        <rFont val="Calibri"/>
        <family val="2"/>
        <scheme val="minor"/>
      </rPr>
      <t> +intensité: Vue-5 par niveau, NE(Art graphique)/2, pas de test</t>
    </r>
  </si>
  <si>
    <r>
      <t>Arachnophobie</t>
    </r>
    <r>
      <rPr>
        <sz val="9"/>
        <rFont val="Calibri"/>
        <family val="2"/>
        <scheme val="minor"/>
      </rPr>
      <t xml:space="preserve"> – peur des araignées : C, </t>
    </r>
    <r>
      <rPr>
        <i/>
        <sz val="9"/>
        <rFont val="Calibri"/>
        <family val="2"/>
        <scheme val="minor"/>
      </rPr>
      <t>Survie, Criminalité, Poison</t>
    </r>
  </si>
  <si>
    <r>
      <t xml:space="preserve">assassin né : bonus +25 à l’embuscade, </t>
    </r>
    <r>
      <rPr>
        <i/>
        <sz val="9"/>
        <rFont val="Calibri"/>
        <family val="2"/>
        <scheme val="minor"/>
      </rPr>
      <t xml:space="preserve">Traque </t>
    </r>
    <r>
      <rPr>
        <sz val="9"/>
        <rFont val="Calibri"/>
        <family val="2"/>
        <scheme val="minor"/>
      </rPr>
      <t xml:space="preserve">et </t>
    </r>
    <r>
      <rPr>
        <i/>
        <sz val="9"/>
        <rFont val="Calibri"/>
        <family val="2"/>
        <scheme val="minor"/>
      </rPr>
      <t xml:space="preserve">Dissimulation, </t>
    </r>
    <r>
      <rPr>
        <sz val="9"/>
        <rFont val="Calibri"/>
        <family val="2"/>
        <scheme val="minor"/>
      </rPr>
      <t xml:space="preserve">CPA </t>
    </r>
    <r>
      <rPr>
        <i/>
        <sz val="9"/>
        <rFont val="Calibri"/>
        <family val="2"/>
        <scheme val="minor"/>
      </rPr>
      <t>Assassinat</t>
    </r>
    <r>
      <rPr>
        <sz val="9"/>
        <rFont val="Calibri"/>
        <family val="2"/>
        <scheme val="minor"/>
      </rPr>
      <t>/2</t>
    </r>
  </si>
  <si>
    <r>
      <t xml:space="preserve">Individualiste : adore la liberté/garde son honneur/ment si nécessaire (d3) : </t>
    </r>
    <r>
      <rPr>
        <i/>
        <sz val="9"/>
        <rFont val="Calibri"/>
        <family val="2"/>
        <scheme val="minor"/>
      </rPr>
      <t>Intrigue</t>
    </r>
    <r>
      <rPr>
        <sz val="9"/>
        <rFont val="Calibri"/>
        <family val="2"/>
        <scheme val="minor"/>
      </rPr>
      <t xml:space="preserve"> +5</t>
    </r>
  </si>
  <si>
    <r>
      <t xml:space="preserve">nature: famille très proche des animaux en général : CPA </t>
    </r>
    <r>
      <rPr>
        <i/>
        <sz val="9"/>
        <rFont val="Calibri"/>
        <family val="2"/>
        <scheme val="minor"/>
      </rPr>
      <t>Survie</t>
    </r>
    <r>
      <rPr>
        <sz val="9"/>
        <rFont val="Calibri"/>
        <family val="2"/>
        <scheme val="minor"/>
      </rPr>
      <t xml:space="preserve">, </t>
    </r>
    <r>
      <rPr>
        <i/>
        <sz val="9"/>
        <rFont val="Calibri"/>
        <family val="2"/>
        <scheme val="minor"/>
      </rPr>
      <t>Elevage, Equarrissage</t>
    </r>
    <r>
      <rPr>
        <sz val="9"/>
        <rFont val="Calibri"/>
        <family val="2"/>
        <scheme val="minor"/>
      </rPr>
      <t>/2,  Foi-20</t>
    </r>
  </si>
  <si>
    <r>
      <t xml:space="preserve">Défensif : aucun malus dû aux Armures/Boucliers (d2) et </t>
    </r>
    <r>
      <rPr>
        <i/>
        <sz val="9"/>
        <rFont val="Calibri"/>
        <family val="2"/>
        <scheme val="minor"/>
      </rPr>
      <t>Défense</t>
    </r>
    <r>
      <rPr>
        <sz val="9"/>
        <rFont val="Calibri"/>
        <family val="2"/>
        <scheme val="minor"/>
      </rPr>
      <t>+1d6x5</t>
    </r>
  </si>
  <si>
    <r>
      <t>D100 (</t>
    </r>
    <r>
      <rPr>
        <i/>
        <sz val="9"/>
        <color theme="1"/>
        <rFont val="Calibri"/>
        <family val="2"/>
        <scheme val="minor"/>
      </rPr>
      <t>voir 1.3.12 Marque de peau</t>
    </r>
    <r>
      <rPr>
        <sz val="9"/>
        <color theme="1"/>
        <rFont val="Calibri"/>
        <family val="2"/>
        <scheme val="minor"/>
      </rPr>
      <t>), nat C–3</t>
    </r>
  </si>
  <si>
    <r>
      <t>CPA(</t>
    </r>
    <r>
      <rPr>
        <i/>
        <sz val="9"/>
        <color theme="1"/>
        <rFont val="Calibri"/>
        <family val="2"/>
        <scheme val="minor"/>
      </rPr>
      <t>Baratin</t>
    </r>
    <r>
      <rPr>
        <sz val="9"/>
        <color theme="1"/>
        <rFont val="Calibri"/>
        <family val="2"/>
        <scheme val="minor"/>
      </rPr>
      <t>)x2</t>
    </r>
  </si>
  <si>
    <r>
      <t>Cou</t>
    </r>
    <r>
      <rPr>
        <vertAlign val="superscript"/>
        <sz val="9"/>
        <color theme="1"/>
        <rFont val="Calibri"/>
        <family val="2"/>
        <scheme val="minor"/>
      </rPr>
      <t>1</t>
    </r>
  </si>
  <si>
    <r>
      <t>Dangereuse, CPA(</t>
    </r>
    <r>
      <rPr>
        <i/>
        <sz val="9"/>
        <rFont val="Calibri"/>
        <family val="2"/>
        <scheme val="minor"/>
      </rPr>
      <t>Survie</t>
    </r>
    <r>
      <rPr>
        <sz val="9"/>
        <rFont val="Calibri"/>
        <family val="2"/>
        <scheme val="minor"/>
      </rPr>
      <t>)-20%</t>
    </r>
  </si>
  <si>
    <r>
      <t xml:space="preserve">Château, CPA </t>
    </r>
    <r>
      <rPr>
        <i/>
        <sz val="9"/>
        <rFont val="Calibri"/>
        <family val="2"/>
        <scheme val="minor"/>
      </rPr>
      <t>Intrigue</t>
    </r>
    <r>
      <rPr>
        <sz val="9"/>
        <rFont val="Calibri"/>
        <family val="2"/>
        <scheme val="minor"/>
      </rPr>
      <t>/2</t>
    </r>
  </si>
  <si>
    <r>
      <t xml:space="preserve">Mer /  Île, N1 </t>
    </r>
    <r>
      <rPr>
        <i/>
        <sz val="9"/>
        <rFont val="Calibri"/>
        <family val="2"/>
        <scheme val="minor"/>
      </rPr>
      <t>S(Océan)</t>
    </r>
  </si>
  <si>
    <r>
      <t>Difformité</t>
    </r>
    <r>
      <rPr>
        <sz val="9"/>
        <rFont val="Calibri"/>
        <family val="2"/>
        <scheme val="minor"/>
      </rPr>
      <t xml:space="preserve"> +intensité: malformation de </t>
    </r>
    <r>
      <rPr>
        <i/>
        <sz val="9"/>
        <rFont val="Calibri"/>
        <family val="2"/>
        <scheme val="minor"/>
      </rPr>
      <t xml:space="preserve">1.3.3 Naissance </t>
    </r>
    <r>
      <rPr>
        <sz val="9"/>
        <rFont val="Calibri"/>
        <family val="2"/>
        <scheme val="minor"/>
      </rPr>
      <t>nat C-2 par niveau intensité, pas de test</t>
    </r>
  </si>
  <si>
    <r>
      <t>Autophobie</t>
    </r>
    <r>
      <rPr>
        <sz val="9"/>
        <rFont val="Calibri"/>
        <family val="2"/>
        <scheme val="minor"/>
      </rPr>
      <t xml:space="preserve"> – peur de la solitude : I, </t>
    </r>
    <r>
      <rPr>
        <i/>
        <sz val="9"/>
        <rFont val="Calibri"/>
        <family val="2"/>
        <scheme val="minor"/>
      </rPr>
      <t xml:space="preserve">Survie, Assassinat, Vol, </t>
    </r>
    <r>
      <rPr>
        <b/>
        <sz val="9"/>
        <rFont val="Calibri"/>
        <family val="2"/>
        <scheme val="minor"/>
      </rPr>
      <t>bonus</t>
    </r>
    <r>
      <rPr>
        <i/>
        <sz val="9"/>
        <rFont val="Calibri"/>
        <family val="2"/>
        <scheme val="minor"/>
      </rPr>
      <t xml:space="preserve"> </t>
    </r>
    <r>
      <rPr>
        <sz val="9"/>
        <rFont val="Calibri"/>
        <family val="2"/>
        <scheme val="minor"/>
      </rPr>
      <t>Foi</t>
    </r>
  </si>
  <si>
    <r>
      <t xml:space="preserve">raciale: famille ayant des liens avec une race non-humaine : CPA </t>
    </r>
    <r>
      <rPr>
        <i/>
        <sz val="9"/>
        <rFont val="Calibri"/>
        <family val="2"/>
        <scheme val="minor"/>
      </rPr>
      <t>Langue non-humaine</t>
    </r>
    <r>
      <rPr>
        <sz val="9"/>
        <rFont val="Calibri"/>
        <family val="2"/>
        <scheme val="minor"/>
      </rPr>
      <t>/2, max Em+10</t>
    </r>
  </si>
  <si>
    <r>
      <t>Souplesse</t>
    </r>
    <r>
      <rPr>
        <sz val="9"/>
        <rFont val="Calibri"/>
        <family val="2"/>
        <scheme val="minor"/>
      </rPr>
      <t xml:space="preserve"> exceptionnelle : articulations extraordinairement souples, nat A+2d6</t>
    </r>
  </si>
  <si>
    <r>
      <t>Boulimie</t>
    </r>
    <r>
      <rPr>
        <sz val="9"/>
        <rFont val="Calibri"/>
        <family val="2"/>
        <scheme val="minor"/>
      </rPr>
      <t xml:space="preserve"> – besoin de nutrition excessive : C, poids+Modx10%, PdN consommé+Mod</t>
    </r>
  </si>
  <si>
    <r>
      <t>Magie</t>
    </r>
    <r>
      <rPr>
        <sz val="9"/>
        <rFont val="Calibri"/>
        <family val="2"/>
        <scheme val="minor"/>
      </rPr>
      <t xml:space="preserve"> 1xTG</t>
    </r>
  </si>
  <si>
    <r>
      <t>lycanthrope : choix d’un animal commun par MdJ, un changement par nuit sur V(Res)x1, volontairement ou au 1</t>
    </r>
    <r>
      <rPr>
        <vertAlign val="superscript"/>
        <sz val="9"/>
        <rFont val="Calibri"/>
        <family val="2"/>
        <scheme val="minor"/>
      </rPr>
      <t>er</t>
    </r>
    <r>
      <rPr>
        <sz val="9"/>
        <rFont val="Calibri"/>
        <family val="2"/>
        <scheme val="minor"/>
      </rPr>
      <t xml:space="preserve"> choc émotionnel, max V(car)+5 &amp; V(res)+10</t>
    </r>
  </si>
  <si>
    <r>
      <t xml:space="preserve">aventurier : test A(Sou) pour avoir une +20 à une </t>
    </r>
    <r>
      <rPr>
        <i/>
        <sz val="9"/>
        <rFont val="Calibri"/>
        <family val="2"/>
        <scheme val="minor"/>
      </rPr>
      <t xml:space="preserve">Survie </t>
    </r>
    <r>
      <rPr>
        <sz val="9"/>
        <rFont val="Calibri"/>
        <family val="2"/>
        <scheme val="minor"/>
      </rPr>
      <t>pour 4 heures</t>
    </r>
  </si>
  <si>
    <r>
      <t>CPA(</t>
    </r>
    <r>
      <rPr>
        <i/>
        <sz val="9"/>
        <color theme="1"/>
        <rFont val="Calibri"/>
        <family val="2"/>
        <scheme val="minor"/>
      </rPr>
      <t>Équarrissage</t>
    </r>
    <r>
      <rPr>
        <sz val="9"/>
        <color theme="1"/>
        <rFont val="Calibri"/>
        <family val="2"/>
        <scheme val="minor"/>
      </rPr>
      <t>)x2</t>
    </r>
  </si>
  <si>
    <r>
      <t xml:space="preserve">Urbain / Ville, N1 </t>
    </r>
    <r>
      <rPr>
        <i/>
        <sz val="9"/>
        <rFont val="Calibri"/>
        <family val="2"/>
        <scheme val="minor"/>
      </rPr>
      <t>S(Ville</t>
    </r>
  </si>
  <si>
    <r>
      <t>Drogué</t>
    </r>
    <r>
      <rPr>
        <sz val="9"/>
        <rFont val="Calibri"/>
        <family val="2"/>
        <scheme val="minor"/>
      </rPr>
      <t xml:space="preserve"> +intensité: test quotidien, MdJ définit quel type de drogue, max V-4/niveau </t>
    </r>
  </si>
  <si>
    <r>
      <t>Claustrophobie</t>
    </r>
    <r>
      <rPr>
        <sz val="9"/>
        <rFont val="Calibri"/>
        <family val="2"/>
        <scheme val="minor"/>
      </rPr>
      <t xml:space="preserve"> – peur du confinement, des petits espaces : V, S</t>
    </r>
    <r>
      <rPr>
        <i/>
        <sz val="9"/>
        <rFont val="Calibri"/>
        <family val="2"/>
        <scheme val="minor"/>
      </rPr>
      <t>(caverne, souterrain)</t>
    </r>
    <r>
      <rPr>
        <sz val="9"/>
        <rFont val="Calibri"/>
        <family val="2"/>
        <scheme val="minor"/>
      </rPr>
      <t xml:space="preserve">, </t>
    </r>
    <r>
      <rPr>
        <i/>
        <sz val="9"/>
        <rFont val="Calibri"/>
        <family val="2"/>
        <scheme val="minor"/>
      </rPr>
      <t>Mine</t>
    </r>
  </si>
  <si>
    <r>
      <t xml:space="preserve">cartographe : test I(Rai) pour réussir automatiquement le prochain </t>
    </r>
    <r>
      <rPr>
        <i/>
        <sz val="9"/>
        <rFont val="Calibri"/>
        <family val="2"/>
        <scheme val="minor"/>
      </rPr>
      <t>Art Graphique</t>
    </r>
  </si>
  <si>
    <r>
      <t xml:space="preserve">1D10 x 500m, </t>
    </r>
    <r>
      <rPr>
        <i/>
        <sz val="9"/>
        <rFont val="Calibri"/>
        <family val="2"/>
        <scheme val="minor"/>
      </rPr>
      <t>Nage</t>
    </r>
    <r>
      <rPr>
        <sz val="9"/>
        <rFont val="Calibri"/>
        <family val="2"/>
        <scheme val="minor"/>
      </rPr>
      <t xml:space="preserve"> ou </t>
    </r>
    <r>
      <rPr>
        <i/>
        <sz val="9"/>
        <rFont val="Calibri"/>
        <family val="2"/>
        <scheme val="minor"/>
      </rPr>
      <t>Escalade +</t>
    </r>
    <r>
      <rPr>
        <sz val="9"/>
        <rFont val="Calibri"/>
        <family val="2"/>
        <scheme val="minor"/>
      </rPr>
      <t>N1</t>
    </r>
  </si>
  <si>
    <r>
      <t>Épileptique</t>
    </r>
    <r>
      <rPr>
        <sz val="9"/>
        <rFont val="Calibri"/>
        <family val="2"/>
        <scheme val="minor"/>
      </rPr>
      <t> +intensité: test selon stress rencontré, max C-4/niveau</t>
    </r>
  </si>
  <si>
    <r>
      <t>Cynophobie</t>
    </r>
    <r>
      <rPr>
        <sz val="9"/>
        <rFont val="Calibri"/>
        <family val="2"/>
        <scheme val="minor"/>
      </rPr>
      <t xml:space="preserve"> – peur de la race canine : Em, </t>
    </r>
    <r>
      <rPr>
        <i/>
        <sz val="9"/>
        <rFont val="Calibri"/>
        <family val="2"/>
        <scheme val="minor"/>
      </rPr>
      <t>S(ville), Eleveur</t>
    </r>
    <r>
      <rPr>
        <sz val="9"/>
        <rFont val="Calibri"/>
        <family val="2"/>
        <scheme val="minor"/>
      </rPr>
      <t xml:space="preserve">, </t>
    </r>
    <r>
      <rPr>
        <i/>
        <sz val="9"/>
        <rFont val="Calibri"/>
        <family val="2"/>
        <scheme val="minor"/>
      </rPr>
      <t>Chasse</t>
    </r>
  </si>
  <si>
    <r>
      <t xml:space="preserve">Cruel  </t>
    </r>
    <r>
      <rPr>
        <i/>
        <sz val="9"/>
        <rFont val="Calibri"/>
        <family val="2"/>
        <scheme val="minor"/>
      </rPr>
      <t>Résistance</t>
    </r>
    <r>
      <rPr>
        <sz val="9"/>
        <rFont val="Calibri"/>
        <family val="2"/>
        <scheme val="minor"/>
      </rPr>
      <t>+20/Ap-4</t>
    </r>
  </si>
  <si>
    <r>
      <t xml:space="preserve">trop brave/peureux (d2) : </t>
    </r>
    <r>
      <rPr>
        <i/>
        <sz val="9"/>
        <rFont val="Calibri"/>
        <family val="2"/>
        <scheme val="minor"/>
      </rPr>
      <t>Attaque</t>
    </r>
    <r>
      <rPr>
        <sz val="9"/>
        <rFont val="Calibri"/>
        <family val="2"/>
        <scheme val="minor"/>
      </rPr>
      <t>+10/-10</t>
    </r>
  </si>
  <si>
    <r>
      <t xml:space="preserve">Intouchable : </t>
    </r>
    <r>
      <rPr>
        <i/>
        <sz val="9"/>
        <rFont val="Calibri"/>
        <family val="2"/>
        <scheme val="minor"/>
      </rPr>
      <t>Esquive</t>
    </r>
    <r>
      <rPr>
        <sz val="9"/>
        <rFont val="Calibri"/>
        <family val="2"/>
        <scheme val="minor"/>
      </rPr>
      <t xml:space="preserve"> +1d6x5</t>
    </r>
  </si>
  <si>
    <r>
      <t>Hémophilie</t>
    </r>
    <r>
      <rPr>
        <sz val="9"/>
        <rFont val="Calibri"/>
        <family val="2"/>
        <scheme val="minor"/>
      </rPr>
      <t> : chaque blessure de sang est doublée, CS/2</t>
    </r>
  </si>
  <si>
    <r>
      <t>Demophobie</t>
    </r>
    <r>
      <rPr>
        <sz val="9"/>
        <rFont val="Calibri"/>
        <family val="2"/>
        <scheme val="minor"/>
      </rPr>
      <t xml:space="preserve"> – peur de la foule : C, </t>
    </r>
    <r>
      <rPr>
        <i/>
        <sz val="9"/>
        <rFont val="Calibri"/>
        <family val="2"/>
        <scheme val="minor"/>
      </rPr>
      <t>S(ville)</t>
    </r>
    <r>
      <rPr>
        <sz val="9"/>
        <rFont val="Calibri"/>
        <family val="2"/>
        <scheme val="minor"/>
      </rPr>
      <t xml:space="preserve">, </t>
    </r>
    <r>
      <rPr>
        <i/>
        <sz val="9"/>
        <rFont val="Calibri"/>
        <family val="2"/>
        <scheme val="minor"/>
      </rPr>
      <t>Gestion</t>
    </r>
    <r>
      <rPr>
        <sz val="9"/>
        <rFont val="Calibri"/>
        <family val="2"/>
        <scheme val="minor"/>
      </rPr>
      <t xml:space="preserve">, </t>
    </r>
    <r>
      <rPr>
        <i/>
        <sz val="9"/>
        <rFont val="Calibri"/>
        <family val="2"/>
        <scheme val="minor"/>
      </rPr>
      <t>Comédie</t>
    </r>
    <r>
      <rPr>
        <sz val="9"/>
        <rFont val="Calibri"/>
        <family val="2"/>
        <scheme val="minor"/>
      </rPr>
      <t xml:space="preserve">, </t>
    </r>
    <r>
      <rPr>
        <i/>
        <sz val="9"/>
        <rFont val="Calibri"/>
        <family val="2"/>
        <scheme val="minor"/>
      </rPr>
      <t>Danse</t>
    </r>
    <r>
      <rPr>
        <sz val="9"/>
        <rFont val="Calibri"/>
        <family val="2"/>
        <scheme val="minor"/>
      </rPr>
      <t>, Foi</t>
    </r>
  </si>
  <si>
    <t xml:space="preserve"> Paranoïaque  V-3/VD+3</t>
  </si>
  <si>
    <r>
      <t xml:space="preserve">daltonien : Vue-10, malus 10 à </t>
    </r>
    <r>
      <rPr>
        <i/>
        <sz val="9"/>
        <rFont val="Calibri"/>
        <family val="2"/>
        <scheme val="minor"/>
      </rPr>
      <t>Art Graphique</t>
    </r>
  </si>
  <si>
    <r>
      <t xml:space="preserve">odorat puissant : Odorat+20 et +10 </t>
    </r>
    <r>
      <rPr>
        <i/>
        <sz val="9"/>
        <rFont val="Calibri"/>
        <family val="2"/>
        <scheme val="minor"/>
      </rPr>
      <t>Cuisine</t>
    </r>
    <r>
      <rPr>
        <sz val="9"/>
        <rFont val="Calibri"/>
        <family val="2"/>
        <scheme val="minor"/>
      </rPr>
      <t xml:space="preserve">, </t>
    </r>
    <r>
      <rPr>
        <i/>
        <sz val="9"/>
        <rFont val="Calibri"/>
        <family val="2"/>
        <scheme val="minor"/>
      </rPr>
      <t>Herboristerie</t>
    </r>
    <r>
      <rPr>
        <sz val="9"/>
        <rFont val="Calibri"/>
        <family val="2"/>
        <scheme val="minor"/>
      </rPr>
      <t xml:space="preserve">, </t>
    </r>
    <r>
      <rPr>
        <i/>
        <sz val="9"/>
        <rFont val="Calibri"/>
        <family val="2"/>
        <scheme val="minor"/>
      </rPr>
      <t>Piste, Traque, Brasserie</t>
    </r>
    <r>
      <rPr>
        <sz val="9"/>
        <rFont val="Calibri"/>
        <family val="2"/>
        <scheme val="minor"/>
      </rPr>
      <t>, défaut = pertes de sang à plus de 500m d’altitude avec un malus général -5 et perte 1 EN par heure, max I(mem)+2</t>
    </r>
  </si>
  <si>
    <r>
      <t>CPA(</t>
    </r>
    <r>
      <rPr>
        <i/>
        <sz val="9"/>
        <color theme="1"/>
        <rFont val="Calibri"/>
        <family val="2"/>
        <scheme val="minor"/>
      </rPr>
      <t>Piéton</t>
    </r>
    <r>
      <rPr>
        <sz val="9"/>
        <color theme="1"/>
        <rFont val="Calibri"/>
        <family val="2"/>
        <scheme val="minor"/>
      </rPr>
      <t>)x2</t>
    </r>
  </si>
  <si>
    <r>
      <t>Gaucher</t>
    </r>
    <r>
      <rPr>
        <sz val="9"/>
        <rFont val="Calibri"/>
        <family val="2"/>
        <scheme val="minor"/>
      </rPr>
      <t> : VO+4 et VD-4, NS-3</t>
    </r>
  </si>
  <si>
    <r>
      <t>Dyslexie</t>
    </r>
    <r>
      <rPr>
        <sz val="9"/>
        <rFont val="Calibri"/>
        <family val="2"/>
        <scheme val="minor"/>
      </rPr>
      <t xml:space="preserve"> – difficulté d’expression : E, </t>
    </r>
    <r>
      <rPr>
        <i/>
        <sz val="9"/>
        <rFont val="Calibri"/>
        <family val="2"/>
        <scheme val="minor"/>
      </rPr>
      <t>Rhétorique, Baratin, Commerce, Intrigue, Langue</t>
    </r>
  </si>
  <si>
    <r>
      <t>Lycanthropie</t>
    </r>
    <r>
      <rPr>
        <sz val="9"/>
        <rFont val="Calibri"/>
        <family val="2"/>
        <scheme val="minor"/>
      </rPr>
      <t> +intensité: MdJ définit la créature cible, les circonstances, la durée, les effets</t>
    </r>
  </si>
  <si>
    <r>
      <t>Equiphobie</t>
    </r>
    <r>
      <rPr>
        <sz val="9"/>
        <rFont val="Calibri"/>
        <family val="2"/>
        <scheme val="minor"/>
      </rPr>
      <t xml:space="preserve"> – peur des chevaux : En, </t>
    </r>
    <r>
      <rPr>
        <i/>
        <sz val="9"/>
        <rFont val="Calibri"/>
        <family val="2"/>
        <scheme val="minor"/>
      </rPr>
      <t>Cavalerie, Combat à cheval, Charge, Elevage</t>
    </r>
  </si>
  <si>
    <r>
      <t xml:space="preserve">Autoritaire  </t>
    </r>
    <r>
      <rPr>
        <i/>
        <sz val="9"/>
        <rFont val="Calibri"/>
        <family val="2"/>
        <scheme val="minor"/>
      </rPr>
      <t>Obéissance</t>
    </r>
    <r>
      <rPr>
        <sz val="9"/>
        <rFont val="Calibri"/>
        <family val="2"/>
        <scheme val="minor"/>
      </rPr>
      <t>+10/CI-10</t>
    </r>
  </si>
  <si>
    <r>
      <t>Patrimoine : 1d6 petits joyaux à déterminer (</t>
    </r>
    <r>
      <rPr>
        <i/>
        <sz val="9"/>
        <rFont val="Calibri"/>
        <family val="2"/>
        <scheme val="minor"/>
      </rPr>
      <t>Livre Trésor</t>
    </r>
    <r>
      <rPr>
        <sz val="9"/>
        <rFont val="Calibri"/>
        <family val="2"/>
        <scheme val="minor"/>
      </rPr>
      <t>).</t>
    </r>
  </si>
  <si>
    <r>
      <t xml:space="preserve">perception cubique : +25 dans </t>
    </r>
    <r>
      <rPr>
        <i/>
        <sz val="9"/>
        <rFont val="Calibri"/>
        <family val="2"/>
        <scheme val="minor"/>
      </rPr>
      <t>Pièges</t>
    </r>
    <r>
      <rPr>
        <sz val="9"/>
        <rFont val="Calibri"/>
        <family val="2"/>
        <scheme val="minor"/>
      </rPr>
      <t xml:space="preserve">, </t>
    </r>
    <r>
      <rPr>
        <i/>
        <sz val="9"/>
        <rFont val="Calibri"/>
        <family val="2"/>
        <scheme val="minor"/>
      </rPr>
      <t>Architecture</t>
    </r>
    <r>
      <rPr>
        <sz val="9"/>
        <rFont val="Calibri"/>
        <family val="2"/>
        <scheme val="minor"/>
      </rPr>
      <t xml:space="preserve">, </t>
    </r>
    <r>
      <rPr>
        <i/>
        <sz val="9"/>
        <rFont val="Calibri"/>
        <family val="2"/>
        <scheme val="minor"/>
      </rPr>
      <t>Ingénierie</t>
    </r>
    <r>
      <rPr>
        <sz val="9"/>
        <rFont val="Calibri"/>
        <family val="2"/>
        <scheme val="minor"/>
      </rPr>
      <t xml:space="preserve"> et </t>
    </r>
    <r>
      <rPr>
        <i/>
        <sz val="9"/>
        <rFont val="Calibri"/>
        <family val="2"/>
        <scheme val="minor"/>
      </rPr>
      <t>Maçonnerie</t>
    </r>
    <r>
      <rPr>
        <sz val="9"/>
        <rFont val="Calibri"/>
        <family val="2"/>
        <scheme val="minor"/>
      </rPr>
      <t>, défaut = incapable de tenir debout sur une jambe, max A(equ)-2</t>
    </r>
  </si>
  <si>
    <r>
      <t xml:space="preserve">Martial : NE toujours max à </t>
    </r>
    <r>
      <rPr>
        <i/>
        <sz val="9"/>
        <rFont val="Calibri"/>
        <family val="2"/>
        <scheme val="minor"/>
      </rPr>
      <t>Art du Combat</t>
    </r>
    <r>
      <rPr>
        <sz val="9"/>
        <rFont val="Calibri"/>
        <family val="2"/>
        <scheme val="minor"/>
      </rPr>
      <t>/</t>
    </r>
    <r>
      <rPr>
        <i/>
        <sz val="9"/>
        <rFont val="Calibri"/>
        <family val="2"/>
        <scheme val="minor"/>
      </rPr>
      <t>Combat à Cheval</t>
    </r>
    <r>
      <rPr>
        <sz val="9"/>
        <rFont val="Calibri"/>
        <family val="2"/>
        <scheme val="minor"/>
      </rPr>
      <t>/</t>
    </r>
    <r>
      <rPr>
        <i/>
        <sz val="9"/>
        <rFont val="Calibri"/>
        <family val="2"/>
        <scheme val="minor"/>
      </rPr>
      <t xml:space="preserve">Mêlée </t>
    </r>
    <r>
      <rPr>
        <sz val="9"/>
        <rFont val="Calibri"/>
        <family val="2"/>
        <scheme val="minor"/>
      </rPr>
      <t xml:space="preserve">(d3) </t>
    </r>
  </si>
  <si>
    <r>
      <t xml:space="preserve">Magique : n’est pas influencé par les restrictions sur les alignements (voir </t>
    </r>
    <r>
      <rPr>
        <i/>
        <sz val="9"/>
        <rFont val="Calibri"/>
        <family val="2"/>
        <scheme val="minor"/>
      </rPr>
      <t>Livre Magie</t>
    </r>
    <r>
      <rPr>
        <sz val="9"/>
        <rFont val="Calibri"/>
        <family val="2"/>
        <scheme val="minor"/>
      </rPr>
      <t>)</t>
    </r>
  </si>
  <si>
    <r>
      <t>CPA(</t>
    </r>
    <r>
      <rPr>
        <i/>
        <sz val="9"/>
        <color theme="1"/>
        <rFont val="Calibri"/>
        <family val="2"/>
        <scheme val="minor"/>
      </rPr>
      <t>Escalade</t>
    </r>
    <r>
      <rPr>
        <sz val="9"/>
        <color theme="1"/>
        <rFont val="Calibri"/>
        <family val="2"/>
        <scheme val="minor"/>
      </rPr>
      <t>)x2</t>
    </r>
  </si>
  <si>
    <r>
      <t>Parasite</t>
    </r>
    <r>
      <rPr>
        <sz val="9"/>
        <rFont val="Calibri"/>
        <family val="2"/>
        <scheme val="minor"/>
      </rPr>
      <t> +intensité: déterminer la localisation et effets sur le corps, max E-2 et I-2/niveau</t>
    </r>
  </si>
  <si>
    <r>
      <t>Florophobie</t>
    </r>
    <r>
      <rPr>
        <sz val="9"/>
        <rFont val="Calibri"/>
        <family val="2"/>
        <scheme val="minor"/>
      </rPr>
      <t xml:space="preserve"> – peur des plantes : V &amp; C, </t>
    </r>
    <r>
      <rPr>
        <i/>
        <sz val="9"/>
        <rFont val="Calibri"/>
        <family val="2"/>
        <scheme val="minor"/>
      </rPr>
      <t>Herboristerie, Cuisine</t>
    </r>
    <r>
      <rPr>
        <sz val="9"/>
        <rFont val="Calibri"/>
        <family val="2"/>
        <scheme val="minor"/>
      </rPr>
      <t xml:space="preserve">, </t>
    </r>
    <r>
      <rPr>
        <i/>
        <sz val="9"/>
        <rFont val="Calibri"/>
        <family val="2"/>
        <scheme val="minor"/>
      </rPr>
      <t>Cueillette, Agriculture</t>
    </r>
  </si>
  <si>
    <r>
      <t>Patrimoine important : 1d3 joyaux moyens à déterminer (</t>
    </r>
    <r>
      <rPr>
        <i/>
        <sz val="9"/>
        <rFont val="Calibri"/>
        <family val="2"/>
        <scheme val="minor"/>
      </rPr>
      <t>Livre Trésor</t>
    </r>
    <r>
      <rPr>
        <sz val="9"/>
        <rFont val="Calibri"/>
        <family val="2"/>
        <scheme val="minor"/>
      </rPr>
      <t>).</t>
    </r>
  </si>
  <si>
    <r>
      <t>Obésité</t>
    </r>
    <r>
      <rPr>
        <sz val="9"/>
        <rFont val="Calibri"/>
        <family val="2"/>
        <scheme val="minor"/>
      </rPr>
      <t> : poids augmenté de 1D10* x 20%, nat A-5, nat D-2, nat En-3, nat F+2</t>
    </r>
  </si>
  <si>
    <r>
      <t>Genophobie</t>
    </r>
    <r>
      <rPr>
        <sz val="9"/>
        <rFont val="Calibri"/>
        <family val="2"/>
        <scheme val="minor"/>
      </rPr>
      <t xml:space="preserve"> – peur de ce qui est lié au sexe :  Ap, </t>
    </r>
    <r>
      <rPr>
        <i/>
        <sz val="9"/>
        <rFont val="Calibri"/>
        <family val="2"/>
        <scheme val="minor"/>
      </rPr>
      <t>Sexe, Intrigue, Médecine</t>
    </r>
  </si>
  <si>
    <r>
      <t>Patrimoine rare: 1 gros joyau à déterminer (</t>
    </r>
    <r>
      <rPr>
        <i/>
        <sz val="9"/>
        <rFont val="Calibri"/>
        <family val="2"/>
        <scheme val="minor"/>
      </rPr>
      <t>Livre Trésor</t>
    </r>
    <r>
      <rPr>
        <sz val="9"/>
        <rFont val="Calibri"/>
        <family val="2"/>
        <scheme val="minor"/>
      </rPr>
      <t>).</t>
    </r>
  </si>
  <si>
    <r>
      <t xml:space="preserve">réflexe magique : VO et VD+5 et </t>
    </r>
    <r>
      <rPr>
        <i/>
        <sz val="9"/>
        <rFont val="Calibri"/>
        <family val="2"/>
        <scheme val="minor"/>
      </rPr>
      <t>Vitesse</t>
    </r>
    <r>
      <rPr>
        <sz val="9"/>
        <rFont val="Calibri"/>
        <family val="2"/>
        <scheme val="minor"/>
      </rPr>
      <t>+20, défaut = si touché par d’un tir alors 10% de subir une crise d’épilepsie pendant 1D10 phases, max E(rap)-2</t>
    </r>
  </si>
  <si>
    <r>
      <t>CPA(</t>
    </r>
    <r>
      <rPr>
        <i/>
        <sz val="9"/>
        <color theme="1"/>
        <rFont val="Calibri"/>
        <family val="2"/>
        <scheme val="minor"/>
      </rPr>
      <t>Marine</t>
    </r>
    <r>
      <rPr>
        <sz val="9"/>
        <color theme="1"/>
        <rFont val="Calibri"/>
        <family val="2"/>
        <scheme val="minor"/>
      </rPr>
      <t>)x2</t>
    </r>
  </si>
  <si>
    <r>
      <t>Taches</t>
    </r>
    <r>
      <rPr>
        <sz val="9"/>
        <rFont val="Calibri"/>
        <family val="2"/>
        <scheme val="minor"/>
      </rPr>
      <t xml:space="preserve"> </t>
    </r>
    <r>
      <rPr>
        <b/>
        <sz val="9"/>
        <rFont val="Calibri"/>
        <family val="2"/>
        <scheme val="minor"/>
      </rPr>
      <t>de naissance</t>
    </r>
    <r>
      <rPr>
        <sz val="9"/>
        <rFont val="Calibri"/>
        <family val="2"/>
        <scheme val="minor"/>
      </rPr>
      <t xml:space="preserve"> : 1D10 taches </t>
    </r>
    <r>
      <rPr>
        <i/>
        <sz val="9"/>
        <rFont val="Calibri"/>
        <family val="2"/>
        <scheme val="minor"/>
      </rPr>
      <t>1.3.12 Marque de peau</t>
    </r>
    <r>
      <rPr>
        <sz val="9"/>
        <rFont val="Calibri"/>
        <family val="2"/>
        <scheme val="minor"/>
      </rPr>
      <t>, nat Ap–1 par tache</t>
    </r>
  </si>
  <si>
    <r>
      <t>Culpabilité</t>
    </r>
    <r>
      <rPr>
        <sz val="9"/>
        <rFont val="Calibri"/>
        <family val="2"/>
        <scheme val="minor"/>
      </rPr>
      <t xml:space="preserve"> – sentiment personnel (MdJ) : V, E </t>
    </r>
    <r>
      <rPr>
        <b/>
        <sz val="9"/>
        <rFont val="Calibri"/>
        <family val="2"/>
        <scheme val="minor"/>
      </rPr>
      <t>bonus</t>
    </r>
    <r>
      <rPr>
        <sz val="9"/>
        <rFont val="Calibri"/>
        <family val="2"/>
        <scheme val="minor"/>
      </rPr>
      <t xml:space="preserve"> </t>
    </r>
    <r>
      <rPr>
        <i/>
        <sz val="9"/>
        <rFont val="Calibri"/>
        <family val="2"/>
        <scheme val="minor"/>
      </rPr>
      <t>Assassinat, Torture, Vol, Criminalité</t>
    </r>
  </si>
  <si>
    <r>
      <t xml:space="preserve">Mission spéciale (à définir avec le </t>
    </r>
    <r>
      <rPr>
        <i/>
        <sz val="9"/>
        <rFont val="Calibri"/>
        <family val="2"/>
        <scheme val="minor"/>
      </rPr>
      <t>Livre Campagne</t>
    </r>
    <r>
      <rPr>
        <sz val="9"/>
        <rFont val="Calibri"/>
        <family val="2"/>
        <scheme val="minor"/>
      </rPr>
      <t>). D10* : 1=recherche d’un bien …2=recherche d’une personne…3= recherche d’un lieu…4=recherche multiple.</t>
    </r>
  </si>
  <si>
    <r>
      <t xml:space="preserve">Evénement spécial : un jet supplémentaire sur au </t>
    </r>
    <r>
      <rPr>
        <i/>
        <sz val="9"/>
        <rFont val="Calibri"/>
        <family val="2"/>
        <scheme val="minor"/>
      </rPr>
      <t>1.3.40 Tables diverses.</t>
    </r>
  </si>
  <si>
    <r>
      <t xml:space="preserve">détente extrême : bonus +25 à </t>
    </r>
    <r>
      <rPr>
        <i/>
        <sz val="9"/>
        <rFont val="Calibri"/>
        <family val="2"/>
        <scheme val="minor"/>
      </rPr>
      <t>Acrobatie</t>
    </r>
    <r>
      <rPr>
        <sz val="9"/>
        <rFont val="Calibri"/>
        <family val="2"/>
        <scheme val="minor"/>
      </rPr>
      <t xml:space="preserve">, </t>
    </r>
    <r>
      <rPr>
        <i/>
        <sz val="9"/>
        <rFont val="Calibri"/>
        <family val="2"/>
        <scheme val="minor"/>
      </rPr>
      <t>Escalade</t>
    </r>
    <r>
      <rPr>
        <sz val="9"/>
        <rFont val="Calibri"/>
        <family val="2"/>
        <scheme val="minor"/>
      </rPr>
      <t xml:space="preserve"> et </t>
    </r>
    <r>
      <rPr>
        <i/>
        <sz val="9"/>
        <rFont val="Calibri"/>
        <family val="2"/>
        <scheme val="minor"/>
      </rPr>
      <t>Nage</t>
    </r>
  </si>
  <si>
    <r>
      <t>Maladie</t>
    </r>
    <r>
      <rPr>
        <sz val="9"/>
        <rFont val="Calibri"/>
        <family val="2"/>
        <scheme val="minor"/>
      </rPr>
      <t xml:space="preserve"> </t>
    </r>
    <r>
      <rPr>
        <b/>
        <sz val="9"/>
        <rFont val="Calibri"/>
        <family val="2"/>
        <scheme val="minor"/>
      </rPr>
      <t>héréditaire</t>
    </r>
    <r>
      <rPr>
        <sz val="9"/>
        <rFont val="Calibri"/>
        <family val="2"/>
        <scheme val="minor"/>
      </rPr>
      <t xml:space="preserve"> +intensité: le MdJ définit le type de maladie et ses effets, nat C-1/niveau </t>
    </r>
  </si>
  <si>
    <r>
      <t>Hémophobie</t>
    </r>
    <r>
      <rPr>
        <sz val="9"/>
        <rFont val="Calibri"/>
        <family val="2"/>
        <scheme val="minor"/>
      </rPr>
      <t xml:space="preserve"> – peur du sang : V, Moral, </t>
    </r>
    <r>
      <rPr>
        <i/>
        <sz val="9"/>
        <rFont val="Calibri"/>
        <family val="2"/>
        <scheme val="minor"/>
      </rPr>
      <t>Talent d’Arme</t>
    </r>
  </si>
  <si>
    <r>
      <t>Couard  M-3/</t>
    </r>
    <r>
      <rPr>
        <i/>
        <sz val="9"/>
        <rFont val="Calibri"/>
        <family val="2"/>
        <scheme val="minor"/>
      </rPr>
      <t>Fuite</t>
    </r>
    <r>
      <rPr>
        <sz val="9"/>
        <rFont val="Calibri"/>
        <family val="2"/>
        <scheme val="minor"/>
      </rPr>
      <t>+10</t>
    </r>
  </si>
  <si>
    <r>
      <t xml:space="preserve">PNJ spécial à déterminer par le </t>
    </r>
    <r>
      <rPr>
        <i/>
        <sz val="9"/>
        <rFont val="Calibri"/>
        <family val="2"/>
        <scheme val="minor"/>
      </rPr>
      <t>Livre Campagne</t>
    </r>
    <r>
      <rPr>
        <sz val="9"/>
        <rFont val="Calibri"/>
        <family val="2"/>
        <scheme val="minor"/>
      </rPr>
      <t xml:space="preserve"> ainsi que la mission qui les réuni. D10* : 1=ami inséparable …2=partie d’un groupe soudé…3=ennemi très puissant…4=groupe ou Guilde ennemie.</t>
    </r>
  </si>
  <si>
    <r>
      <t>Patrimoine unique : 1D10 joyaux à déterminer (</t>
    </r>
    <r>
      <rPr>
        <i/>
        <sz val="9"/>
        <rFont val="Calibri"/>
        <family val="2"/>
        <scheme val="minor"/>
      </rPr>
      <t>Livre Trésor</t>
    </r>
    <r>
      <rPr>
        <sz val="9"/>
        <rFont val="Calibri"/>
        <family val="2"/>
        <scheme val="minor"/>
      </rPr>
      <t>).</t>
    </r>
  </si>
  <si>
    <r>
      <t>CPA(</t>
    </r>
    <r>
      <rPr>
        <i/>
        <sz val="9"/>
        <color theme="1"/>
        <rFont val="Calibri"/>
        <family val="2"/>
        <scheme val="minor"/>
      </rPr>
      <t>Alchimie</t>
    </r>
    <r>
      <rPr>
        <sz val="9"/>
        <color theme="1"/>
        <rFont val="Calibri"/>
        <family val="2"/>
        <scheme val="minor"/>
      </rPr>
      <t>)x2</t>
    </r>
  </si>
  <si>
    <r>
      <t>Cicatrice</t>
    </r>
    <r>
      <rPr>
        <sz val="9"/>
        <rFont val="Calibri"/>
        <family val="2"/>
        <scheme val="minor"/>
      </rPr>
      <t>(s) : 1d6 cicatrices sur zone du corps (voir Livre 2), max Ap-1 par cicatrice</t>
    </r>
  </si>
  <si>
    <r>
      <t>Héliophobie</t>
    </r>
    <r>
      <rPr>
        <sz val="9"/>
        <rFont val="Calibri"/>
        <family val="2"/>
        <scheme val="minor"/>
      </rPr>
      <t xml:space="preserve"> – peur du soleil en plein air : </t>
    </r>
    <r>
      <rPr>
        <i/>
        <sz val="9"/>
        <rFont val="Calibri"/>
        <family val="2"/>
        <scheme val="minor"/>
      </rPr>
      <t>Vue</t>
    </r>
    <r>
      <rPr>
        <sz val="9"/>
        <rFont val="Calibri"/>
        <family val="2"/>
        <scheme val="minor"/>
      </rPr>
      <t xml:space="preserve">,  Foi, </t>
    </r>
    <r>
      <rPr>
        <i/>
        <sz val="9"/>
        <rFont val="Calibri"/>
        <family val="2"/>
        <scheme val="minor"/>
      </rPr>
      <t>Survie, Résilience, Chasse, Cueillette</t>
    </r>
  </si>
  <si>
    <r>
      <t xml:space="preserve">Passion spéciale (objet de la passion à déterminer avec le </t>
    </r>
    <r>
      <rPr>
        <i/>
        <sz val="9"/>
        <rFont val="Calibri"/>
        <family val="2"/>
        <scheme val="minor"/>
      </rPr>
      <t>Livre Trésor</t>
    </r>
    <r>
      <rPr>
        <sz val="9"/>
        <rFont val="Calibri"/>
        <family val="2"/>
        <scheme val="minor"/>
      </rPr>
      <t>) D10* 1= petite passion…2=grande passion…3= objet rare…4= objet unique.</t>
    </r>
  </si>
  <si>
    <r>
      <t xml:space="preserve">squelette magique : +20 aux les tests d’A, </t>
    </r>
    <r>
      <rPr>
        <i/>
        <sz val="9"/>
        <rFont val="Calibri"/>
        <family val="2"/>
        <scheme val="minor"/>
      </rPr>
      <t>Acrobatie,  Escalade, Esquive, Fuite</t>
    </r>
    <r>
      <rPr>
        <sz val="9"/>
        <rFont val="Calibri"/>
        <family val="2"/>
        <scheme val="minor"/>
      </rPr>
      <t>, défaut = 1h après 5% de tomber dans un coma de fatigue pour 1d6 heures, max A(sop)+3</t>
    </r>
  </si>
  <si>
    <r>
      <t>Lèvre</t>
    </r>
    <r>
      <rPr>
        <vertAlign val="superscript"/>
        <sz val="9"/>
        <color theme="1"/>
        <rFont val="Calibri"/>
        <family val="2"/>
        <scheme val="minor"/>
      </rPr>
      <t>1</t>
    </r>
  </si>
  <si>
    <r>
      <t>Stérilité</t>
    </r>
    <r>
      <rPr>
        <sz val="9"/>
        <rFont val="Calibri"/>
        <family val="2"/>
        <scheme val="minor"/>
      </rPr>
      <t> : pas de descendance naturelle possible</t>
    </r>
  </si>
  <si>
    <r>
      <t>Heptéphobie</t>
    </r>
    <r>
      <rPr>
        <sz val="9"/>
        <rFont val="Calibri"/>
        <family val="2"/>
        <scheme val="minor"/>
      </rPr>
      <t xml:space="preserve"> – peur des contacts corps &amp; peaux : D, VO, </t>
    </r>
    <r>
      <rPr>
        <i/>
        <sz val="9"/>
        <rFont val="Calibri"/>
        <family val="2"/>
        <scheme val="minor"/>
      </rPr>
      <t>Toucher,</t>
    </r>
    <r>
      <rPr>
        <sz val="9"/>
        <rFont val="Calibri"/>
        <family val="2"/>
        <scheme val="minor"/>
      </rPr>
      <t xml:space="preserve"> </t>
    </r>
    <r>
      <rPr>
        <i/>
        <sz val="9"/>
        <rFont val="Calibri"/>
        <family val="2"/>
        <scheme val="minor"/>
      </rPr>
      <t>Mêlée, Charge, Médecine</t>
    </r>
  </si>
  <si>
    <r>
      <t>Héritage : une joaillerie  à forme unique (</t>
    </r>
    <r>
      <rPr>
        <i/>
        <sz val="9"/>
        <rFont val="Calibri"/>
        <family val="2"/>
        <scheme val="minor"/>
      </rPr>
      <t>Livre Trésor</t>
    </r>
    <r>
      <rPr>
        <sz val="9"/>
        <rFont val="Calibri"/>
        <family val="2"/>
        <scheme val="minor"/>
      </rPr>
      <t>).</t>
    </r>
  </si>
  <si>
    <r>
      <t>sort de prison après une peine de 1D10* années : surveillance, CPA(</t>
    </r>
    <r>
      <rPr>
        <i/>
        <sz val="9"/>
        <rFont val="Calibri"/>
        <family val="2"/>
        <scheme val="minor"/>
      </rPr>
      <t>Résilience</t>
    </r>
    <r>
      <rPr>
        <sz val="9"/>
        <rFont val="Calibri"/>
        <family val="2"/>
        <scheme val="minor"/>
      </rPr>
      <t>)/2, BM/2</t>
    </r>
  </si>
  <si>
    <r>
      <t>CPA(</t>
    </r>
    <r>
      <rPr>
        <i/>
        <sz val="9"/>
        <color theme="1"/>
        <rFont val="Calibri"/>
        <family val="2"/>
        <scheme val="minor"/>
      </rPr>
      <t>Sexe</t>
    </r>
    <r>
      <rPr>
        <sz val="9"/>
        <color theme="1"/>
        <rFont val="Calibri"/>
        <family val="2"/>
        <scheme val="minor"/>
      </rPr>
      <t>)x2</t>
    </r>
  </si>
  <si>
    <r>
      <t>Mâchoire/menton</t>
    </r>
    <r>
      <rPr>
        <vertAlign val="superscript"/>
        <sz val="9"/>
        <color theme="1"/>
        <rFont val="Calibri"/>
        <family val="2"/>
        <scheme val="minor"/>
      </rPr>
      <t>1</t>
    </r>
  </si>
  <si>
    <r>
      <t>Hydrophobie</t>
    </r>
    <r>
      <rPr>
        <sz val="9"/>
        <rFont val="Calibri"/>
        <family val="2"/>
        <scheme val="minor"/>
      </rPr>
      <t xml:space="preserve"> – peur de la noyade : En, </t>
    </r>
    <r>
      <rPr>
        <i/>
        <sz val="9"/>
        <rFont val="Calibri"/>
        <family val="2"/>
        <scheme val="minor"/>
      </rPr>
      <t>Marine, S(cours d’eau, océan), Pêche, Const. Navale</t>
    </r>
  </si>
  <si>
    <r>
      <t>CPA(</t>
    </r>
    <r>
      <rPr>
        <i/>
        <sz val="9"/>
        <color theme="1"/>
        <rFont val="Calibri"/>
        <family val="2"/>
        <scheme val="minor"/>
      </rPr>
      <t>Transport</t>
    </r>
    <r>
      <rPr>
        <sz val="9"/>
        <color theme="1"/>
        <rFont val="Calibri"/>
        <family val="2"/>
        <scheme val="minor"/>
      </rPr>
      <t>)x2</t>
    </r>
  </si>
  <si>
    <r>
      <t xml:space="preserve">Rien mais </t>
    </r>
    <r>
      <rPr>
        <b/>
        <sz val="9"/>
        <rFont val="Calibri"/>
        <family val="2"/>
        <scheme val="minor"/>
      </rPr>
      <t>CS-2</t>
    </r>
  </si>
  <si>
    <r>
      <t>Hypnophobie</t>
    </r>
    <r>
      <rPr>
        <sz val="9"/>
        <rFont val="Calibri"/>
        <family val="2"/>
        <scheme val="minor"/>
      </rPr>
      <t xml:space="preserve"> – peur du sommeil et/ou des rêves : C, </t>
    </r>
    <r>
      <rPr>
        <i/>
        <sz val="9"/>
        <rFont val="Calibri"/>
        <family val="2"/>
        <scheme val="minor"/>
      </rPr>
      <t>Astrologie, Magie</t>
    </r>
    <r>
      <rPr>
        <sz val="9"/>
        <rFont val="Calibri"/>
        <family val="2"/>
        <scheme val="minor"/>
      </rPr>
      <t xml:space="preserve">, </t>
    </r>
    <r>
      <rPr>
        <i/>
        <sz val="9"/>
        <rFont val="Calibri"/>
        <family val="2"/>
        <scheme val="minor"/>
      </rPr>
      <t>Religion</t>
    </r>
  </si>
  <si>
    <r>
      <t xml:space="preserve">Evénement spécial : un jet supplémentaire sur au </t>
    </r>
    <r>
      <rPr>
        <i/>
        <sz val="9"/>
        <rFont val="Calibri"/>
        <family val="2"/>
        <scheme val="minor"/>
      </rPr>
      <t>1.3.39 Histoires et faits particuliers</t>
    </r>
  </si>
  <si>
    <r>
      <t>Hypocondrie</t>
    </r>
    <r>
      <rPr>
        <sz val="9"/>
        <rFont val="Calibri"/>
        <family val="2"/>
        <scheme val="minor"/>
      </rPr>
      <t xml:space="preserve"> – malade imaginaire : MdJ détermine ou relance sur la table, effets à discrétion</t>
    </r>
  </si>
  <si>
    <r>
      <t xml:space="preserve">Collection spéciale: à déterminer par le </t>
    </r>
    <r>
      <rPr>
        <i/>
        <sz val="9"/>
        <rFont val="Calibri"/>
        <family val="2"/>
        <scheme val="minor"/>
      </rPr>
      <t>Livre Trésor</t>
    </r>
    <r>
      <rPr>
        <sz val="9"/>
        <rFont val="Calibri"/>
        <family val="2"/>
        <scheme val="minor"/>
      </rPr>
      <t>.  D10* : 1=quelques pièces…2=beaucoup de pièces…3=toutes les pièces…4=une pièce unique.</t>
    </r>
  </si>
  <si>
    <r>
      <t>CPA(</t>
    </r>
    <r>
      <rPr>
        <i/>
        <sz val="9"/>
        <color theme="1"/>
        <rFont val="Calibri"/>
        <family val="2"/>
        <scheme val="minor"/>
      </rPr>
      <t>Archerie</t>
    </r>
    <r>
      <rPr>
        <sz val="9"/>
        <color theme="1"/>
        <rFont val="Calibri"/>
        <family val="2"/>
        <scheme val="minor"/>
      </rPr>
      <t>)x2</t>
    </r>
  </si>
  <si>
    <r>
      <t>Insomnie</t>
    </r>
    <r>
      <rPr>
        <sz val="9"/>
        <rFont val="Calibri"/>
        <family val="2"/>
        <scheme val="minor"/>
      </rPr>
      <t xml:space="preserve"> – manque de sommeil : En, E, état de Fatigue-F1 permanent </t>
    </r>
  </si>
  <si>
    <r>
      <t xml:space="preserve">noyé : test C(Rob) pour </t>
    </r>
    <r>
      <rPr>
        <i/>
        <sz val="9"/>
        <rFont val="Calibri"/>
        <family val="2"/>
        <scheme val="minor"/>
      </rPr>
      <t>Nage à NE</t>
    </r>
    <r>
      <rPr>
        <sz val="9"/>
        <rFont val="Calibri"/>
        <family val="2"/>
        <scheme val="minor"/>
      </rPr>
      <t>80, pas de noyade, sous l’eau pendant 1 tour</t>
    </r>
  </si>
  <si>
    <r>
      <t>Kleptomanie</t>
    </r>
    <r>
      <rPr>
        <sz val="9"/>
        <rFont val="Calibri"/>
        <family val="2"/>
        <scheme val="minor"/>
      </rPr>
      <t xml:space="preserve"> – voleur insatiable : V, </t>
    </r>
    <r>
      <rPr>
        <i/>
        <sz val="9"/>
        <rFont val="Calibri"/>
        <family val="2"/>
        <scheme val="minor"/>
      </rPr>
      <t>Religion</t>
    </r>
    <r>
      <rPr>
        <sz val="9"/>
        <rFont val="Calibri"/>
        <family val="2"/>
        <scheme val="minor"/>
      </rPr>
      <t xml:space="preserve">, </t>
    </r>
    <r>
      <rPr>
        <b/>
        <sz val="9"/>
        <rFont val="Calibri"/>
        <family val="2"/>
        <scheme val="minor"/>
      </rPr>
      <t>bonus</t>
    </r>
    <r>
      <rPr>
        <i/>
        <sz val="9"/>
        <rFont val="Calibri"/>
        <family val="2"/>
        <scheme val="minor"/>
      </rPr>
      <t xml:space="preserve"> Vol</t>
    </r>
    <r>
      <rPr>
        <sz val="9"/>
        <rFont val="Calibri"/>
        <family val="2"/>
        <scheme val="minor"/>
      </rPr>
      <t xml:space="preserve">, </t>
    </r>
    <r>
      <rPr>
        <i/>
        <sz val="9"/>
        <rFont val="Calibri"/>
        <family val="2"/>
        <scheme val="minor"/>
      </rPr>
      <t>Criminalité</t>
    </r>
    <r>
      <rPr>
        <sz val="9"/>
        <rFont val="Calibri"/>
        <family val="2"/>
        <scheme val="minor"/>
      </rPr>
      <t>, D</t>
    </r>
  </si>
  <si>
    <r>
      <t>Relique : amulette magique à déterminer (</t>
    </r>
    <r>
      <rPr>
        <i/>
        <sz val="9"/>
        <rFont val="Calibri"/>
        <family val="2"/>
        <scheme val="minor"/>
      </rPr>
      <t>Livre Trésor</t>
    </r>
    <r>
      <rPr>
        <sz val="9"/>
        <rFont val="Calibri"/>
        <family val="2"/>
        <scheme val="minor"/>
      </rPr>
      <t>).</t>
    </r>
  </si>
  <si>
    <r>
      <t xml:space="preserve">fils de la nature : bonus +25 à </t>
    </r>
    <r>
      <rPr>
        <i/>
        <sz val="9"/>
        <rFont val="Calibri"/>
        <family val="2"/>
        <scheme val="minor"/>
      </rPr>
      <t xml:space="preserve">Survie, Résilience, Piste, Elevage, </t>
    </r>
    <r>
      <rPr>
        <sz val="9"/>
        <rFont val="Calibri"/>
        <family val="2"/>
        <scheme val="minor"/>
      </rPr>
      <t>+10 général si magicien de la Nature</t>
    </r>
  </si>
  <si>
    <r>
      <t>CPA(</t>
    </r>
    <r>
      <rPr>
        <i/>
        <sz val="9"/>
        <color theme="1"/>
        <rFont val="Calibri"/>
        <family val="2"/>
        <scheme val="minor"/>
      </rPr>
      <t>Recherche</t>
    </r>
    <r>
      <rPr>
        <sz val="9"/>
        <color theme="1"/>
        <rFont val="Calibri"/>
        <family val="2"/>
        <scheme val="minor"/>
      </rPr>
      <t>)x2</t>
    </r>
  </si>
  <si>
    <r>
      <t>Martiophobie</t>
    </r>
    <r>
      <rPr>
        <sz val="9"/>
        <rFont val="Calibri"/>
        <family val="2"/>
        <scheme val="minor"/>
      </rPr>
      <t xml:space="preserve"> – peur des armes et/ou du combat : F, toutes les Armes, Moral-Mod, </t>
    </r>
    <r>
      <rPr>
        <b/>
        <sz val="9"/>
        <rFont val="Calibri"/>
        <family val="2"/>
        <scheme val="minor"/>
      </rPr>
      <t>bonus</t>
    </r>
    <r>
      <rPr>
        <sz val="9"/>
        <rFont val="Calibri"/>
        <family val="2"/>
        <scheme val="minor"/>
      </rPr>
      <t xml:space="preserve"> </t>
    </r>
    <r>
      <rPr>
        <i/>
        <sz val="9"/>
        <rFont val="Calibri"/>
        <family val="2"/>
        <scheme val="minor"/>
      </rPr>
      <t>Fuite</t>
    </r>
  </si>
  <si>
    <r>
      <t>Masochisme</t>
    </r>
    <r>
      <rPr>
        <sz val="9"/>
        <rFont val="Calibri"/>
        <family val="2"/>
        <scheme val="minor"/>
      </rPr>
      <t xml:space="preserve"> – aime la douleur : V, bonus </t>
    </r>
    <r>
      <rPr>
        <i/>
        <sz val="9"/>
        <rFont val="Calibri"/>
        <family val="2"/>
        <scheme val="minor"/>
      </rPr>
      <t>Résistance &amp; Résilience</t>
    </r>
    <r>
      <rPr>
        <sz val="9"/>
        <rFont val="Calibri"/>
        <family val="2"/>
        <scheme val="minor"/>
      </rPr>
      <t xml:space="preserve"> </t>
    </r>
  </si>
  <si>
    <r>
      <t>Trésor magique : arme magique à déterminer (</t>
    </r>
    <r>
      <rPr>
        <i/>
        <sz val="9"/>
        <rFont val="Calibri"/>
        <family val="2"/>
        <scheme val="minor"/>
      </rPr>
      <t>Livre Trésor</t>
    </r>
    <r>
      <rPr>
        <sz val="9"/>
        <rFont val="Calibri"/>
        <family val="2"/>
        <scheme val="minor"/>
      </rPr>
      <t>).</t>
    </r>
  </si>
  <si>
    <r>
      <t xml:space="preserve">rêveur : test Em(Inu) pour réussir le sort </t>
    </r>
    <r>
      <rPr>
        <i/>
        <sz val="9"/>
        <rFont val="Calibri"/>
        <family val="2"/>
        <scheme val="minor"/>
      </rPr>
      <t>Divination</t>
    </r>
    <r>
      <rPr>
        <sz val="9"/>
        <rFont val="Calibri"/>
        <family val="2"/>
        <scheme val="minor"/>
      </rPr>
      <t xml:space="preserve"> 10/5 sur un proche endormi que l’on touche</t>
    </r>
  </si>
  <si>
    <r>
      <t>CPA(</t>
    </r>
    <r>
      <rPr>
        <i/>
        <sz val="9"/>
        <color theme="1"/>
        <rFont val="Calibri"/>
        <family val="2"/>
        <scheme val="minor"/>
      </rPr>
      <t>Chant</t>
    </r>
    <r>
      <rPr>
        <sz val="9"/>
        <color theme="1"/>
        <rFont val="Calibri"/>
        <family val="2"/>
        <scheme val="minor"/>
      </rPr>
      <t>)x2</t>
    </r>
  </si>
  <si>
    <r>
      <t>Mégalomanie</t>
    </r>
    <r>
      <rPr>
        <sz val="9"/>
        <rFont val="Calibri"/>
        <family val="2"/>
        <scheme val="minor"/>
      </rPr>
      <t xml:space="preserve"> – personnalité expansive/dominatrice : E, </t>
    </r>
    <r>
      <rPr>
        <b/>
        <sz val="9"/>
        <rFont val="Calibri"/>
        <family val="2"/>
        <scheme val="minor"/>
      </rPr>
      <t>bonus</t>
    </r>
    <r>
      <rPr>
        <sz val="9"/>
        <rFont val="Calibri"/>
        <family val="2"/>
        <scheme val="minor"/>
      </rPr>
      <t xml:space="preserve"> V, </t>
    </r>
    <r>
      <rPr>
        <i/>
        <sz val="9"/>
        <rFont val="Calibri"/>
        <family val="2"/>
        <scheme val="minor"/>
      </rPr>
      <t>Obéissance,  Stratège</t>
    </r>
  </si>
  <si>
    <r>
      <t>Une histoire supplémentaire (</t>
    </r>
    <r>
      <rPr>
        <i/>
        <sz val="9"/>
        <rFont val="Calibri"/>
        <family val="2"/>
        <scheme val="minor"/>
      </rPr>
      <t>1.3.39 Histoires et faits particuliers</t>
    </r>
    <r>
      <rPr>
        <sz val="9"/>
        <rFont val="Calibri"/>
        <family val="2"/>
        <scheme val="minor"/>
      </rPr>
      <t xml:space="preserve">).  Age, D10* : 1=adulte(21+)…2=adolescence(14-21)…3=enfance(7-14)…4=petite enfance(0-7).  Evénement, D10* 1=positif…2=négatif…3=grand bonheur…4=grand malheur. </t>
    </r>
  </si>
  <si>
    <r>
      <t>Découverte magique : armure magique à déterminer (</t>
    </r>
    <r>
      <rPr>
        <i/>
        <sz val="9"/>
        <rFont val="Calibri"/>
        <family val="2"/>
        <scheme val="minor"/>
      </rPr>
      <t>Livre Trésor</t>
    </r>
    <r>
      <rPr>
        <sz val="9"/>
        <rFont val="Calibri"/>
        <family val="2"/>
        <scheme val="minor"/>
      </rPr>
      <t>).</t>
    </r>
  </si>
  <si>
    <r>
      <t>Paume</t>
    </r>
    <r>
      <rPr>
        <vertAlign val="superscript"/>
        <sz val="9"/>
        <color theme="1"/>
        <rFont val="Calibri"/>
        <family val="2"/>
        <scheme val="minor"/>
      </rPr>
      <t>1</t>
    </r>
  </si>
  <si>
    <r>
      <t>Musophobie</t>
    </r>
    <r>
      <rPr>
        <sz val="9"/>
        <rFont val="Calibri"/>
        <family val="2"/>
        <scheme val="minor"/>
      </rPr>
      <t xml:space="preserve"> – peur des rongeurs : V, C, </t>
    </r>
    <r>
      <rPr>
        <i/>
        <sz val="9"/>
        <rFont val="Calibri"/>
        <family val="2"/>
        <scheme val="minor"/>
      </rPr>
      <t>S(ville, souterrain), Criminalité, Assassin</t>
    </r>
    <r>
      <rPr>
        <sz val="9"/>
        <rFont val="Calibri"/>
        <family val="2"/>
        <scheme val="minor"/>
      </rPr>
      <t>at</t>
    </r>
  </si>
  <si>
    <r>
      <t>Carte : la carte d’un trésor à déterminer (</t>
    </r>
    <r>
      <rPr>
        <i/>
        <sz val="9"/>
        <rFont val="Calibri"/>
        <family val="2"/>
        <scheme val="minor"/>
      </rPr>
      <t>Livre Trésor</t>
    </r>
    <r>
      <rPr>
        <sz val="9"/>
        <rFont val="Calibri"/>
        <family val="2"/>
        <scheme val="minor"/>
      </rPr>
      <t>).</t>
    </r>
  </si>
  <si>
    <r>
      <t xml:space="preserve">grand souffle : bonus +25 à </t>
    </r>
    <r>
      <rPr>
        <i/>
        <sz val="9"/>
        <rFont val="Calibri"/>
        <family val="2"/>
        <scheme val="minor"/>
      </rPr>
      <t>Nage</t>
    </r>
    <r>
      <rPr>
        <sz val="9"/>
        <rFont val="Calibri"/>
        <family val="2"/>
        <scheme val="minor"/>
      </rPr>
      <t>, régénère 1 souffle / tour et la chance de noyade/2</t>
    </r>
  </si>
  <si>
    <r>
      <t>CPA(</t>
    </r>
    <r>
      <rPr>
        <i/>
        <sz val="9"/>
        <color theme="1"/>
        <rFont val="Calibri"/>
        <family val="2"/>
        <scheme val="minor"/>
      </rPr>
      <t>Cuir</t>
    </r>
    <r>
      <rPr>
        <sz val="9"/>
        <color theme="1"/>
        <rFont val="Calibri"/>
        <family val="2"/>
        <scheme val="minor"/>
      </rPr>
      <t>)x2</t>
    </r>
  </si>
  <si>
    <r>
      <t>Néophobie</t>
    </r>
    <r>
      <rPr>
        <sz val="9"/>
        <rFont val="Calibri"/>
        <family val="2"/>
        <scheme val="minor"/>
      </rPr>
      <t xml:space="preserve"> – peur de l’innovation : I, </t>
    </r>
    <r>
      <rPr>
        <i/>
        <sz val="9"/>
        <rFont val="Calibri"/>
        <family val="2"/>
        <scheme val="minor"/>
      </rPr>
      <t xml:space="preserve">Ingénierie, Architecture, Recherche, Alchimie </t>
    </r>
  </si>
  <si>
    <r>
      <t>Potions : 1d6 doses d’un liquide (</t>
    </r>
    <r>
      <rPr>
        <i/>
        <sz val="9"/>
        <rFont val="Calibri"/>
        <family val="2"/>
        <scheme val="minor"/>
      </rPr>
      <t>Livre Trésor</t>
    </r>
    <r>
      <rPr>
        <sz val="9"/>
        <rFont val="Calibri"/>
        <family val="2"/>
        <scheme val="minor"/>
      </rPr>
      <t>), avec un effet actif.</t>
    </r>
  </si>
  <si>
    <r>
      <t xml:space="preserve">marmotte : le besoin de sommeil doublé, malus 20 à </t>
    </r>
    <r>
      <rPr>
        <i/>
        <sz val="9"/>
        <rFont val="Calibri"/>
        <family val="2"/>
        <scheme val="minor"/>
      </rPr>
      <t>Réaction</t>
    </r>
  </si>
  <si>
    <r>
      <t>Nyctophobie</t>
    </r>
    <r>
      <rPr>
        <sz val="9"/>
        <rFont val="Calibri"/>
        <family val="2"/>
        <scheme val="minor"/>
      </rPr>
      <t xml:space="preserve"> – peur du noir/nuit : Vue (la nuit), </t>
    </r>
    <r>
      <rPr>
        <i/>
        <sz val="9"/>
        <rFont val="Calibri"/>
        <family val="2"/>
        <scheme val="minor"/>
      </rPr>
      <t>Assassinat, Dissimulation</t>
    </r>
    <r>
      <rPr>
        <sz val="9"/>
        <rFont val="Calibri"/>
        <family val="2"/>
        <scheme val="minor"/>
      </rPr>
      <t xml:space="preserve">, </t>
    </r>
    <r>
      <rPr>
        <i/>
        <sz val="9"/>
        <rFont val="Calibri"/>
        <family val="2"/>
        <scheme val="minor"/>
      </rPr>
      <t>S(souterrain)</t>
    </r>
  </si>
  <si>
    <r>
      <t>Produit naturel : 1d6 doses trouvées  (</t>
    </r>
    <r>
      <rPr>
        <i/>
        <sz val="9"/>
        <rFont val="Calibri"/>
        <family val="2"/>
        <scheme val="minor"/>
      </rPr>
      <t>Livre Trésor</t>
    </r>
    <r>
      <rPr>
        <sz val="9"/>
        <rFont val="Calibri"/>
        <family val="2"/>
        <scheme val="minor"/>
      </rPr>
      <t>), avec un effet actif.</t>
    </r>
  </si>
  <si>
    <r>
      <t>Ophidiophobie</t>
    </r>
    <r>
      <rPr>
        <sz val="9"/>
        <rFont val="Calibri"/>
        <family val="2"/>
        <scheme val="minor"/>
      </rPr>
      <t xml:space="preserve"> – peur des serpents : C, </t>
    </r>
    <r>
      <rPr>
        <i/>
        <sz val="9"/>
        <rFont val="Calibri"/>
        <family val="2"/>
        <scheme val="minor"/>
      </rPr>
      <t>S(marais, souterrain)</t>
    </r>
    <r>
      <rPr>
        <sz val="9"/>
        <rFont val="Calibri"/>
        <family val="2"/>
        <scheme val="minor"/>
      </rPr>
      <t xml:space="preserve">, </t>
    </r>
    <r>
      <rPr>
        <i/>
        <sz val="9"/>
        <rFont val="Calibri"/>
        <family val="2"/>
        <scheme val="minor"/>
      </rPr>
      <t>Poison</t>
    </r>
    <r>
      <rPr>
        <sz val="9"/>
        <rFont val="Calibri"/>
        <family val="2"/>
        <scheme val="minor"/>
      </rPr>
      <t xml:space="preserve">, </t>
    </r>
    <r>
      <rPr>
        <i/>
        <sz val="9"/>
        <rFont val="Calibri"/>
        <family val="2"/>
        <scheme val="minor"/>
      </rPr>
      <t>Equarisseur</t>
    </r>
  </si>
  <si>
    <r>
      <t>Poudre magique : 1d6 doses, type à déterminer (</t>
    </r>
    <r>
      <rPr>
        <i/>
        <sz val="9"/>
        <rFont val="Calibri"/>
        <family val="2"/>
        <scheme val="minor"/>
      </rPr>
      <t>Livre Trésor</t>
    </r>
    <r>
      <rPr>
        <sz val="9"/>
        <rFont val="Calibri"/>
        <family val="2"/>
        <scheme val="minor"/>
      </rPr>
      <t>), avec un effet actif.</t>
    </r>
  </si>
  <si>
    <r>
      <t>Pouce</t>
    </r>
    <r>
      <rPr>
        <vertAlign val="superscript"/>
        <sz val="9"/>
        <color theme="1"/>
        <rFont val="Calibri"/>
        <family val="2"/>
        <scheme val="minor"/>
      </rPr>
      <t>1</t>
    </r>
  </si>
  <si>
    <r>
      <t>Partiphobie</t>
    </r>
    <r>
      <rPr>
        <sz val="9"/>
        <rFont val="Calibri"/>
        <family val="2"/>
        <scheme val="minor"/>
      </rPr>
      <t xml:space="preserve"> – peur de l’autorité : V, Foi, </t>
    </r>
    <r>
      <rPr>
        <i/>
        <sz val="9"/>
        <rFont val="Calibri"/>
        <family val="2"/>
        <scheme val="minor"/>
      </rPr>
      <t>Piéton, Cavalerie, Stratégie, Religion, Obéissance</t>
    </r>
  </si>
  <si>
    <r>
      <t xml:space="preserve">dormeur léger: bonus +25 à </t>
    </r>
    <r>
      <rPr>
        <i/>
        <sz val="9"/>
        <rFont val="Calibri"/>
        <family val="2"/>
        <scheme val="minor"/>
      </rPr>
      <t>Réaction</t>
    </r>
    <r>
      <rPr>
        <sz val="9"/>
        <rFont val="Calibri"/>
        <family val="2"/>
        <scheme val="minor"/>
      </rPr>
      <t xml:space="preserve"> </t>
    </r>
  </si>
  <si>
    <r>
      <t>Persécution</t>
    </r>
    <r>
      <rPr>
        <sz val="9"/>
        <rFont val="Calibri"/>
        <family val="2"/>
        <scheme val="minor"/>
      </rPr>
      <t xml:space="preserve"> – sentiment personnel : selon MdJ, Ap, </t>
    </r>
    <r>
      <rPr>
        <b/>
        <sz val="9"/>
        <rFont val="Calibri"/>
        <family val="2"/>
        <scheme val="minor"/>
      </rPr>
      <t>bonus</t>
    </r>
    <r>
      <rPr>
        <sz val="9"/>
        <rFont val="Calibri"/>
        <family val="2"/>
        <scheme val="minor"/>
      </rPr>
      <t xml:space="preserve"> V</t>
    </r>
  </si>
  <si>
    <r>
      <t>Magie : un objet magique divers à déterminer (</t>
    </r>
    <r>
      <rPr>
        <i/>
        <sz val="9"/>
        <rFont val="Calibri"/>
        <family val="2"/>
        <scheme val="minor"/>
      </rPr>
      <t>Livre Trésor</t>
    </r>
    <r>
      <rPr>
        <sz val="9"/>
        <rFont val="Calibri"/>
        <family val="2"/>
        <scheme val="minor"/>
      </rPr>
      <t>).</t>
    </r>
  </si>
  <si>
    <r>
      <t>Sourcil</t>
    </r>
    <r>
      <rPr>
        <vertAlign val="superscript"/>
        <sz val="9"/>
        <color theme="1"/>
        <rFont val="Calibri"/>
        <family val="2"/>
        <scheme val="minor"/>
      </rPr>
      <t>1</t>
    </r>
  </si>
  <si>
    <r>
      <t>Phénophobie</t>
    </r>
    <r>
      <rPr>
        <sz val="9"/>
        <rFont val="Calibri"/>
        <family val="2"/>
        <scheme val="minor"/>
      </rPr>
      <t xml:space="preserve"> – peur du surnaturel/de la magie : I, V, Em, </t>
    </r>
    <r>
      <rPr>
        <i/>
        <sz val="9"/>
        <rFont val="Calibri"/>
        <family val="2"/>
        <scheme val="minor"/>
      </rPr>
      <t>Magie</t>
    </r>
    <r>
      <rPr>
        <sz val="9"/>
        <rFont val="Calibri"/>
        <family val="2"/>
        <scheme val="minor"/>
      </rPr>
      <t xml:space="preserve">, </t>
    </r>
    <r>
      <rPr>
        <i/>
        <sz val="9"/>
        <rFont val="Calibri"/>
        <family val="2"/>
        <scheme val="minor"/>
      </rPr>
      <t>Foi, Astrologie, Religion</t>
    </r>
  </si>
  <si>
    <r>
      <t xml:space="preserve">Adopté comme étudiant en magie : reçoit </t>
    </r>
    <r>
      <rPr>
        <i/>
        <sz val="9"/>
        <rFont val="Calibri"/>
        <family val="2"/>
        <scheme val="minor"/>
      </rPr>
      <t>Magie</t>
    </r>
    <r>
      <rPr>
        <sz val="9"/>
        <rFont val="Calibri"/>
        <family val="2"/>
        <scheme val="minor"/>
      </rPr>
      <t xml:space="preserve"> N3 + une école de magie.</t>
    </r>
  </si>
  <si>
    <r>
      <t>Photophobie</t>
    </r>
    <r>
      <rPr>
        <sz val="9"/>
        <rFont val="Calibri"/>
        <family val="2"/>
        <scheme val="minor"/>
      </rPr>
      <t xml:space="preserve"> – peur de la lumière : Vue, </t>
    </r>
    <r>
      <rPr>
        <i/>
        <sz val="9"/>
        <rFont val="Calibri"/>
        <family val="2"/>
        <scheme val="minor"/>
      </rPr>
      <t>Survie</t>
    </r>
    <r>
      <rPr>
        <sz val="9"/>
        <rFont val="Calibri"/>
        <family val="2"/>
        <scheme val="minor"/>
      </rPr>
      <t xml:space="preserve">, </t>
    </r>
    <r>
      <rPr>
        <b/>
        <sz val="9"/>
        <rFont val="Calibri"/>
        <family val="2"/>
        <scheme val="minor"/>
      </rPr>
      <t>bonus</t>
    </r>
    <r>
      <rPr>
        <sz val="9"/>
        <rFont val="Calibri"/>
        <family val="2"/>
        <scheme val="minor"/>
      </rPr>
      <t xml:space="preserve"> Ouïe</t>
    </r>
  </si>
  <si>
    <r>
      <t xml:space="preserve">mains de fer : bonus additionnel de coup +F(pou)/10 à </t>
    </r>
    <r>
      <rPr>
        <i/>
        <sz val="9"/>
        <rFont val="Calibri"/>
        <family val="2"/>
        <scheme val="minor"/>
      </rPr>
      <t>Mains Nues</t>
    </r>
    <r>
      <rPr>
        <sz val="9"/>
        <rFont val="Calibri"/>
        <family val="2"/>
        <scheme val="minor"/>
      </rPr>
      <t xml:space="preserve"> </t>
    </r>
  </si>
  <si>
    <r>
      <t xml:space="preserve">paralysie : une partie du corps (voir </t>
    </r>
    <r>
      <rPr>
        <i/>
        <sz val="9"/>
        <rFont val="Calibri"/>
        <family val="2"/>
        <scheme val="minor"/>
      </rPr>
      <t>1.3.12 Marque de peau)</t>
    </r>
    <r>
      <rPr>
        <sz val="9"/>
        <rFont val="Calibri"/>
        <family val="2"/>
        <scheme val="minor"/>
      </rPr>
      <t xml:space="preserve"> est définitivement paralysée, effets selon MdJ </t>
    </r>
  </si>
  <si>
    <r>
      <t>Polydipsie</t>
    </r>
    <r>
      <rPr>
        <sz val="9"/>
        <rFont val="Calibri"/>
        <family val="2"/>
        <scheme val="minor"/>
      </rPr>
      <t xml:space="preserve"> – soif continue : C, poids+Modx5%, besoin +Mod points d’eau/jour</t>
    </r>
  </si>
  <si>
    <r>
      <t xml:space="preserve">grosseur : une partie du corps (voir </t>
    </r>
    <r>
      <rPr>
        <i/>
        <sz val="9"/>
        <rFont val="Calibri"/>
        <family val="2"/>
        <scheme val="minor"/>
      </rPr>
      <t>1.3.12 Marque de peau)</t>
    </r>
    <r>
      <rPr>
        <sz val="9"/>
        <rFont val="Calibri"/>
        <family val="2"/>
        <scheme val="minor"/>
      </rPr>
      <t xml:space="preserve"> grossie de 1D10* x 10 % </t>
    </r>
  </si>
  <si>
    <r>
      <t>Poriomanie</t>
    </r>
    <r>
      <rPr>
        <sz val="9"/>
        <rFont val="Calibri"/>
        <family val="2"/>
        <scheme val="minor"/>
      </rPr>
      <t xml:space="preserve"> – peur du voyage : En, </t>
    </r>
    <r>
      <rPr>
        <i/>
        <sz val="9"/>
        <rFont val="Calibri"/>
        <family val="2"/>
        <scheme val="minor"/>
      </rPr>
      <t>Survie, Convoyage, Navigation, Transport, Traque, Piste</t>
    </r>
  </si>
  <si>
    <r>
      <t>Psychopathie</t>
    </r>
    <r>
      <rPr>
        <sz val="9"/>
        <rFont val="Calibri"/>
        <family val="2"/>
        <scheme val="minor"/>
      </rPr>
      <t xml:space="preserve"> – personnage dangereux : selon le MdJ, Em, </t>
    </r>
    <r>
      <rPr>
        <b/>
        <sz val="9"/>
        <rFont val="Calibri"/>
        <family val="2"/>
        <scheme val="minor"/>
      </rPr>
      <t>bonus</t>
    </r>
    <r>
      <rPr>
        <sz val="9"/>
        <rFont val="Calibri"/>
        <family val="2"/>
        <scheme val="minor"/>
      </rPr>
      <t xml:space="preserve"> I, V, </t>
    </r>
    <r>
      <rPr>
        <i/>
        <sz val="9"/>
        <rFont val="Calibri"/>
        <family val="2"/>
        <scheme val="minor"/>
      </rPr>
      <t xml:space="preserve">Criminalité, Traque </t>
    </r>
  </si>
  <si>
    <r>
      <t>Pyromanie</t>
    </r>
    <r>
      <rPr>
        <sz val="9"/>
        <rFont val="Calibri"/>
        <family val="2"/>
        <scheme val="minor"/>
      </rPr>
      <t xml:space="preserve"> – aime mettre le feu : Em, </t>
    </r>
    <r>
      <rPr>
        <i/>
        <sz val="9"/>
        <rFont val="Calibri"/>
        <family val="2"/>
        <scheme val="minor"/>
      </rPr>
      <t>Coupe, Charpente, Ebénisterie,</t>
    </r>
    <r>
      <rPr>
        <sz val="9"/>
        <rFont val="Calibri"/>
        <family val="2"/>
        <scheme val="minor"/>
      </rPr>
      <t xml:space="preserve"> </t>
    </r>
    <r>
      <rPr>
        <b/>
        <sz val="9"/>
        <rFont val="Calibri"/>
        <family val="2"/>
        <scheme val="minor"/>
      </rPr>
      <t>bonus</t>
    </r>
    <r>
      <rPr>
        <sz val="9"/>
        <rFont val="Calibri"/>
        <family val="2"/>
        <scheme val="minor"/>
      </rPr>
      <t xml:space="preserve"> V, Foi, </t>
    </r>
    <r>
      <rPr>
        <i/>
        <sz val="9"/>
        <rFont val="Calibri"/>
        <family val="2"/>
        <scheme val="minor"/>
      </rPr>
      <t>Religion</t>
    </r>
  </si>
  <si>
    <r>
      <t>Pyrophobie</t>
    </r>
    <r>
      <rPr>
        <sz val="9"/>
        <rFont val="Calibri"/>
        <family val="2"/>
        <scheme val="minor"/>
      </rPr>
      <t xml:space="preserve"> – peur du feu : V, C, </t>
    </r>
    <r>
      <rPr>
        <i/>
        <sz val="9"/>
        <rFont val="Calibri"/>
        <family val="2"/>
        <scheme val="minor"/>
      </rPr>
      <t>Forge, Armurerie, Alchimie, Cuisine, Herboristerie, Mine</t>
    </r>
  </si>
  <si>
    <r>
      <t xml:space="preserve">Connaissance des Dva’Linns : </t>
    </r>
    <r>
      <rPr>
        <i/>
        <sz val="9"/>
        <rFont val="Calibri"/>
        <family val="2"/>
        <scheme val="minor"/>
      </rPr>
      <t>Langue(Khamur)</t>
    </r>
    <r>
      <rPr>
        <sz val="9"/>
        <rFont val="Calibri"/>
        <family val="2"/>
        <scheme val="minor"/>
      </rPr>
      <t xml:space="preserve"> NE20 + </t>
    </r>
    <r>
      <rPr>
        <i/>
        <sz val="9"/>
        <rFont val="Calibri"/>
        <family val="2"/>
        <scheme val="minor"/>
      </rPr>
      <t>Hache</t>
    </r>
    <r>
      <rPr>
        <sz val="9"/>
        <rFont val="Calibri"/>
        <family val="2"/>
        <scheme val="minor"/>
      </rPr>
      <t xml:space="preserve"> ou </t>
    </r>
    <r>
      <rPr>
        <i/>
        <sz val="9"/>
        <rFont val="Calibri"/>
        <family val="2"/>
        <scheme val="minor"/>
      </rPr>
      <t>Masse</t>
    </r>
    <r>
      <rPr>
        <sz val="9"/>
        <rFont val="Calibri"/>
        <family val="2"/>
        <scheme val="minor"/>
      </rPr>
      <t xml:space="preserve"> à N3 +arme Q++.</t>
    </r>
  </si>
  <si>
    <r>
      <t xml:space="preserve">marcheur infatigable : bonus +25 aux tests de En(Fat), </t>
    </r>
    <r>
      <rPr>
        <i/>
        <sz val="9"/>
        <rFont val="Calibri"/>
        <family val="2"/>
        <scheme val="minor"/>
      </rPr>
      <t>Transport</t>
    </r>
    <r>
      <rPr>
        <sz val="9"/>
        <rFont val="Calibri"/>
        <family val="2"/>
        <scheme val="minor"/>
      </rPr>
      <t xml:space="preserve">, </t>
    </r>
    <r>
      <rPr>
        <i/>
        <sz val="9"/>
        <rFont val="Calibri"/>
        <family val="2"/>
        <scheme val="minor"/>
      </rPr>
      <t xml:space="preserve">Convoyage, Résilience </t>
    </r>
    <r>
      <rPr>
        <sz val="9"/>
        <rFont val="Calibri"/>
        <family val="2"/>
        <scheme val="minor"/>
      </rPr>
      <t xml:space="preserve">et </t>
    </r>
    <r>
      <rPr>
        <i/>
        <sz val="9"/>
        <rFont val="Calibri"/>
        <family val="2"/>
        <scheme val="minor"/>
      </rPr>
      <t>Cueillette</t>
    </r>
  </si>
  <si>
    <r>
      <t>Sadisme</t>
    </r>
    <r>
      <rPr>
        <sz val="9"/>
        <rFont val="Calibri"/>
        <family val="2"/>
        <scheme val="minor"/>
      </rPr>
      <t xml:space="preserve"> – aime faire mal : Em, CI </t>
    </r>
    <r>
      <rPr>
        <b/>
        <sz val="9"/>
        <rFont val="Calibri"/>
        <family val="2"/>
        <scheme val="minor"/>
      </rPr>
      <t>bonus</t>
    </r>
    <r>
      <rPr>
        <sz val="9"/>
        <rFont val="Calibri"/>
        <family val="2"/>
        <scheme val="minor"/>
      </rPr>
      <t xml:space="preserve"> V, Critique, </t>
    </r>
    <r>
      <rPr>
        <i/>
        <sz val="9"/>
        <rFont val="Calibri"/>
        <family val="2"/>
        <scheme val="minor"/>
      </rPr>
      <t>Torture</t>
    </r>
    <r>
      <rPr>
        <sz val="9"/>
        <rFont val="Calibri"/>
        <family val="2"/>
        <scheme val="minor"/>
      </rPr>
      <t xml:space="preserve">, </t>
    </r>
    <r>
      <rPr>
        <i/>
        <sz val="9"/>
        <rFont val="Calibri"/>
        <family val="2"/>
        <scheme val="minor"/>
      </rPr>
      <t>Assassin</t>
    </r>
    <r>
      <rPr>
        <sz val="9"/>
        <rFont val="Calibri"/>
        <family val="2"/>
        <scheme val="minor"/>
      </rPr>
      <t>at</t>
    </r>
  </si>
  <si>
    <r>
      <t xml:space="preserve">naturel : bonus +10 à la </t>
    </r>
    <r>
      <rPr>
        <i/>
        <sz val="9"/>
        <rFont val="Calibri"/>
        <family val="2"/>
        <scheme val="minor"/>
      </rPr>
      <t>Chasse</t>
    </r>
    <r>
      <rPr>
        <sz val="9"/>
        <rFont val="Calibri"/>
        <family val="2"/>
        <scheme val="minor"/>
      </rPr>
      <t xml:space="preserve">, </t>
    </r>
    <r>
      <rPr>
        <i/>
        <sz val="9"/>
        <rFont val="Calibri"/>
        <family val="2"/>
        <scheme val="minor"/>
      </rPr>
      <t>Piste, Médecine</t>
    </r>
    <r>
      <rPr>
        <sz val="9"/>
        <rFont val="Calibri"/>
        <family val="2"/>
        <scheme val="minor"/>
      </rPr>
      <t xml:space="preserve"> et </t>
    </r>
    <r>
      <rPr>
        <i/>
        <sz val="9"/>
        <rFont val="Calibri"/>
        <family val="2"/>
        <scheme val="minor"/>
      </rPr>
      <t>Herboristerie</t>
    </r>
  </si>
  <si>
    <r>
      <t>Schizophrénie</t>
    </r>
    <r>
      <rPr>
        <sz val="9"/>
        <rFont val="Calibri"/>
        <family val="2"/>
        <scheme val="minor"/>
      </rPr>
      <t xml:space="preserve"> – personnalité multiple : selon le MdJ, V, E, </t>
    </r>
    <r>
      <rPr>
        <i/>
        <sz val="9"/>
        <rFont val="Calibri"/>
        <family val="2"/>
        <scheme val="minor"/>
      </rPr>
      <t>Religion</t>
    </r>
    <r>
      <rPr>
        <sz val="9"/>
        <rFont val="Calibri"/>
        <family val="2"/>
        <scheme val="minor"/>
      </rPr>
      <t xml:space="preserve"> </t>
    </r>
    <r>
      <rPr>
        <b/>
        <sz val="9"/>
        <rFont val="Calibri"/>
        <family val="2"/>
        <scheme val="minor"/>
      </rPr>
      <t>bonus</t>
    </r>
    <r>
      <rPr>
        <sz val="9"/>
        <rFont val="Calibri"/>
        <family val="2"/>
        <scheme val="minor"/>
      </rPr>
      <t xml:space="preserve"> I, Em, </t>
    </r>
    <r>
      <rPr>
        <i/>
        <sz val="9"/>
        <rFont val="Calibri"/>
        <family val="2"/>
        <scheme val="minor"/>
      </rPr>
      <t>Intrigue</t>
    </r>
  </si>
  <si>
    <r>
      <t xml:space="preserve">odeur corporelle : ne dégage aucune odeur perceptible, bonus +20 à </t>
    </r>
    <r>
      <rPr>
        <i/>
        <sz val="9"/>
        <rFont val="Calibri"/>
        <family val="2"/>
        <scheme val="minor"/>
      </rPr>
      <t>Embuscade</t>
    </r>
    <r>
      <rPr>
        <sz val="9"/>
        <rFont val="Calibri"/>
        <family val="2"/>
        <scheme val="minor"/>
      </rPr>
      <t xml:space="preserve"> à </t>
    </r>
    <r>
      <rPr>
        <i/>
        <sz val="9"/>
        <rFont val="Calibri"/>
        <family val="2"/>
        <scheme val="minor"/>
      </rPr>
      <t>Chasse</t>
    </r>
    <r>
      <rPr>
        <sz val="9"/>
        <rFont val="Calibri"/>
        <family val="2"/>
        <scheme val="minor"/>
      </rPr>
      <t xml:space="preserve"> </t>
    </r>
  </si>
  <si>
    <r>
      <t>Maniaque sexuel</t>
    </r>
    <r>
      <rPr>
        <sz val="9"/>
        <rFont val="Calibri"/>
        <family val="2"/>
        <scheme val="minor"/>
      </rPr>
      <t xml:space="preserve"> – recherche le sexe partout : C, </t>
    </r>
    <r>
      <rPr>
        <i/>
        <sz val="9"/>
        <rFont val="Calibri"/>
        <family val="2"/>
        <scheme val="minor"/>
      </rPr>
      <t>Religion, Résilience</t>
    </r>
    <r>
      <rPr>
        <sz val="9"/>
        <rFont val="Calibri"/>
        <family val="2"/>
        <scheme val="minor"/>
      </rPr>
      <t xml:space="preserve"> </t>
    </r>
    <r>
      <rPr>
        <b/>
        <sz val="9"/>
        <rFont val="Calibri"/>
        <family val="2"/>
        <scheme val="minor"/>
      </rPr>
      <t>bonus</t>
    </r>
    <r>
      <rPr>
        <sz val="9"/>
        <rFont val="Calibri"/>
        <family val="2"/>
        <scheme val="minor"/>
      </rPr>
      <t xml:space="preserve"> V, </t>
    </r>
    <r>
      <rPr>
        <i/>
        <sz val="9"/>
        <rFont val="Calibri"/>
        <family val="2"/>
        <scheme val="minor"/>
      </rPr>
      <t>Sexe, Acrobatie</t>
    </r>
  </si>
  <si>
    <r>
      <t xml:space="preserve">ombre de la nuit : bonus +20 à </t>
    </r>
    <r>
      <rPr>
        <i/>
        <sz val="9"/>
        <rFont val="Calibri"/>
        <family val="2"/>
        <scheme val="minor"/>
      </rPr>
      <t>Dissimulation</t>
    </r>
    <r>
      <rPr>
        <sz val="9"/>
        <rFont val="Calibri"/>
        <family val="2"/>
        <scheme val="minor"/>
      </rPr>
      <t xml:space="preserve">, </t>
    </r>
    <r>
      <rPr>
        <i/>
        <sz val="9"/>
        <rFont val="Calibri"/>
        <family val="2"/>
        <scheme val="minor"/>
      </rPr>
      <t>Assassinat</t>
    </r>
    <r>
      <rPr>
        <sz val="9"/>
        <rFont val="Calibri"/>
        <family val="2"/>
        <scheme val="minor"/>
      </rPr>
      <t xml:space="preserve">, </t>
    </r>
    <r>
      <rPr>
        <i/>
        <sz val="9"/>
        <rFont val="Calibri"/>
        <family val="2"/>
        <scheme val="minor"/>
      </rPr>
      <t>Vol</t>
    </r>
    <r>
      <rPr>
        <sz val="9"/>
        <rFont val="Calibri"/>
        <family val="2"/>
        <scheme val="minor"/>
      </rPr>
      <t xml:space="preserve">, </t>
    </r>
    <r>
      <rPr>
        <i/>
        <sz val="9"/>
        <rFont val="Calibri"/>
        <family val="2"/>
        <scheme val="minor"/>
      </rPr>
      <t>Embuscade</t>
    </r>
    <r>
      <rPr>
        <sz val="9"/>
        <rFont val="Calibri"/>
        <family val="2"/>
        <scheme val="minor"/>
      </rPr>
      <t>, pas de bruit en se déplaçant</t>
    </r>
  </si>
  <si>
    <r>
      <t>Sitiophobie/anorexie</t>
    </r>
    <r>
      <rPr>
        <sz val="9"/>
        <rFont val="Calibri"/>
        <family val="2"/>
        <scheme val="minor"/>
      </rPr>
      <t xml:space="preserve"> – peur de manger/nourriture : C, Ap, poids et PdN nécessaires -Modx10%, </t>
    </r>
  </si>
  <si>
    <r>
      <t>Somnambulisme</t>
    </r>
    <r>
      <rPr>
        <sz val="9"/>
        <rFont val="Calibri"/>
        <family val="2"/>
        <scheme val="minor"/>
      </rPr>
      <t xml:space="preserve"> – circule la nuit : En, </t>
    </r>
    <r>
      <rPr>
        <i/>
        <sz val="9"/>
        <rFont val="Calibri"/>
        <family val="2"/>
        <scheme val="minor"/>
      </rPr>
      <t>Survie</t>
    </r>
    <r>
      <rPr>
        <sz val="9"/>
        <rFont val="Calibri"/>
        <family val="2"/>
        <scheme val="minor"/>
      </rPr>
      <t xml:space="preserve"> </t>
    </r>
    <r>
      <rPr>
        <b/>
        <sz val="9"/>
        <rFont val="Calibri"/>
        <family val="2"/>
        <scheme val="minor"/>
      </rPr>
      <t>bonus</t>
    </r>
    <r>
      <rPr>
        <sz val="9"/>
        <rFont val="Calibri"/>
        <family val="2"/>
        <scheme val="minor"/>
      </rPr>
      <t xml:space="preserve"> Vue, Ouïe</t>
    </r>
  </si>
  <si>
    <r>
      <t>Thanatophobie</t>
    </r>
    <r>
      <rPr>
        <sz val="9"/>
        <rFont val="Calibri"/>
        <family val="2"/>
        <scheme val="minor"/>
      </rPr>
      <t xml:space="preserve"> – peur de la mort : V, CPA TC, </t>
    </r>
    <r>
      <rPr>
        <b/>
        <sz val="9"/>
        <rFont val="Calibri"/>
        <family val="2"/>
        <scheme val="minor"/>
      </rPr>
      <t>bonus</t>
    </r>
    <r>
      <rPr>
        <sz val="9"/>
        <rFont val="Calibri"/>
        <family val="2"/>
        <scheme val="minor"/>
      </rPr>
      <t xml:space="preserve"> Foi, </t>
    </r>
    <r>
      <rPr>
        <i/>
        <sz val="9"/>
        <rFont val="Calibri"/>
        <family val="2"/>
        <scheme val="minor"/>
      </rPr>
      <t>Religion</t>
    </r>
  </si>
  <si>
    <r>
      <t xml:space="preserve">réflexes : bonus +15 à </t>
    </r>
    <r>
      <rPr>
        <i/>
        <sz val="9"/>
        <rFont val="Calibri"/>
        <family val="2"/>
        <scheme val="minor"/>
      </rPr>
      <t xml:space="preserve">Art du combat </t>
    </r>
    <r>
      <rPr>
        <sz val="9"/>
        <rFont val="Calibri"/>
        <family val="2"/>
        <scheme val="minor"/>
      </rPr>
      <t xml:space="preserve">et </t>
    </r>
    <r>
      <rPr>
        <i/>
        <sz val="9"/>
        <rFont val="Calibri"/>
        <family val="2"/>
        <scheme val="minor"/>
      </rPr>
      <t>Esquive</t>
    </r>
    <r>
      <rPr>
        <sz val="9"/>
        <rFont val="Calibri"/>
        <family val="2"/>
        <scheme val="minor"/>
      </rPr>
      <t>, VO+5 et VD+10</t>
    </r>
  </si>
  <si>
    <r>
      <t>Théophobie</t>
    </r>
    <r>
      <rPr>
        <sz val="9"/>
        <rFont val="Calibri"/>
        <family val="2"/>
        <scheme val="minor"/>
      </rPr>
      <t xml:space="preserve"> – peur du divin : V, Em, </t>
    </r>
    <r>
      <rPr>
        <i/>
        <sz val="9"/>
        <rFont val="Calibri"/>
        <family val="2"/>
        <scheme val="minor"/>
      </rPr>
      <t>Magie,</t>
    </r>
    <r>
      <rPr>
        <sz val="9"/>
        <rFont val="Calibri"/>
        <family val="2"/>
        <scheme val="minor"/>
      </rPr>
      <t xml:space="preserve"> Foi </t>
    </r>
  </si>
  <si>
    <r>
      <t>Toxicophobie</t>
    </r>
    <r>
      <rPr>
        <sz val="9"/>
        <rFont val="Calibri"/>
        <family val="2"/>
        <scheme val="minor"/>
      </rPr>
      <t xml:space="preserve"> – peur du poison : C, Goût, </t>
    </r>
    <r>
      <rPr>
        <i/>
        <sz val="9"/>
        <rFont val="Calibri"/>
        <family val="2"/>
        <scheme val="minor"/>
      </rPr>
      <t>Alchimie, Poison</t>
    </r>
  </si>
  <si>
    <r>
      <t>Tempérament violent</t>
    </r>
    <r>
      <rPr>
        <sz val="9"/>
        <rFont val="Calibri"/>
        <family val="2"/>
        <scheme val="minor"/>
      </rPr>
      <t xml:space="preserve"> : I, Em, </t>
    </r>
    <r>
      <rPr>
        <b/>
        <sz val="9"/>
        <rFont val="Calibri"/>
        <family val="2"/>
        <scheme val="minor"/>
      </rPr>
      <t>bonus</t>
    </r>
    <r>
      <rPr>
        <sz val="9"/>
        <rFont val="Calibri"/>
        <family val="2"/>
        <scheme val="minor"/>
      </rPr>
      <t xml:space="preserve"> F, V, </t>
    </r>
    <r>
      <rPr>
        <i/>
        <sz val="9"/>
        <rFont val="Calibri"/>
        <family val="2"/>
        <scheme val="minor"/>
      </rPr>
      <t xml:space="preserve">Mêlée, </t>
    </r>
    <r>
      <rPr>
        <sz val="9"/>
        <rFont val="Calibri"/>
        <family val="2"/>
        <scheme val="minor"/>
      </rPr>
      <t>Moral</t>
    </r>
  </si>
  <si>
    <r>
      <t>Xénophobie</t>
    </r>
    <r>
      <rPr>
        <sz val="9"/>
        <rFont val="Calibri"/>
        <family val="2"/>
        <scheme val="minor"/>
      </rPr>
      <t xml:space="preserve"> – peur des étrangers : I, Em, CPA </t>
    </r>
    <r>
      <rPr>
        <i/>
        <sz val="9"/>
        <rFont val="Calibri"/>
        <family val="2"/>
        <scheme val="minor"/>
      </rPr>
      <t>Langue</t>
    </r>
  </si>
  <si>
    <r>
      <t>Yaelphobie</t>
    </r>
    <r>
      <rPr>
        <sz val="9"/>
        <rFont val="Calibri"/>
        <family val="2"/>
        <scheme val="minor"/>
      </rPr>
      <t xml:space="preserve"> – peur de la lune : V, </t>
    </r>
    <r>
      <rPr>
        <i/>
        <sz val="9"/>
        <rFont val="Calibri"/>
        <family val="2"/>
        <scheme val="minor"/>
      </rPr>
      <t>Astrologie, Langue non-humaine, S(Monde Ancien),</t>
    </r>
    <r>
      <rPr>
        <sz val="9"/>
        <rFont val="Calibri"/>
        <family val="2"/>
        <scheme val="minor"/>
      </rPr>
      <t>Foi</t>
    </r>
  </si>
  <si>
    <r>
      <t>Zoophobie</t>
    </r>
    <r>
      <rPr>
        <sz val="9"/>
        <rFont val="Calibri"/>
        <family val="2"/>
        <scheme val="minor"/>
      </rPr>
      <t xml:space="preserve"> – peur des animaux : V, Em, </t>
    </r>
    <r>
      <rPr>
        <i/>
        <sz val="9"/>
        <rFont val="Calibri"/>
        <family val="2"/>
        <scheme val="minor"/>
      </rPr>
      <t>Elevage, Cavalerie, Convoyage, Equarrissage, Pêche</t>
    </r>
  </si>
  <si>
    <r>
      <t>Multiple</t>
    </r>
    <r>
      <rPr>
        <sz val="9"/>
        <rFont val="Calibri"/>
        <family val="2"/>
        <scheme val="minor"/>
      </rPr>
      <t> : relancez deux fois sur la table, un nouveau ‘65’ ne donne aucun effet</t>
    </r>
  </si>
  <si>
    <r>
      <t xml:space="preserve">Rien mais </t>
    </r>
    <r>
      <rPr>
        <b/>
        <sz val="9"/>
        <rFont val="Calibri"/>
        <family val="2"/>
        <scheme val="minor"/>
      </rPr>
      <t>RMa-1</t>
    </r>
  </si>
  <si>
    <r>
      <t xml:space="preserve">Pédophilie </t>
    </r>
    <r>
      <rPr>
        <sz val="9"/>
        <rFont val="Calibri"/>
        <family val="2"/>
        <scheme val="minor"/>
      </rPr>
      <t xml:space="preserve">– relations avec des mineurs : Em, </t>
    </r>
    <r>
      <rPr>
        <b/>
        <sz val="9"/>
        <rFont val="Calibri"/>
        <family val="2"/>
        <scheme val="minor"/>
      </rPr>
      <t>bonus</t>
    </r>
    <r>
      <rPr>
        <sz val="9"/>
        <rFont val="Calibri"/>
        <family val="2"/>
        <scheme val="minor"/>
      </rPr>
      <t xml:space="preserve"> Ap, </t>
    </r>
    <r>
      <rPr>
        <i/>
        <sz val="9"/>
        <rFont val="Calibri"/>
        <family val="2"/>
        <scheme val="minor"/>
      </rPr>
      <t>Torture, Intrigue</t>
    </r>
    <r>
      <rPr>
        <sz val="9"/>
        <rFont val="Calibri"/>
        <family val="2"/>
        <scheme val="minor"/>
      </rPr>
      <t xml:space="preserve"> </t>
    </r>
  </si>
  <si>
    <r>
      <t xml:space="preserve">souplesse extrême : MVp + 20%, bonus +20 à </t>
    </r>
    <r>
      <rPr>
        <i/>
        <sz val="9"/>
        <rFont val="Calibri"/>
        <family val="2"/>
        <scheme val="minor"/>
      </rPr>
      <t>Acrobatie</t>
    </r>
    <r>
      <rPr>
        <sz val="9"/>
        <rFont val="Calibri"/>
        <family val="2"/>
        <scheme val="minor"/>
      </rPr>
      <t xml:space="preserve">, </t>
    </r>
    <r>
      <rPr>
        <i/>
        <sz val="9"/>
        <rFont val="Calibri"/>
        <family val="2"/>
        <scheme val="minor"/>
      </rPr>
      <t>Escalade</t>
    </r>
    <r>
      <rPr>
        <sz val="9"/>
        <rFont val="Calibri"/>
        <family val="2"/>
        <scheme val="minor"/>
      </rPr>
      <t xml:space="preserve"> et </t>
    </r>
    <r>
      <rPr>
        <i/>
        <sz val="9"/>
        <rFont val="Calibri"/>
        <family val="2"/>
        <scheme val="minor"/>
      </rPr>
      <t>Esquive, Défense</t>
    </r>
  </si>
  <si>
    <r>
      <t>Zoophilie</t>
    </r>
    <r>
      <rPr>
        <sz val="9"/>
        <rFont val="Calibri"/>
        <family val="2"/>
        <scheme val="minor"/>
      </rPr>
      <t>– relations avec des animaux :   Ap, C</t>
    </r>
    <r>
      <rPr>
        <i/>
        <sz val="9"/>
        <rFont val="Calibri"/>
        <family val="2"/>
        <scheme val="minor"/>
      </rPr>
      <t>, Religion, Sexe</t>
    </r>
    <r>
      <rPr>
        <sz val="9"/>
        <rFont val="Calibri"/>
        <family val="2"/>
        <scheme val="minor"/>
      </rPr>
      <t xml:space="preserve"> </t>
    </r>
    <r>
      <rPr>
        <b/>
        <sz val="9"/>
        <rFont val="Calibri"/>
        <family val="2"/>
        <scheme val="minor"/>
      </rPr>
      <t>bonus</t>
    </r>
    <r>
      <rPr>
        <sz val="9"/>
        <rFont val="Calibri"/>
        <family val="2"/>
        <scheme val="minor"/>
      </rPr>
      <t xml:space="preserve"> V, Em, </t>
    </r>
    <r>
      <rPr>
        <i/>
        <sz val="9"/>
        <rFont val="Calibri"/>
        <family val="2"/>
        <scheme val="minor"/>
      </rPr>
      <t>Elevage, Piste</t>
    </r>
  </si>
  <si>
    <r>
      <t xml:space="preserve">tacticien : bonus +25 à </t>
    </r>
    <r>
      <rPr>
        <i/>
        <sz val="9"/>
        <rFont val="Calibri"/>
        <family val="2"/>
        <scheme val="minor"/>
      </rPr>
      <t>Stratégie</t>
    </r>
    <r>
      <rPr>
        <sz val="9"/>
        <rFont val="Calibri"/>
        <family val="2"/>
        <scheme val="minor"/>
      </rPr>
      <t xml:space="preserve">, </t>
    </r>
    <r>
      <rPr>
        <i/>
        <sz val="9"/>
        <rFont val="Calibri"/>
        <family val="2"/>
        <scheme val="minor"/>
      </rPr>
      <t>Fuite, Attaque</t>
    </r>
  </si>
  <si>
    <r>
      <t>Fo</t>
    </r>
    <r>
      <rPr>
        <sz val="9"/>
        <color theme="1"/>
        <rFont val="Calibri"/>
        <family val="2"/>
        <scheme val="minor"/>
      </rPr>
      <t>rce</t>
    </r>
  </si>
  <si>
    <r>
      <t>Nécrophilie</t>
    </r>
    <r>
      <rPr>
        <sz val="9"/>
        <rFont val="Calibri"/>
        <family val="2"/>
        <scheme val="minor"/>
      </rPr>
      <t xml:space="preserve">– relations avec des cadavres :  C,  Em, </t>
    </r>
    <r>
      <rPr>
        <i/>
        <sz val="9"/>
        <rFont val="Calibri"/>
        <family val="2"/>
        <scheme val="minor"/>
      </rPr>
      <t>Religion, Intrigue</t>
    </r>
    <r>
      <rPr>
        <sz val="9"/>
        <rFont val="Calibri"/>
        <family val="2"/>
        <scheme val="minor"/>
      </rPr>
      <t xml:space="preserve"> </t>
    </r>
    <r>
      <rPr>
        <b/>
        <sz val="9"/>
        <rFont val="Calibri"/>
        <family val="2"/>
        <scheme val="minor"/>
      </rPr>
      <t xml:space="preserve">bonus </t>
    </r>
    <r>
      <rPr>
        <sz val="9"/>
        <rFont val="Calibri"/>
        <family val="2"/>
        <scheme val="minor"/>
      </rPr>
      <t xml:space="preserve">V, </t>
    </r>
    <r>
      <rPr>
        <i/>
        <sz val="9"/>
        <rFont val="Calibri"/>
        <family val="2"/>
        <scheme val="minor"/>
      </rPr>
      <t>Médecin</t>
    </r>
    <r>
      <rPr>
        <sz val="9"/>
        <rFont val="Calibri"/>
        <family val="2"/>
        <scheme val="minor"/>
      </rPr>
      <t>e</t>
    </r>
  </si>
  <si>
    <r>
      <t>E</t>
    </r>
    <r>
      <rPr>
        <sz val="9"/>
        <color theme="1"/>
        <rFont val="Calibri"/>
        <family val="2"/>
        <scheme val="minor"/>
      </rPr>
      <t>ndurance</t>
    </r>
  </si>
  <si>
    <r>
      <t>Scatologie</t>
    </r>
    <r>
      <rPr>
        <sz val="9"/>
        <rFont val="Calibri"/>
        <family val="2"/>
        <scheme val="minor"/>
      </rPr>
      <t xml:space="preserve">– passions pour les matières fécales :   En, C, Ap, </t>
    </r>
    <r>
      <rPr>
        <b/>
        <sz val="9"/>
        <rFont val="Calibri"/>
        <family val="2"/>
        <scheme val="minor"/>
      </rPr>
      <t>bonus</t>
    </r>
    <r>
      <rPr>
        <sz val="9"/>
        <rFont val="Calibri"/>
        <family val="2"/>
        <scheme val="minor"/>
      </rPr>
      <t xml:space="preserve"> </t>
    </r>
    <r>
      <rPr>
        <i/>
        <sz val="9"/>
        <rFont val="Calibri"/>
        <family val="2"/>
        <scheme val="minor"/>
      </rPr>
      <t>Poison, Résilience, Alchimie</t>
    </r>
  </si>
  <si>
    <r>
      <t>D</t>
    </r>
    <r>
      <rPr>
        <sz val="9"/>
        <color theme="1"/>
        <rFont val="Calibri"/>
        <family val="2"/>
        <scheme val="minor"/>
      </rPr>
      <t>extérité</t>
    </r>
  </si>
  <si>
    <r>
      <t>A</t>
    </r>
    <r>
      <rPr>
        <sz val="9"/>
        <color theme="1"/>
        <rFont val="Calibri"/>
        <family val="2"/>
        <scheme val="minor"/>
      </rPr>
      <t>gilité</t>
    </r>
  </si>
  <si>
    <r>
      <t>I</t>
    </r>
    <r>
      <rPr>
        <sz val="9"/>
        <color theme="1"/>
        <rFont val="Calibri"/>
        <family val="2"/>
        <scheme val="minor"/>
      </rPr>
      <t>ntelligence</t>
    </r>
  </si>
  <si>
    <r>
      <t>V</t>
    </r>
    <r>
      <rPr>
        <sz val="9"/>
        <color theme="1"/>
        <rFont val="Calibri"/>
        <family val="2"/>
        <scheme val="minor"/>
      </rPr>
      <t>olonté</t>
    </r>
  </si>
  <si>
    <r>
      <t>E</t>
    </r>
    <r>
      <rPr>
        <sz val="9"/>
        <color theme="1"/>
        <rFont val="Calibri"/>
        <family val="2"/>
        <scheme val="minor"/>
      </rPr>
      <t>loquence</t>
    </r>
  </si>
  <si>
    <r>
      <t>Em</t>
    </r>
    <r>
      <rPr>
        <sz val="9"/>
        <color theme="1"/>
        <rFont val="Calibri"/>
        <family val="2"/>
        <scheme val="minor"/>
      </rPr>
      <t>pathie</t>
    </r>
  </si>
  <si>
    <r>
      <t>C</t>
    </r>
    <r>
      <rPr>
        <sz val="9"/>
        <color theme="1"/>
        <rFont val="Calibri"/>
        <family val="2"/>
        <scheme val="minor"/>
      </rPr>
      <t>onstitution</t>
    </r>
  </si>
  <si>
    <r>
      <t>Ap</t>
    </r>
    <r>
      <rPr>
        <sz val="9"/>
        <color theme="1"/>
        <rFont val="Calibri"/>
        <family val="2"/>
        <scheme val="minor"/>
      </rPr>
      <t>parence</t>
    </r>
  </si>
  <si>
    <t>Perso Magicien ?</t>
  </si>
  <si>
    <t>Coût Magie x2 ou x3</t>
  </si>
  <si>
    <t>equ</t>
  </si>
  <si>
    <t>Sop</t>
  </si>
  <si>
    <t>fat</t>
  </si>
  <si>
    <t>pou</t>
  </si>
  <si>
    <t>rob</t>
  </si>
  <si>
    <t>mem</t>
  </si>
  <si>
    <t>rai</t>
  </si>
  <si>
    <t>man</t>
  </si>
  <si>
    <t>car</t>
  </si>
  <si>
    <t>coo</t>
  </si>
  <si>
    <t>rap</t>
  </si>
  <si>
    <t>voi</t>
  </si>
  <si>
    <t>inu</t>
  </si>
  <si>
    <t>sop</t>
  </si>
  <si>
    <t>sou</t>
  </si>
  <si>
    <t>graph</t>
  </si>
  <si>
    <t>bea</t>
  </si>
  <si>
    <t>pui</t>
  </si>
  <si>
    <t>san</t>
  </si>
  <si>
    <t>res</t>
  </si>
  <si>
    <t xml:space="preserve">Gestion + </t>
  </si>
  <si>
    <t>Intrigue(Langue)</t>
  </si>
  <si>
    <t xml:space="preserve">Langue Divine + </t>
  </si>
  <si>
    <t xml:space="preserve">Langue non-humaine + </t>
  </si>
  <si>
    <t>Lang. Signes +</t>
  </si>
  <si>
    <t xml:space="preserve">Langue + </t>
  </si>
  <si>
    <t>Lecture +</t>
  </si>
  <si>
    <t xml:space="preserve">Lect lèvres + </t>
  </si>
  <si>
    <t>Musique + instru</t>
  </si>
  <si>
    <t>Diplomatie L</t>
  </si>
  <si>
    <t>Niveau1</t>
  </si>
  <si>
    <t>Niveau2</t>
  </si>
  <si>
    <t>Niveau3</t>
  </si>
  <si>
    <t>gra</t>
  </si>
  <si>
    <t>Survie+ Colline</t>
  </si>
  <si>
    <t>+Cours d'eau</t>
  </si>
  <si>
    <t>+Désert</t>
  </si>
  <si>
    <t>+Forêt</t>
  </si>
  <si>
    <t>+Marais/Jungle</t>
  </si>
  <si>
    <t>+Monde Ancien</t>
  </si>
  <si>
    <t>+Monde Divin</t>
  </si>
  <si>
    <t>+Montagne</t>
  </si>
  <si>
    <t>+Océan</t>
  </si>
  <si>
    <t>+Plaine</t>
  </si>
  <si>
    <t>+Souterrain/caverne</t>
  </si>
  <si>
    <t>+Steppe</t>
  </si>
  <si>
    <t>+Ville/ruine</t>
  </si>
  <si>
    <t>Baratinage L</t>
  </si>
  <si>
    <t>Recherche(domaine)</t>
  </si>
  <si>
    <t>Rhétorique L</t>
  </si>
  <si>
    <t>Niv0</t>
  </si>
  <si>
    <t>CPA</t>
  </si>
  <si>
    <t>Normal nat E-1</t>
  </si>
  <si>
    <t xml:space="preserve">Feuille de Personnage </t>
  </si>
  <si>
    <t>Signe Astral</t>
  </si>
  <si>
    <t>dYeux</t>
  </si>
  <si>
    <t>gpYeux</t>
  </si>
  <si>
    <t>Vert</t>
  </si>
  <si>
    <t>Bleu</t>
  </si>
  <si>
    <t>Bleu-gris</t>
  </si>
  <si>
    <t>Gris</t>
  </si>
  <si>
    <t>Noisette</t>
  </si>
  <si>
    <t>Brun-foncé</t>
  </si>
  <si>
    <t>Noir</t>
  </si>
  <si>
    <t>Caractéristiques</t>
  </si>
  <si>
    <t>Reste</t>
  </si>
  <si>
    <t>Talents de Combat</t>
  </si>
  <si>
    <t>Sens</t>
  </si>
  <si>
    <t>Points de Vie</t>
  </si>
  <si>
    <t>Résistance à la mort</t>
  </si>
  <si>
    <t>Valeur Offensive Neutre</t>
  </si>
  <si>
    <t>Valeur Défensive Neutre</t>
  </si>
  <si>
    <t>Vitesse de frappe</t>
  </si>
  <si>
    <t>Moral  en combat</t>
  </si>
  <si>
    <t>Niveau d'expérience au combat</t>
  </si>
  <si>
    <t>Niveau d'expérience en magie</t>
  </si>
  <si>
    <t>Résistance à la magie</t>
  </si>
  <si>
    <t>Points de Magie</t>
  </si>
  <si>
    <t>Régénération de points de magie</t>
  </si>
  <si>
    <t>Energie vitale</t>
  </si>
  <si>
    <t>Résistance au poison</t>
  </si>
  <si>
    <t>Talents généraux</t>
  </si>
  <si>
    <t>N0</t>
  </si>
  <si>
    <t>N1</t>
  </si>
  <si>
    <t>N2</t>
  </si>
  <si>
    <t>N3</t>
  </si>
  <si>
    <t>Corps &amp; Blessures</t>
  </si>
  <si>
    <t>Mouvement en mètres par phase</t>
  </si>
  <si>
    <t>Niveau</t>
  </si>
  <si>
    <t>Consommation de nourriture par jour</t>
  </si>
  <si>
    <t>Mouvement par heure en km/h</t>
  </si>
  <si>
    <t>Saut hauteur en mètre</t>
  </si>
  <si>
    <t>Saut longueur en mètre</t>
  </si>
  <si>
    <t>Influencer %</t>
  </si>
  <si>
    <t>Détection de magie %</t>
  </si>
  <si>
    <t>Attaque magique %</t>
  </si>
  <si>
    <t>Chance de Soin %</t>
  </si>
  <si>
    <t>Armures</t>
  </si>
  <si>
    <t>Fatigue</t>
  </si>
  <si>
    <t>Drogues</t>
  </si>
  <si>
    <t>Energie perdue</t>
  </si>
  <si>
    <t>Famine</t>
  </si>
  <si>
    <t>Essoufflement</t>
  </si>
  <si>
    <t>Malus de combat</t>
  </si>
  <si>
    <t>Encombrement</t>
  </si>
  <si>
    <t>Points de nourriture</t>
  </si>
  <si>
    <t>Effets divers</t>
  </si>
  <si>
    <t>Sous</t>
  </si>
  <si>
    <t>Autres</t>
  </si>
  <si>
    <t>Porter  kg</t>
  </si>
  <si>
    <t>Tirer  kg</t>
  </si>
  <si>
    <t>Soulever  kg</t>
  </si>
  <si>
    <t>Dés</t>
  </si>
  <si>
    <t>Coût</t>
  </si>
  <si>
    <t>Effets de la Charge portée</t>
  </si>
  <si>
    <t xml:space="preserve">PNJ </t>
  </si>
  <si>
    <t>tuer ceux qui ne sont pas de son peupl, aller en mêlée, blesser le plus possible, se sacrifier en tuant</t>
  </si>
  <si>
    <t>xx ans</t>
  </si>
  <si>
    <t>Sel'Kaf</t>
  </si>
  <si>
    <t>165cm 55kg</t>
  </si>
  <si>
    <t>habits selon la cible</t>
  </si>
  <si>
    <t>peau sombre à bronzée</t>
  </si>
  <si>
    <t>dague 60, dissimulation 50, survie 50, piste/traque 40</t>
  </si>
  <si>
    <t>pouvoir Mascarade 3/3, 10 fois par jour, durée 30 min à chaque fois</t>
  </si>
  <si>
    <t>Th</t>
  </si>
  <si>
    <t>T/B/J</t>
  </si>
  <si>
    <t>M/P</t>
  </si>
  <si>
    <t>5 ou 2</t>
  </si>
  <si>
    <t>2 x tentacule +2</t>
  </si>
  <si>
    <t>2D10</t>
  </si>
  <si>
    <t>net</t>
  </si>
  <si>
    <t>Mul</t>
  </si>
  <si>
    <t>Budget</t>
  </si>
  <si>
    <t>Carac</t>
  </si>
  <si>
    <t>Rich</t>
  </si>
  <si>
    <t>mul</t>
  </si>
  <si>
    <t>dé</t>
  </si>
  <si>
    <t>variation du courant</t>
  </si>
  <si>
    <t>ExT</t>
  </si>
  <si>
    <t>dés</t>
  </si>
  <si>
    <t>totdé</t>
  </si>
  <si>
    <t>&gt;&gt;</t>
  </si>
  <si>
    <t>fréquent</t>
  </si>
  <si>
    <t>régulier</t>
  </si>
  <si>
    <t>peu</t>
  </si>
  <si>
    <t>faune</t>
  </si>
  <si>
    <t>minéral</t>
  </si>
  <si>
    <t>TRED100</t>
  </si>
  <si>
    <t>TRED10</t>
  </si>
  <si>
    <t>TRED10S</t>
  </si>
  <si>
    <t>treArme</t>
  </si>
  <si>
    <t>treArmeCommune</t>
  </si>
  <si>
    <t>Lance Joute*</t>
  </si>
  <si>
    <t>Hache Hachette</t>
  </si>
  <si>
    <t>Épée De joute</t>
  </si>
  <si>
    <t>Fronde Normale</t>
  </si>
  <si>
    <t>Pique Javelot</t>
  </si>
  <si>
    <t>Pique Épieu</t>
  </si>
  <si>
    <t>Dague Lancée</t>
  </si>
  <si>
    <t>Divers Fouet</t>
  </si>
  <si>
    <t>Hache De métier</t>
  </si>
  <si>
    <t>Lance Porte-fanon</t>
  </si>
  <si>
    <t xml:space="preserve">Hache Lancée </t>
  </si>
  <si>
    <t>Épée Courte</t>
  </si>
  <si>
    <t>Lance Lance d’arrêt</t>
  </si>
  <si>
    <t>Dague De parade</t>
  </si>
  <si>
    <t>Pique Pieu de bois</t>
  </si>
  <si>
    <t>Dague De plat</t>
  </si>
  <si>
    <t>Lance De chasse</t>
  </si>
  <si>
    <t>Fronde Grande</t>
  </si>
  <si>
    <t>Pique Vouge</t>
  </si>
  <si>
    <t>Divers Boule</t>
  </si>
  <si>
    <t>Dague Stylet</t>
  </si>
  <si>
    <t>Lance Salance</t>
  </si>
  <si>
    <t>Masse Fléau</t>
  </si>
  <si>
    <t>Arc Court</t>
  </si>
  <si>
    <t>Lance Annoblie</t>
  </si>
  <si>
    <t>Lance Faux</t>
  </si>
  <si>
    <t>Masse Plombée</t>
  </si>
  <si>
    <t>Épée De côté/d’arme</t>
  </si>
  <si>
    <t>Hache À bois</t>
  </si>
  <si>
    <t>Divers Croche</t>
  </si>
  <si>
    <t>Masse Massue</t>
  </si>
  <si>
    <t>Pique Pieu Ferré</t>
  </si>
  <si>
    <t>Mêlée Poing</t>
  </si>
  <si>
    <t>Pique Pique</t>
  </si>
  <si>
    <t>Arc Normal</t>
  </si>
  <si>
    <t>Dague Large</t>
  </si>
  <si>
    <t>Épée Taillée</t>
  </si>
  <si>
    <t>Masse Homar</t>
  </si>
  <si>
    <t>Masse Maton</t>
  </si>
  <si>
    <t>Hache De coupe/à main</t>
  </si>
  <si>
    <t>treArmeRare</t>
  </si>
  <si>
    <t>Masse Martel de fer</t>
  </si>
  <si>
    <t>Dague Miséricorde</t>
  </si>
  <si>
    <t>Épée Glaive</t>
  </si>
  <si>
    <t>Masse D’empal</t>
  </si>
  <si>
    <t>Masse Marteau</t>
  </si>
  <si>
    <t>Arc Grand</t>
  </si>
  <si>
    <t>Masse Thalib</t>
  </si>
  <si>
    <t>Épée Longue</t>
  </si>
  <si>
    <t>Hache Hast</t>
  </si>
  <si>
    <t>Arbalète À main</t>
  </si>
  <si>
    <t>Arc Composite</t>
  </si>
  <si>
    <t>Épée Large</t>
  </si>
  <si>
    <t>Épée D'estoc</t>
  </si>
  <si>
    <t>Hache De guerre/bataille</t>
  </si>
  <si>
    <t>Lance Bipique</t>
  </si>
  <si>
    <t>Masse D'arme</t>
  </si>
  <si>
    <t>Pique Granpique</t>
  </si>
  <si>
    <t>Lance Lance</t>
  </si>
  <si>
    <t>Masse Hercules</t>
  </si>
  <si>
    <t>Arbalète à pied</t>
  </si>
  <si>
    <t>Masse Plomée</t>
  </si>
  <si>
    <t>Masse À pointe</t>
  </si>
  <si>
    <t>Dague Goled</t>
  </si>
  <si>
    <t>Épée Cimeterre</t>
  </si>
  <si>
    <t>Pique Guisarme</t>
  </si>
  <si>
    <t>Épée Bâtarde</t>
  </si>
  <si>
    <t>Arbalète A répétition</t>
  </si>
  <si>
    <t>Masse Marle</t>
  </si>
  <si>
    <t>Masse Lucerne</t>
  </si>
  <si>
    <t>Masse Noble</t>
  </si>
  <si>
    <t>Masse Maspic</t>
  </si>
  <si>
    <t>Hache Hache-pique</t>
  </si>
  <si>
    <t>Hache Grande à 2 mains</t>
  </si>
  <si>
    <t>Arbalète Grande</t>
  </si>
  <si>
    <t>Épée Grande</t>
  </si>
  <si>
    <t>Lance Granlance</t>
  </si>
  <si>
    <t>Hache Des monts</t>
  </si>
  <si>
    <t>Siège Baliste ²</t>
  </si>
  <si>
    <t>Siège Catapulte²</t>
  </si>
  <si>
    <t>Siège Trébuchet ²</t>
  </si>
  <si>
    <t>Fourreau/Carquois</t>
  </si>
  <si>
    <t>Munitions d’arme de jet</t>
  </si>
  <si>
    <t>Parement : V+50</t>
  </si>
  <si>
    <t xml:space="preserve">Arme d’apparat : V+100 </t>
  </si>
  <si>
    <t>Instrument de musique</t>
  </si>
  <si>
    <t>Transport d’arme</t>
  </si>
  <si>
    <t>Entretien d’arme</t>
  </si>
  <si>
    <t>Outils de camp</t>
  </si>
  <si>
    <t xml:space="preserve">Râtelier </t>
  </si>
  <si>
    <t>Arme non-humaine²</t>
  </si>
  <si>
    <t>treEquipement</t>
  </si>
  <si>
    <t>Deux modifications sans bonus²</t>
  </si>
  <si>
    <t>Une modification sans bonus²</t>
  </si>
  <si>
    <t>Une modification NE40 ²</t>
  </si>
  <si>
    <t>Une modification NE80 ²</t>
  </si>
  <si>
    <t>Coup-1 Vitesse+25% R-25%</t>
  </si>
  <si>
    <t>Coup+1 Vitesse/2 R+25%</t>
  </si>
  <si>
    <t>1D10* modifications²</t>
  </si>
  <si>
    <t>V-50</t>
  </si>
  <si>
    <t>V-25</t>
  </si>
  <si>
    <t>V+50</t>
  </si>
  <si>
    <t>V+100</t>
  </si>
  <si>
    <t>V-10</t>
  </si>
  <si>
    <t>V+25</t>
  </si>
  <si>
    <t>Q -</t>
  </si>
  <si>
    <t>Q- -</t>
  </si>
  <si>
    <t>Q+</t>
  </si>
  <si>
    <t>Q++</t>
  </si>
  <si>
    <t>Très petite</t>
  </si>
  <si>
    <t>Spéciale</t>
  </si>
  <si>
    <t>Commune</t>
  </si>
  <si>
    <t>Commune + équipement</t>
  </si>
  <si>
    <t>Rare</t>
  </si>
  <si>
    <t>Rare + équipement</t>
  </si>
  <si>
    <t>treArmure</t>
  </si>
  <si>
    <t>Vêtement épais</t>
  </si>
  <si>
    <t>Matériel d’entretien</t>
  </si>
  <si>
    <t>Pièce décorative</t>
  </si>
  <si>
    <t>Gros tissu à cuir</t>
  </si>
  <si>
    <t>Bouclier à main</t>
  </si>
  <si>
    <t>Gambison</t>
  </si>
  <si>
    <t>Surcot</t>
  </si>
  <si>
    <t>Emblème</t>
  </si>
  <si>
    <t>Uniforme</t>
  </si>
  <si>
    <t>Cuir souple</t>
  </si>
  <si>
    <t>Pièces d’armure</t>
  </si>
  <si>
    <t>Drapeau</t>
  </si>
  <si>
    <t>Cuir bouilli</t>
  </si>
  <si>
    <t>Peaubois(ELIANOR)</t>
  </si>
  <si>
    <t>Cuir clouté</t>
  </si>
  <si>
    <t>Salade</t>
  </si>
  <si>
    <t>Rondache</t>
  </si>
  <si>
    <t>Long bras(EROHLT)</t>
  </si>
  <si>
    <t>Broigne</t>
  </si>
  <si>
    <t>Autre casque</t>
  </si>
  <si>
    <t>Hérisson(SHREKVAS)</t>
  </si>
  <si>
    <t>Nasal</t>
  </si>
  <si>
    <t>Arm. d’os(GLIJOS)</t>
  </si>
  <si>
    <t>Maille légère</t>
  </si>
  <si>
    <t>Écu</t>
  </si>
  <si>
    <t>Mélange</t>
  </si>
  <si>
    <t>Maille renforcée</t>
  </si>
  <si>
    <t>Heaume</t>
  </si>
  <si>
    <r>
      <t>Armure étrangère</t>
    </r>
    <r>
      <rPr>
        <vertAlign val="superscript"/>
        <sz val="8"/>
        <color rgb="FF000000"/>
        <rFont val="Verdana"/>
        <family val="2"/>
      </rPr>
      <t>1</t>
    </r>
  </si>
  <si>
    <t>Grand bouclier</t>
  </si>
  <si>
    <t>Grande maille</t>
  </si>
  <si>
    <t>Armure de chien</t>
  </si>
  <si>
    <t>Lamelles (1/zone)</t>
  </si>
  <si>
    <t>Armure autre animal</t>
  </si>
  <si>
    <t>Plaque</t>
  </si>
  <si>
    <t>Armure non-humaine³</t>
  </si>
  <si>
    <t>Plaque lourde</t>
  </si>
  <si>
    <t>Plate de tournoi</t>
  </si>
  <si>
    <t>Maille de cheval</t>
  </si>
  <si>
    <t>Plaque de cheval</t>
  </si>
  <si>
    <t xml:space="preserve">Collerette/Plastron/Coquille/Coudière/Genouillère </t>
  </si>
  <si>
    <t>(renfort T/Th/V/B/J) (d6)</t>
  </si>
  <si>
    <t>Casque (T)</t>
  </si>
  <si>
    <t xml:space="preserve">Gants (M) </t>
  </si>
  <si>
    <t>Chausses (J)</t>
  </si>
  <si>
    <t>Bottes (P)</t>
  </si>
  <si>
    <t>Plastron (Th)</t>
  </si>
  <si>
    <t>Chemise (Th+V)</t>
  </si>
  <si>
    <t>Haubert (Th+V+B)</t>
  </si>
  <si>
    <t>Grand Haubert (Th+V+B+J)</t>
  </si>
  <si>
    <t>Complète (toutes les zones)</t>
  </si>
  <si>
    <t>trePärtieHum</t>
  </si>
  <si>
    <t>Collier/Laisse/Harnais/Selle</t>
  </si>
  <si>
    <t>(D10*)</t>
  </si>
  <si>
    <t>Tête</t>
  </si>
  <si>
    <t>Fers</t>
  </si>
  <si>
    <t>Pattes</t>
  </si>
  <si>
    <t>Plastron</t>
  </si>
  <si>
    <t>Plastron + flancs</t>
  </si>
  <si>
    <t>Complète</t>
  </si>
  <si>
    <t>trePartieAniCre</t>
  </si>
  <si>
    <t>Une modification²</t>
  </si>
  <si>
    <t>Deux modifications²</t>
  </si>
  <si>
    <t>Professionnel</t>
  </si>
  <si>
    <t>Vaisselle</t>
  </si>
  <si>
    <t>Fourrure</t>
  </si>
  <si>
    <t>Tapisserie</t>
  </si>
  <si>
    <t>Statue</t>
  </si>
  <si>
    <t>Œuvre d’art</t>
  </si>
  <si>
    <t>treDeArt</t>
  </si>
  <si>
    <t>treArt</t>
  </si>
  <si>
    <t>Art</t>
  </si>
  <si>
    <t>treNS</t>
  </si>
  <si>
    <t>treNSnom</t>
  </si>
  <si>
    <t>Outil principal</t>
  </si>
  <si>
    <t>Outil secondaire</t>
  </si>
  <si>
    <t>Matière première secondaire</t>
  </si>
  <si>
    <t>Matière première principale</t>
  </si>
  <si>
    <t>Habits de maître</t>
  </si>
  <si>
    <t>Marque d’appartenance</t>
  </si>
  <si>
    <t>Information scripturale précieuse</t>
  </si>
  <si>
    <t>trePro</t>
  </si>
  <si>
    <t>treOutil</t>
  </si>
  <si>
    <t>treDNS</t>
  </si>
  <si>
    <t>Brassard (Bras)</t>
  </si>
  <si>
    <t>Chausses (Jambes)</t>
  </si>
  <si>
    <t>Chaussures/Bottes (Pieds)</t>
  </si>
  <si>
    <t>Chemise (Thorax / Ventre)</t>
  </si>
  <si>
    <t>Complet (toutes les zones)</t>
  </si>
  <si>
    <t>Couvre-chef (Tête)</t>
  </si>
  <si>
    <t>Gants (Mains)</t>
  </si>
  <si>
    <t>Manches (Bras)</t>
  </si>
  <si>
    <t>Taille (Ventre)</t>
  </si>
  <si>
    <t>Lance 2 fois (relancez les ‘10’)</t>
  </si>
  <si>
    <t>Somme des VB</t>
  </si>
  <si>
    <t>treVetVB</t>
  </si>
  <si>
    <t>treVet</t>
  </si>
  <si>
    <t>Lin</t>
  </si>
  <si>
    <t>Daim</t>
  </si>
  <si>
    <t>Castor</t>
  </si>
  <si>
    <t>Hermine</t>
  </si>
  <si>
    <t>treDVet</t>
  </si>
  <si>
    <t>treVetV</t>
  </si>
  <si>
    <t>treVetMat</t>
  </si>
  <si>
    <t>Laine +10</t>
  </si>
  <si>
    <t>Cuir +50</t>
  </si>
  <si>
    <t>Serge -30</t>
  </si>
  <si>
    <t>Phoque +150</t>
  </si>
  <si>
    <t>Daim +200</t>
  </si>
  <si>
    <t>Roux +20</t>
  </si>
  <si>
    <t>Castor +100</t>
  </si>
  <si>
    <t>Hermine +250</t>
  </si>
  <si>
    <t>Soie +300</t>
  </si>
  <si>
    <t>Cruche</t>
  </si>
  <si>
    <t>D10x10</t>
  </si>
  <si>
    <t>Assiette</t>
  </si>
  <si>
    <t>D10x15</t>
  </si>
  <si>
    <t>Plat</t>
  </si>
  <si>
    <t>D10x12</t>
  </si>
  <si>
    <t>D10x5</t>
  </si>
  <si>
    <t>Chope</t>
  </si>
  <si>
    <t>D10x3</t>
  </si>
  <si>
    <t>Gobelet</t>
  </si>
  <si>
    <t>D10x8</t>
  </si>
  <si>
    <t>Couvert</t>
  </si>
  <si>
    <t>D10x20</t>
  </si>
  <si>
    <t>Poêle</t>
  </si>
  <si>
    <t>D10x30</t>
  </si>
  <si>
    <t>Marmite</t>
  </si>
  <si>
    <t>D10x40</t>
  </si>
  <si>
    <t>Bois pauvre</t>
  </si>
  <si>
    <t>/2</t>
  </si>
  <si>
    <t>x1</t>
  </si>
  <si>
    <t>Bois précieux</t>
  </si>
  <si>
    <t>x5</t>
  </si>
  <si>
    <t>Étain</t>
  </si>
  <si>
    <t>x10</t>
  </si>
  <si>
    <t>Bronze</t>
  </si>
  <si>
    <t>x20</t>
  </si>
  <si>
    <t>x30</t>
  </si>
  <si>
    <t>x40</t>
  </si>
  <si>
    <t>x50</t>
  </si>
  <si>
    <t>treVaisselle</t>
  </si>
  <si>
    <t>treVaiV</t>
  </si>
  <si>
    <t>treVaiMat</t>
  </si>
  <si>
    <t>treVaiMatVB</t>
  </si>
  <si>
    <t>Lapin</t>
  </si>
  <si>
    <t>Mouton</t>
  </si>
  <si>
    <t>Plumage</t>
  </si>
  <si>
    <t>Renard</t>
  </si>
  <si>
    <t>Hermine blanche</t>
  </si>
  <si>
    <t>Hermine tachetée</t>
  </si>
  <si>
    <t>Vison</t>
  </si>
  <si>
    <t>Cerf</t>
  </si>
  <si>
    <t>Animal rare</t>
  </si>
  <si>
    <t>Créature²</t>
  </si>
  <si>
    <t>treFouD</t>
  </si>
  <si>
    <t>treFourrure</t>
  </si>
  <si>
    <t>treFouVB</t>
  </si>
  <si>
    <t>Très Petite</t>
  </si>
  <si>
    <t>D10x10cm</t>
  </si>
  <si>
    <t xml:space="preserve">Petite </t>
  </si>
  <si>
    <t>D10x30cm</t>
  </si>
  <si>
    <t>D10x50cm</t>
  </si>
  <si>
    <t>D10x80cm</t>
  </si>
  <si>
    <t>Très Grande</t>
  </si>
  <si>
    <t>D10x100cm</t>
  </si>
  <si>
    <t>Nature</t>
  </si>
  <si>
    <t>Royal</t>
  </si>
  <si>
    <t xml:space="preserve">Personnage </t>
  </si>
  <si>
    <t>Monstre</t>
  </si>
  <si>
    <t>Bataille</t>
  </si>
  <si>
    <t>Magique</t>
  </si>
  <si>
    <t>treTap</t>
  </si>
  <si>
    <t>treTapVB</t>
  </si>
  <si>
    <t>+10</t>
  </si>
  <si>
    <t>+20</t>
  </si>
  <si>
    <t>+30</t>
  </si>
  <si>
    <t>Divinité</t>
  </si>
  <si>
    <t>Personnage</t>
  </si>
  <si>
    <t>Bâtiment</t>
  </si>
  <si>
    <t>Symbole</t>
  </si>
  <si>
    <t>Paysage</t>
  </si>
  <si>
    <t>Bois clair</t>
  </si>
  <si>
    <t>Bois commun</t>
  </si>
  <si>
    <t>Bois foncé</t>
  </si>
  <si>
    <t>Bois sculpté</t>
  </si>
  <si>
    <t>Glaise</t>
  </si>
  <si>
    <t>Métal</t>
  </si>
  <si>
    <t>Marbre(é)</t>
  </si>
  <si>
    <t>Combinaison</t>
  </si>
  <si>
    <t>treSta</t>
  </si>
  <si>
    <t>treStaV</t>
  </si>
  <si>
    <t>treStaMat</t>
  </si>
  <si>
    <t>treStaMatV</t>
  </si>
  <si>
    <t>Vielle</t>
  </si>
  <si>
    <t>Luth</t>
  </si>
  <si>
    <t>Tambour/Tambourin/Caisson (d3)</t>
  </si>
  <si>
    <t>Flûte</t>
  </si>
  <si>
    <t>Cymbale</t>
  </si>
  <si>
    <t>Crécelle/Sifflet/Appeau  (d3)</t>
  </si>
  <si>
    <t>Harpe</t>
  </si>
  <si>
    <t>Lyre</t>
  </si>
  <si>
    <t>Trompette/Corne (d2)</t>
  </si>
  <si>
    <t>Partition/Chant/Chorégraphie/Autre race</t>
  </si>
  <si>
    <t>treMus</t>
  </si>
  <si>
    <t>treMusVB</t>
  </si>
  <si>
    <t>Anneau  D10/3</t>
  </si>
  <si>
    <t>Bracelet D10</t>
  </si>
  <si>
    <t>Brassard D10x2</t>
  </si>
  <si>
    <t>Amulette D10</t>
  </si>
  <si>
    <t>Couronne D10x4</t>
  </si>
  <si>
    <t>Collier  D10x4</t>
  </si>
  <si>
    <t>Sceptre D10x6</t>
  </si>
  <si>
    <t>Gorget  D10x7</t>
  </si>
  <si>
    <t>trePreD</t>
  </si>
  <si>
    <t>trePre</t>
  </si>
  <si>
    <t>Étain  80</t>
  </si>
  <si>
    <t>Plomb  20</t>
  </si>
  <si>
    <t>Nickel  100</t>
  </si>
  <si>
    <t>Fer  50</t>
  </si>
  <si>
    <t>Bronze  30</t>
  </si>
  <si>
    <t>Cuivre  20</t>
  </si>
  <si>
    <t>Argent  200</t>
  </si>
  <si>
    <t>Or  500</t>
  </si>
  <si>
    <t>Autre² D100x10</t>
  </si>
  <si>
    <t>Platine²  700</t>
  </si>
  <si>
    <t>Or blanc² 800</t>
  </si>
  <si>
    <t>Orichalum² 1000</t>
  </si>
  <si>
    <t>trePreMatD</t>
  </si>
  <si>
    <t>trePreMat</t>
  </si>
  <si>
    <t>Contenant</t>
  </si>
  <si>
    <t>Boisson</t>
  </si>
  <si>
    <t>Nourriture</t>
  </si>
  <si>
    <t>Epices </t>
  </si>
  <si>
    <t>Animal </t>
  </si>
  <si>
    <t>Fourniture </t>
  </si>
  <si>
    <t>Bourse</t>
  </si>
  <si>
    <t>Cachette</t>
  </si>
  <si>
    <t>Coffre</t>
  </si>
  <si>
    <t>Fiole</t>
  </si>
  <si>
    <t>Fonte</t>
  </si>
  <si>
    <t>Grand sac</t>
  </si>
  <si>
    <t>Bière</t>
  </si>
  <si>
    <t>Vin</t>
  </si>
  <si>
    <t>Cidre</t>
  </si>
  <si>
    <t>Eau</t>
  </si>
  <si>
    <t>Jus</t>
  </si>
  <si>
    <t>Peska</t>
  </si>
  <si>
    <t>Élixir</t>
  </si>
  <si>
    <t>Fluide</t>
  </si>
  <si>
    <t>Lait</t>
  </si>
  <si>
    <t>Graisse</t>
  </si>
  <si>
    <t>Clous</t>
  </si>
  <si>
    <t>Sable</t>
  </si>
  <si>
    <t>Cendres</t>
  </si>
  <si>
    <t>Parfum</t>
  </si>
  <si>
    <t>Herbes</t>
  </si>
  <si>
    <t>Huile</t>
  </si>
  <si>
    <t>Beurre</t>
  </si>
  <si>
    <t>Naphte</t>
  </si>
  <si>
    <r>
      <t>PN</t>
    </r>
    <r>
      <rPr>
        <vertAlign val="superscript"/>
        <sz val="8"/>
        <color theme="1"/>
        <rFont val="Verdana"/>
        <family val="2"/>
      </rPr>
      <t>1</t>
    </r>
  </si>
  <si>
    <t>Fruits</t>
  </si>
  <si>
    <t>Viande</t>
  </si>
  <si>
    <t>Fromage</t>
  </si>
  <si>
    <t>Légumes</t>
  </si>
  <si>
    <t>Féculents</t>
  </si>
  <si>
    <t>Farine</t>
  </si>
  <si>
    <t>Pain</t>
  </si>
  <si>
    <t>Poisson</t>
  </si>
  <si>
    <t>Œufs</t>
  </si>
  <si>
    <t>Pâtisserie</t>
  </si>
  <si>
    <t>Sel</t>
  </si>
  <si>
    <t>Poivre</t>
  </si>
  <si>
    <t>Miel</t>
  </si>
  <si>
    <t>Étrangère</t>
  </si>
  <si>
    <t>Sucrée</t>
  </si>
  <si>
    <t>Salée</t>
  </si>
  <si>
    <t>Sûre</t>
  </si>
  <si>
    <t>Amère</t>
  </si>
  <si>
    <t>Inconnue</t>
  </si>
  <si>
    <t>Mule</t>
  </si>
  <si>
    <t>Porc</t>
  </si>
  <si>
    <t>Poule</t>
  </si>
  <si>
    <t>Canard</t>
  </si>
  <si>
    <t>Oie</t>
  </si>
  <si>
    <t>Bœuf</t>
  </si>
  <si>
    <t>Rongeur</t>
  </si>
  <si>
    <t>Poney</t>
  </si>
  <si>
    <t>voyage³</t>
  </si>
  <si>
    <t>Âne</t>
  </si>
  <si>
    <t>Vache</t>
  </si>
  <si>
    <t>Chèvre</t>
  </si>
  <si>
    <t>Cochon</t>
  </si>
  <si>
    <t>Volatile</t>
  </si>
  <si>
    <t>guerre³</t>
  </si>
  <si>
    <t>Draps</t>
  </si>
  <si>
    <t>Linge</t>
  </si>
  <si>
    <t>Entretien</t>
  </si>
  <si>
    <t>Couverts</t>
  </si>
  <si>
    <t>Tissus</t>
  </si>
  <si>
    <t>Outils</t>
  </si>
  <si>
    <t>Déchets</t>
  </si>
  <si>
    <t>Brol</t>
  </si>
  <si>
    <t>Jar</t>
  </si>
  <si>
    <t>Outre</t>
  </si>
  <si>
    <t>Pinte</t>
  </si>
  <si>
    <t>Pot</t>
  </si>
  <si>
    <t>Sac</t>
  </si>
  <si>
    <t>Seau</t>
  </si>
  <si>
    <t>Tonneau</t>
  </si>
  <si>
    <t>Tonnelet</t>
  </si>
  <si>
    <t>Vase</t>
  </si>
  <si>
    <t>treDiv</t>
  </si>
  <si>
    <t>treDivDet</t>
  </si>
  <si>
    <t>Contenant + Boisson</t>
  </si>
  <si>
    <t>Contenant + Divers</t>
  </si>
  <si>
    <t>Contenant + Nourriture</t>
  </si>
  <si>
    <t>Contenant + Epices</t>
  </si>
  <si>
    <t>Contenant + Boisson + Divers</t>
  </si>
  <si>
    <t>Contenant + Nourriture + Epices</t>
  </si>
  <si>
    <t>Contenant + Nourriture + Boisson</t>
  </si>
  <si>
    <t>Contenant2 + Boisson</t>
  </si>
  <si>
    <t>Contenant2 + Divers</t>
  </si>
  <si>
    <t>Contenant2 + Nourriture</t>
  </si>
  <si>
    <t>Blanc</t>
  </si>
  <si>
    <t>Beige</t>
  </si>
  <si>
    <t xml:space="preserve">Gris </t>
  </si>
  <si>
    <t>Jaune</t>
  </si>
  <si>
    <t>Rouge</t>
  </si>
  <si>
    <t>Bicolore</t>
  </si>
  <si>
    <t>treDivCou</t>
  </si>
  <si>
    <t>treDivCouV</t>
  </si>
  <si>
    <t>Très claire</t>
  </si>
  <si>
    <t>treDivCouTeiD</t>
  </si>
  <si>
    <t>treDivCoutei</t>
  </si>
  <si>
    <t>Carrée</t>
  </si>
  <si>
    <t>Rectangulaire</t>
  </si>
  <si>
    <t>Triangulaire</t>
  </si>
  <si>
    <t>Sphérique</t>
  </si>
  <si>
    <t>Oblongue</t>
  </si>
  <si>
    <t>Irrégulière</t>
  </si>
  <si>
    <t>Tordue</t>
  </si>
  <si>
    <t>Tubulaire</t>
  </si>
  <si>
    <t>Deux formes combinées</t>
  </si>
  <si>
    <t>Trois formes combinées</t>
  </si>
  <si>
    <t>treDivFor</t>
  </si>
  <si>
    <t>Parchemin</t>
  </si>
  <si>
    <t xml:space="preserve">Peau/bois/pierre(d3) </t>
  </si>
  <si>
    <t>Livre²</t>
  </si>
  <si>
    <t>Tome²</t>
  </si>
  <si>
    <t>treEcr</t>
  </si>
  <si>
    <t>treEcrV</t>
  </si>
  <si>
    <t xml:space="preserve">Texte commun </t>
  </si>
  <si>
    <t>Sujet libre</t>
  </si>
  <si>
    <t>Inventaire</t>
  </si>
  <si>
    <t xml:space="preserve">+NS de l’auteur </t>
  </si>
  <si>
    <t>D10x2 +NSx10</t>
  </si>
  <si>
    <t>D10x4 +NEx5</t>
  </si>
  <si>
    <t>Texte légal</t>
  </si>
  <si>
    <t>+portée légale</t>
  </si>
  <si>
    <t>Lettre formelle/sentimentale</t>
  </si>
  <si>
    <t>+NS envoyeur +NS destinataire</t>
  </si>
  <si>
    <t>D10x10 +(NS+NS)x5</t>
  </si>
  <si>
    <t>Littérature / poème</t>
  </si>
  <si>
    <t xml:space="preserve">+sujet </t>
  </si>
  <si>
    <t>Biographie</t>
  </si>
  <si>
    <t>+NS de la personne</t>
  </si>
  <si>
    <t>D10x2 +NSx30</t>
  </si>
  <si>
    <t>Histoire</t>
  </si>
  <si>
    <t>+portée dans le temps +localisation</t>
  </si>
  <si>
    <t>D10x25</t>
  </si>
  <si>
    <t>Message</t>
  </si>
  <si>
    <t>+NS envoyeur +NS destinataire +sujet</t>
  </si>
  <si>
    <t>D10x2 +(NS+NS)x10</t>
  </si>
  <si>
    <t>Formule</t>
  </si>
  <si>
    <t>D10xNE</t>
  </si>
  <si>
    <t>Édit</t>
  </si>
  <si>
    <t>+portée géographique +lieu</t>
  </si>
  <si>
    <t>D10x50</t>
  </si>
  <si>
    <t>Journal de voyage</t>
  </si>
  <si>
    <t>+NS du voyageur +portée géographique</t>
  </si>
  <si>
    <t>D10x5 +NSx40</t>
  </si>
  <si>
    <t>Philosophie</t>
  </si>
  <si>
    <t>+maladie +méthode de soin</t>
  </si>
  <si>
    <t>D10x100</t>
  </si>
  <si>
    <t>+NS de l’auteur</t>
  </si>
  <si>
    <t>D10 +(NSxNSx20)</t>
  </si>
  <si>
    <r>
      <t>Théorie de Magie</t>
    </r>
    <r>
      <rPr>
        <vertAlign val="superscript"/>
        <sz val="8"/>
        <color rgb="FF000000"/>
        <rFont val="Verdana"/>
        <family val="2"/>
      </rPr>
      <t>1</t>
    </r>
  </si>
  <si>
    <t>+alignement +sujet</t>
  </si>
  <si>
    <t>D100x10</t>
  </si>
  <si>
    <r>
      <t>Sortilège</t>
    </r>
    <r>
      <rPr>
        <vertAlign val="superscript"/>
        <sz val="8"/>
        <color theme="1"/>
        <rFont val="Verdana"/>
        <family val="2"/>
      </rPr>
      <t>1</t>
    </r>
  </si>
  <si>
    <t>+alignement +sortilège +NE(sortilège)</t>
  </si>
  <si>
    <t>D100x100</t>
  </si>
  <si>
    <r>
      <t>Pouvoir</t>
    </r>
    <r>
      <rPr>
        <vertAlign val="superscript"/>
        <sz val="8"/>
        <color rgb="FF000000"/>
        <rFont val="Verdana"/>
        <family val="2"/>
      </rPr>
      <t>1</t>
    </r>
  </si>
  <si>
    <t>+alignement +pouvoir +NE(sortilège)</t>
  </si>
  <si>
    <t>D100x200</t>
  </si>
  <si>
    <t>Carte </t>
  </si>
  <si>
    <t>+portée géographique +exactitude</t>
  </si>
  <si>
    <t>D100x500</t>
  </si>
  <si>
    <t>treEcrD</t>
  </si>
  <si>
    <t>treEcrDet</t>
  </si>
  <si>
    <t>treEcrDet2</t>
  </si>
  <si>
    <t>treEcrDet3</t>
  </si>
  <si>
    <t>Écriture codée, message secret à NE=D10*x20-D10</t>
  </si>
  <si>
    <t>Dessins novateurs, icônes, enluminures</t>
  </si>
  <si>
    <t>Écriture cachée, dissimulée par un produit à NE=D10*x20-D10</t>
  </si>
  <si>
    <r>
      <t xml:space="preserve">Runes anciennes, parchemin unique, magique (voir partie </t>
    </r>
    <r>
      <rPr>
        <i/>
        <sz val="8"/>
        <color rgb="FF000000"/>
        <rFont val="Verdana"/>
        <family val="2"/>
      </rPr>
      <t>Magie</t>
    </r>
    <r>
      <rPr>
        <sz val="8"/>
        <color rgb="FF000000"/>
        <rFont val="Verdana"/>
        <family val="2"/>
      </rPr>
      <t>)</t>
    </r>
  </si>
  <si>
    <t>treEcrSpe</t>
  </si>
  <si>
    <t>treEcrSpeV</t>
  </si>
  <si>
    <t>+Profession +NE</t>
  </si>
  <si>
    <t>treEcrPag</t>
  </si>
  <si>
    <t>Jet</t>
  </si>
  <si>
    <t>Opale</t>
  </si>
  <si>
    <t>Lapis lazulite</t>
  </si>
  <si>
    <t>Émeraude</t>
  </si>
  <si>
    <t>Garnit</t>
  </si>
  <si>
    <t>Crapaudine</t>
  </si>
  <si>
    <t>Carboucle</t>
  </si>
  <si>
    <t>Topaze</t>
  </si>
  <si>
    <t>Saphir</t>
  </si>
  <si>
    <t>Rubis noir</t>
  </si>
  <si>
    <t>Agate</t>
  </si>
  <si>
    <t>Serpentine</t>
  </si>
  <si>
    <t>Tourmaline</t>
  </si>
  <si>
    <t>Pierre de serpent</t>
  </si>
  <si>
    <t>Diamant noir</t>
  </si>
  <si>
    <t>Turquoise</t>
  </si>
  <si>
    <t>Granet</t>
  </si>
  <si>
    <t>Carnallite</t>
  </si>
  <si>
    <t>Onyx</t>
  </si>
  <si>
    <t>treGemD</t>
  </si>
  <si>
    <t>treGem</t>
  </si>
  <si>
    <t>Gemme</t>
  </si>
  <si>
    <t>Taille: mod&lt;0 /2  mod&gt;0 x2</t>
  </si>
  <si>
    <t>Q+10, Vx2</t>
  </si>
  <si>
    <t>E: Vx2</t>
  </si>
  <si>
    <t>V minimum -50</t>
  </si>
  <si>
    <t>Tréteaux</t>
  </si>
  <si>
    <t>Crochet</t>
  </si>
  <si>
    <t>Chaise</t>
  </si>
  <si>
    <t>Cabinet</t>
  </si>
  <si>
    <t>Brasier</t>
  </si>
  <si>
    <t>Coussin</t>
  </si>
  <si>
    <t>Lanterne</t>
  </si>
  <si>
    <t>Tabouret</t>
  </si>
  <si>
    <t>Tison</t>
  </si>
  <si>
    <t>Cadre</t>
  </si>
  <si>
    <t>Candélabre</t>
  </si>
  <si>
    <t>Bougie</t>
  </si>
  <si>
    <t>Filet</t>
  </si>
  <si>
    <t>Buffet</t>
  </si>
  <si>
    <t>Miroir</t>
  </si>
  <si>
    <t>Banc</t>
  </si>
  <si>
    <t>Râtelier</t>
  </si>
  <si>
    <t>Triptyque</t>
  </si>
  <si>
    <t>Lit</t>
  </si>
  <si>
    <t>Jouet</t>
  </si>
  <si>
    <t>Paravent</t>
  </si>
  <si>
    <t>Écritoire</t>
  </si>
  <si>
    <t xml:space="preserve">Étagère </t>
  </si>
  <si>
    <t>Chaîne</t>
  </si>
  <si>
    <t>Vaisselier</t>
  </si>
  <si>
    <t>Sceau</t>
  </si>
  <si>
    <t>Coffret</t>
  </si>
  <si>
    <t>Table</t>
  </si>
  <si>
    <t>Tapis</t>
  </si>
  <si>
    <t>Engin</t>
  </si>
  <si>
    <t>Trône</t>
  </si>
  <si>
    <t>Combinaison de 2</t>
  </si>
  <si>
    <t>Combinaison de 3</t>
  </si>
  <si>
    <t>treMob</t>
  </si>
  <si>
    <t>Marqueterie</t>
  </si>
  <si>
    <t>Bois + métal</t>
  </si>
  <si>
    <t xml:space="preserve">2 Bois </t>
  </si>
  <si>
    <t>treMobMat</t>
  </si>
  <si>
    <t>treMobMatV</t>
  </si>
  <si>
    <t>Mobilier</t>
  </si>
  <si>
    <t>Serrure</t>
  </si>
  <si>
    <t>Compartiment</t>
  </si>
  <si>
    <t>Mécanisme ²</t>
  </si>
  <si>
    <t>Piège²</t>
  </si>
  <si>
    <t>treMobSpe</t>
  </si>
  <si>
    <t>Sous (la moins précieuse)</t>
  </si>
  <si>
    <t>Or (la plus précieuse)</t>
  </si>
  <si>
    <t>Bourse de tissu</t>
  </si>
  <si>
    <t>Bourse de cuir</t>
  </si>
  <si>
    <t>Bourse précieuse</t>
  </si>
  <si>
    <t>Coffret bois</t>
  </si>
  <si>
    <t>Coffret sculpté</t>
  </si>
  <si>
    <t xml:space="preserve">Coffre </t>
  </si>
  <si>
    <t>Caché dans (relancer avec -2 au dé)</t>
  </si>
  <si>
    <t>Piégé dans (relancer avec -2 au dé)</t>
  </si>
  <si>
    <t>Compartiment caché dans le contenant, V+10</t>
  </si>
  <si>
    <t>Lettre de change codée, V+20</t>
  </si>
  <si>
    <r>
      <t xml:space="preserve">Fausse monnaie </t>
    </r>
    <r>
      <rPr>
        <sz val="8"/>
        <color theme="1"/>
        <rFont val="Wingdings"/>
        <charset val="2"/>
      </rPr>
      <t>à</t>
    </r>
    <r>
      <rPr>
        <sz val="8"/>
        <color theme="1"/>
        <rFont val="Verdana"/>
        <family val="2"/>
      </rPr>
      <t xml:space="preserve"> V-50</t>
    </r>
  </si>
  <si>
    <t xml:space="preserve">Piège² à NE = D10*x20 </t>
  </si>
  <si>
    <t>trePie</t>
  </si>
  <si>
    <t>trePieN</t>
  </si>
  <si>
    <t>trePieV</t>
  </si>
  <si>
    <t>trepieCon</t>
  </si>
  <si>
    <t>trePieConV</t>
  </si>
  <si>
    <t>trePieSpe</t>
  </si>
  <si>
    <t>Pièces</t>
  </si>
  <si>
    <r>
      <t>Potion d’alchimie</t>
    </r>
    <r>
      <rPr>
        <vertAlign val="superscript"/>
        <sz val="8"/>
        <color rgb="FF000000"/>
        <rFont val="Verdana"/>
        <family val="2"/>
      </rPr>
      <t>1</t>
    </r>
  </si>
  <si>
    <t xml:space="preserve">Métaux³ </t>
  </si>
  <si>
    <t>PN - Plantes / Herbes</t>
  </si>
  <si>
    <t>Simple</t>
  </si>
  <si>
    <t>PN - Produit d’animal / de créature</t>
  </si>
  <si>
    <t>PN - Minéraux / Gemmes</t>
  </si>
  <si>
    <t>Trésors de créature²</t>
  </si>
  <si>
    <t>trePND</t>
  </si>
  <si>
    <t>trePN</t>
  </si>
  <si>
    <t>Mal conservé et/ou partiellement utilisé, N/2 et effets à 25%</t>
  </si>
  <si>
    <t>Pauvre, effets à 50%</t>
  </si>
  <si>
    <t>Brut</t>
  </si>
  <si>
    <t>a été cueilli, récolté ou extrait</t>
  </si>
  <si>
    <t>Préparé</t>
  </si>
  <si>
    <t>a été préparé pour en extraire les propriétés essentielles</t>
  </si>
  <si>
    <t>Enchanté</t>
  </si>
  <si>
    <t>a été enchanté par une cérémonie magique</t>
  </si>
  <si>
    <t>trePNEta</t>
  </si>
  <si>
    <t>trePNEta2</t>
  </si>
  <si>
    <t>PN</t>
  </si>
  <si>
    <t>Pot de bois (déterminer la forme)</t>
  </si>
  <si>
    <t>Pot de céramique (déterminer la forme)</t>
  </si>
  <si>
    <t>Pot de métal (déterminer le métal)</t>
  </si>
  <si>
    <t>Vasque (déterminer le métal)</t>
  </si>
  <si>
    <t>Coffret ([10-rareté PN] x 3% d’avoir une serrure)</t>
  </si>
  <si>
    <t>Coffre ([10-rareté PN] x 5% d’avoir une serrure)</t>
  </si>
  <si>
    <t>Meuble ([10-rareté PN] x 10% d’avoir une serrure)</t>
  </si>
  <si>
    <t>Jarre (déterminer la forme)</t>
  </si>
  <si>
    <t>trePNCon</t>
  </si>
  <si>
    <t>trePNConV</t>
  </si>
  <si>
    <t>Mercure</t>
  </si>
  <si>
    <t>treMetD</t>
  </si>
  <si>
    <t>treMet</t>
  </si>
  <si>
    <t>Aile de papillon bleu -7</t>
  </si>
  <si>
    <t>Alecto-2</t>
  </si>
  <si>
    <t>Bave de crapaud -9</t>
  </si>
  <si>
    <t>Bezon-6</t>
  </si>
  <si>
    <t>Cerveau de serpent de Feu-3</t>
  </si>
  <si>
    <t>Cervelle de serpent noir -7</t>
  </si>
  <si>
    <t>Chélidonius-2</t>
  </si>
  <si>
    <t>Cheveux d’Ancien-2</t>
  </si>
  <si>
    <t>Cœur de poule naine -9</t>
  </si>
  <si>
    <t>Cœur de vanneau-5</t>
  </si>
  <si>
    <t>Corail-6</t>
  </si>
  <si>
    <t>Corne d’Unicorne-2</t>
  </si>
  <si>
    <t>Corne de taureau brun -8</t>
  </si>
  <si>
    <t xml:space="preserve">Crin de jument blanche-8 </t>
  </si>
  <si>
    <t>Croc d’ours-8</t>
  </si>
  <si>
    <t>Croc de Grand Corbeau-3</t>
  </si>
  <si>
    <t>Défense de sanglier-4</t>
  </si>
  <si>
    <t>Dent d’Hydre-5</t>
  </si>
  <si>
    <t>Dents de Vampire-2</t>
  </si>
  <si>
    <t>Faerry-2</t>
  </si>
  <si>
    <t>Fiente-8</t>
  </si>
  <si>
    <t>Foie de caméléon-6</t>
  </si>
  <si>
    <t>Fourrure de Foutueur-6</t>
  </si>
  <si>
    <t>Langue de rat géant -8</t>
  </si>
  <si>
    <t>Œil de corbeau mâle -7</t>
  </si>
  <si>
    <t>Os de chat noir-8</t>
  </si>
  <si>
    <t>Peau d’hyène-4</t>
  </si>
  <si>
    <t>Peau de loup-5</t>
  </si>
  <si>
    <t>Peau de serpent-5</t>
  </si>
  <si>
    <t>Perle-6</t>
  </si>
  <si>
    <t>Pierre d’Esprit-4</t>
  </si>
  <si>
    <t>Plume d’aigle royal-2</t>
  </si>
  <si>
    <t>Plume de coq-7</t>
  </si>
  <si>
    <t>Poison de Ragnée-9</t>
  </si>
  <si>
    <t>Poison de Serpent de Feu-6</t>
  </si>
  <si>
    <t>Poison femme Scorpion-3</t>
  </si>
  <si>
    <t>Poussière d’étoile-1</t>
  </si>
  <si>
    <t>Salive-9</t>
  </si>
  <si>
    <t>Sang d’Hydre-3</t>
  </si>
  <si>
    <t>Sang de chat noir-9</t>
  </si>
  <si>
    <t>Sang de crapaud-9</t>
  </si>
  <si>
    <t>Sang de dragon-3</t>
  </si>
  <si>
    <t>Sang de Koth’Oth-5</t>
  </si>
  <si>
    <t>Sang de loup-8</t>
  </si>
  <si>
    <t>Sang de Matin-Rouge-4</t>
  </si>
  <si>
    <t>Tête d’Hydre-5</t>
  </si>
  <si>
    <t>Tête de Gorgon-3</t>
  </si>
  <si>
    <t>Yeux de loup-6</t>
  </si>
  <si>
    <t>trePNAniD</t>
  </si>
  <si>
    <t>trePNAni</t>
  </si>
  <si>
    <t>Agate-6</t>
  </si>
  <si>
    <t>Ambre-5</t>
  </si>
  <si>
    <t>Améthyste-4</t>
  </si>
  <si>
    <t>Antimoine-7</t>
  </si>
  <si>
    <t>Bilumas-3</t>
  </si>
  <si>
    <t>Calcédoine-6</t>
  </si>
  <si>
    <t>Carboucle-3</t>
  </si>
  <si>
    <t>Carnalite-6</t>
  </si>
  <si>
    <t>Chrysolithe-3</t>
  </si>
  <si>
    <t>Chrysoprase-2</t>
  </si>
  <si>
    <t>Cornaline-4</t>
  </si>
  <si>
    <t>Crapaudine-4</t>
  </si>
  <si>
    <t>Cristal-2</t>
  </si>
  <si>
    <t>Diamant noir-1</t>
  </si>
  <si>
    <t>Diamant-3</t>
  </si>
  <si>
    <t>Dinothéria-1</t>
  </si>
  <si>
    <t>Émeraude-4</t>
  </si>
  <si>
    <t>Escarboucle-3</t>
  </si>
  <si>
    <t>Garnit-4</t>
  </si>
  <si>
    <t>Granet-3</t>
  </si>
  <si>
    <t>Héliotrope-3</t>
  </si>
  <si>
    <t>Jacinthe-4</t>
  </si>
  <si>
    <t>Jade-6</t>
  </si>
  <si>
    <t>Jadine-4</t>
  </si>
  <si>
    <t>Jais-2</t>
  </si>
  <si>
    <t>Jaspe-7</t>
  </si>
  <si>
    <t>Jet-8</t>
  </si>
  <si>
    <t>Lapis lazulite-5</t>
  </si>
  <si>
    <t>Mercure-2</t>
  </si>
  <si>
    <t>Onyx-5</t>
  </si>
  <si>
    <t>Opale-3</t>
  </si>
  <si>
    <t>Piéron-3</t>
  </si>
  <si>
    <t>Pierre céleste-2</t>
  </si>
  <si>
    <t>Pierre d’élément-5</t>
  </si>
  <si>
    <t>Pierre de sang-3</t>
  </si>
  <si>
    <t>Pierre de serpent-5</t>
  </si>
  <si>
    <t>Rubis étoilé-1</t>
  </si>
  <si>
    <t>Rubis noir-1</t>
  </si>
  <si>
    <t>Rubis-2</t>
  </si>
  <si>
    <t>Saphir noir-1</t>
  </si>
  <si>
    <t>Saphir-2</t>
  </si>
  <si>
    <t>Sel-9</t>
  </si>
  <si>
    <t>Serpentine-5</t>
  </si>
  <si>
    <t>Silex-8</t>
  </si>
  <si>
    <t>Smarach-5</t>
  </si>
  <si>
    <t>Topaze-4</t>
  </si>
  <si>
    <t>Tourmaline-2</t>
  </si>
  <si>
    <t>Turquoise-4</t>
  </si>
  <si>
    <t>Aconit-3</t>
  </si>
  <si>
    <t>Aigre-Moine-8</t>
  </si>
  <si>
    <t>Ail-9</t>
  </si>
  <si>
    <t>Amarante-1</t>
  </si>
  <si>
    <t>Anémone-8</t>
  </si>
  <si>
    <t>Angélique-3</t>
  </si>
  <si>
    <t>Anodine-5</t>
  </si>
  <si>
    <t>Armoise-2</t>
  </si>
  <si>
    <t>Baie de sureau-9</t>
  </si>
  <si>
    <t>Balim-1</t>
  </si>
  <si>
    <t>Basilic-9</t>
  </si>
  <si>
    <t>Belle-dame-2</t>
  </si>
  <si>
    <t>Bétoine-5</t>
  </si>
  <si>
    <t>Cayenne-4</t>
  </si>
  <si>
    <t>Cerfeuil-9</t>
  </si>
  <si>
    <t>Chélidoine-7</t>
  </si>
  <si>
    <t>Chiméde-8</t>
  </si>
  <si>
    <t>Ciguë-8</t>
  </si>
  <si>
    <t>Clou d’œillet-8</t>
  </si>
  <si>
    <t>Ellebore-2</t>
  </si>
  <si>
    <t>Euphorbiacée-2</t>
  </si>
  <si>
    <t>Fenouil-9</t>
  </si>
  <si>
    <t>Fougère-9</t>
  </si>
  <si>
    <t>Gui-9</t>
  </si>
  <si>
    <t>Herbe de Dharba-2</t>
  </si>
  <si>
    <t>Hypercium-7</t>
  </si>
  <si>
    <t>Joubarbe-6</t>
  </si>
  <si>
    <t>Jusquiame-3</t>
  </si>
  <si>
    <t>Laurier-8</t>
  </si>
  <si>
    <t>Liseron-7</t>
  </si>
  <si>
    <t>Lotus blanc-3</t>
  </si>
  <si>
    <t>Lotus mauve-2</t>
  </si>
  <si>
    <t>Luna-5</t>
  </si>
  <si>
    <t>Lunaire-5</t>
  </si>
  <si>
    <t>Mandragore-1</t>
  </si>
  <si>
    <t>Méphis-3</t>
  </si>
  <si>
    <t>Mervisma-4</t>
  </si>
  <si>
    <t>Pavot-8</t>
  </si>
  <si>
    <t>Pavot noir-4</t>
  </si>
  <si>
    <t>Peska-7</t>
  </si>
  <si>
    <t>Pourpier-8</t>
  </si>
  <si>
    <t>Quintefeuille-9</t>
  </si>
  <si>
    <t>Racine de Kadis-4</t>
  </si>
  <si>
    <t>Racine de serpent-3</t>
  </si>
  <si>
    <t>Rameau de sureau-7</t>
  </si>
  <si>
    <t>Regret-5</t>
  </si>
  <si>
    <t>Rose de Lune-4</t>
  </si>
  <si>
    <t>Sorbier-9</t>
  </si>
  <si>
    <t>Verveine-8</t>
  </si>
  <si>
    <t>Yveline-5</t>
  </si>
  <si>
    <t>trePNMinD</t>
  </si>
  <si>
    <t>trePNMin</t>
  </si>
  <si>
    <t>trePNPlaD</t>
  </si>
  <si>
    <t>trePNPla</t>
  </si>
  <si>
    <t>pilon</t>
  </si>
  <si>
    <r>
      <t>1 gr de poudre</t>
    </r>
    <r>
      <rPr>
        <sz val="8"/>
        <color theme="1"/>
        <rFont val="Verdana"/>
        <family val="2"/>
      </rPr>
      <t xml:space="preserve"> Or </t>
    </r>
  </si>
  <si>
    <t>Grandeur Spirituelle</t>
  </si>
  <si>
    <t>poêle</t>
  </si>
  <si>
    <t xml:space="preserve">Argent </t>
  </si>
  <si>
    <t>Corps Héroïque</t>
  </si>
  <si>
    <t>cuiller</t>
  </si>
  <si>
    <t xml:space="preserve">Fer </t>
  </si>
  <si>
    <t>L’Oracle Ancien</t>
  </si>
  <si>
    <t>pince</t>
  </si>
  <si>
    <t xml:space="preserve">Graphite </t>
  </si>
  <si>
    <t>Les Grands Yeux</t>
  </si>
  <si>
    <t>entonnoir</t>
  </si>
  <si>
    <t xml:space="preserve">Cuivre </t>
  </si>
  <si>
    <t>Réaction Fatale</t>
  </si>
  <si>
    <t>tuyau</t>
  </si>
  <si>
    <t xml:space="preserve">Quartz </t>
  </si>
  <si>
    <t>Puissance Essentielle</t>
  </si>
  <si>
    <t>fiole</t>
  </si>
  <si>
    <t xml:space="preserve">Plomb </t>
  </si>
  <si>
    <r>
      <t>Transmutation</t>
    </r>
    <r>
      <rPr>
        <sz val="8"/>
        <color theme="1"/>
        <rFont val="Verdana"/>
        <family val="2"/>
      </rPr>
      <t xml:space="preserve"> Naturelle</t>
    </r>
  </si>
  <si>
    <t>filtre</t>
  </si>
  <si>
    <t xml:space="preserve">Soufre </t>
  </si>
  <si>
    <t>Écrin des Bases</t>
  </si>
  <si>
    <t xml:space="preserve">Silice </t>
  </si>
  <si>
    <t>Bouclier des étoiles</t>
  </si>
  <si>
    <t>plateau</t>
  </si>
  <si>
    <t xml:space="preserve">Arsenic </t>
  </si>
  <si>
    <t>Source Originelle</t>
  </si>
  <si>
    <r>
      <t xml:space="preserve">D100 g de </t>
    </r>
    <r>
      <rPr>
        <sz val="8"/>
        <color rgb="FF000000"/>
        <rFont val="Verdana"/>
        <family val="2"/>
      </rPr>
      <t xml:space="preserve">Rose </t>
    </r>
  </si>
  <si>
    <r>
      <t>Huile de</t>
    </r>
    <r>
      <rPr>
        <sz val="8"/>
        <color rgb="FF000000"/>
        <rFont val="Verdana"/>
        <family val="2"/>
      </rPr>
      <t xml:space="preserve"> Félin </t>
    </r>
  </si>
  <si>
    <t>Mutation naturelle</t>
  </si>
  <si>
    <t xml:space="preserve">Lavande </t>
  </si>
  <si>
    <t xml:space="preserve">Rongeur </t>
  </si>
  <si>
    <t xml:space="preserve">Alchimie de l’esprit </t>
  </si>
  <si>
    <t xml:space="preserve">Cannelle </t>
  </si>
  <si>
    <t>Atelier cosmique</t>
  </si>
  <si>
    <t>Genévrier</t>
  </si>
  <si>
    <t xml:space="preserve">Humain </t>
  </si>
  <si>
    <t>Volte-Face</t>
  </si>
  <si>
    <t xml:space="preserve">Sauge </t>
  </si>
  <si>
    <t xml:space="preserve">Volatile </t>
  </si>
  <si>
    <r>
      <t>Transmutation</t>
    </r>
    <r>
      <rPr>
        <sz val="8"/>
        <color rgb="FF000000"/>
        <rFont val="Verdana"/>
        <family val="2"/>
      </rPr>
      <t xml:space="preserve"> Noble</t>
    </r>
  </si>
  <si>
    <t xml:space="preserve">Thym </t>
  </si>
  <si>
    <t>Connaissance Ultime</t>
  </si>
  <si>
    <t xml:space="preserve">Fenouil </t>
  </si>
  <si>
    <t>Créature EO</t>
  </si>
  <si>
    <r>
      <t>Transmutation</t>
    </r>
    <r>
      <rPr>
        <sz val="8"/>
        <color rgb="FF000000"/>
        <rFont val="Verdana"/>
        <family val="2"/>
      </rPr>
      <t xml:space="preserve"> Minérale</t>
    </r>
  </si>
  <si>
    <t xml:space="preserve">Ail </t>
  </si>
  <si>
    <t xml:space="preserve">Canin </t>
  </si>
  <si>
    <r>
      <t>Transmutation</t>
    </r>
    <r>
      <rPr>
        <sz val="8"/>
        <color rgb="FF000000"/>
        <rFont val="Verdana"/>
        <family val="2"/>
      </rPr>
      <t xml:space="preserve"> Animale</t>
    </r>
  </si>
  <si>
    <t xml:space="preserve">Menthe </t>
  </si>
  <si>
    <t xml:space="preserve">Créature KO </t>
  </si>
  <si>
    <t>Lame des étoiles</t>
  </si>
  <si>
    <t xml:space="preserve">Eucalyptus </t>
  </si>
  <si>
    <t xml:space="preserve">Prédateur </t>
  </si>
  <si>
    <t>Larve de Yael</t>
  </si>
  <si>
    <r>
      <t>Corps de</t>
    </r>
    <r>
      <rPr>
        <sz val="8"/>
        <color rgb="FF000000"/>
        <rFont val="Verdana"/>
        <family val="2"/>
      </rPr>
      <t xml:space="preserve"> Félin </t>
    </r>
  </si>
  <si>
    <r>
      <t>1cl Huile de</t>
    </r>
    <r>
      <rPr>
        <sz val="8"/>
        <color rgb="FF000000"/>
        <rFont val="Verdana"/>
        <family val="2"/>
      </rPr>
      <t xml:space="preserve"> Rose </t>
    </r>
  </si>
  <si>
    <t>Parole de l’Au-delà</t>
  </si>
  <si>
    <t>Connexion Céleste</t>
  </si>
  <si>
    <t>Baume des Fées</t>
  </si>
  <si>
    <t>Champion du Ciel</t>
  </si>
  <si>
    <t>Masque de Fête</t>
  </si>
  <si>
    <t>Archer du Roi</t>
  </si>
  <si>
    <t>Ambiance Féline</t>
  </si>
  <si>
    <t>Mendiant Royal</t>
  </si>
  <si>
    <t>Épines Dorsale</t>
  </si>
  <si>
    <t>Veilleur des Secrets</t>
  </si>
  <si>
    <r>
      <t>D100 g de minerai d’</t>
    </r>
    <r>
      <rPr>
        <sz val="8"/>
        <color rgb="FF000000"/>
        <rFont val="Verdana"/>
        <family val="2"/>
      </rPr>
      <t xml:space="preserve">Or </t>
    </r>
  </si>
  <si>
    <r>
      <t>1cm ³ de</t>
    </r>
    <r>
      <rPr>
        <sz val="8"/>
        <color rgb="FF000000"/>
        <rFont val="Verdana"/>
        <family val="2"/>
      </rPr>
      <t xml:space="preserve"> Bave de crapaud </t>
    </r>
  </si>
  <si>
    <t>Vol de Magie</t>
  </si>
  <si>
    <t xml:space="preserve">Sang de chat noir </t>
  </si>
  <si>
    <t>Ombre et Lumière</t>
  </si>
  <si>
    <t xml:space="preserve">Œil de corbeau mâle </t>
  </si>
  <si>
    <t>Domination Naturelle</t>
  </si>
  <si>
    <t xml:space="preserve">Cœur de poule naine </t>
  </si>
  <si>
    <t>Enfant de la Nuit</t>
  </si>
  <si>
    <t xml:space="preserve">Crin de jument blanche </t>
  </si>
  <si>
    <t>Maître de la Terre</t>
  </si>
  <si>
    <t xml:space="preserve">Corne de taureau brun </t>
  </si>
  <si>
    <t>Maître du Feu</t>
  </si>
  <si>
    <t xml:space="preserve">Cervelle de serpent noir </t>
  </si>
  <si>
    <t>Maître de l’Eau</t>
  </si>
  <si>
    <t xml:space="preserve">Langue de rat géant </t>
  </si>
  <si>
    <t>Maître du Vent</t>
  </si>
  <si>
    <t xml:space="preserve">Aile de papillon bleu </t>
  </si>
  <si>
    <t>Esprit de la Nature</t>
  </si>
  <si>
    <t xml:space="preserve">Purée de limace verte </t>
  </si>
  <si>
    <t>Étoile filante</t>
  </si>
  <si>
    <t>treAlcD</t>
  </si>
  <si>
    <t>treAlc1</t>
  </si>
  <si>
    <t>treAlc23</t>
  </si>
  <si>
    <t>treAlc4</t>
  </si>
  <si>
    <t>alchoix</t>
  </si>
  <si>
    <t>Potion</t>
  </si>
  <si>
    <t>treAlcMetFor</t>
  </si>
  <si>
    <t>Sphère</t>
  </si>
  <si>
    <t>Anneau</t>
  </si>
  <si>
    <t>Sang  (de) chauve-souris noire</t>
  </si>
  <si>
    <t>herbes soins (de) Irnolo des marais</t>
  </si>
  <si>
    <t>herbes hallucinogènes (de) i. d. marais</t>
  </si>
  <si>
    <t>chair pourrie (de) rampant</t>
  </si>
  <si>
    <t>Résine (de) ombre des forêts</t>
  </si>
  <si>
    <t>Arme  (de) rarnoin</t>
  </si>
  <si>
    <t>Défenses (de) sanglier éternel</t>
  </si>
  <si>
    <t>Poison (de) serpent des marais</t>
  </si>
  <si>
    <t>Peaux (de) belette rouge</t>
  </si>
  <si>
    <t>Poison  (de) chien baveur</t>
  </si>
  <si>
    <t>instrument (de) esprit malin</t>
  </si>
  <si>
    <t>silex précieux (de) Folpierre</t>
  </si>
  <si>
    <t>livre magique (de) grand satyre</t>
  </si>
  <si>
    <t>Peau (de) granetre</t>
  </si>
  <si>
    <t>Œuf (de) griffon</t>
  </si>
  <si>
    <t>Œufs (de) griffor</t>
  </si>
  <si>
    <t>Hache (de) Guerroyeur</t>
  </si>
  <si>
    <t>Poison (de) homme désert</t>
  </si>
  <si>
    <t>Collier (de) malicient</t>
  </si>
  <si>
    <t>Pique (de) Nerguerre</t>
  </si>
  <si>
    <t>Corne d'or (de) Corne de nuit</t>
  </si>
  <si>
    <t>Cœur (de) Crinian</t>
  </si>
  <si>
    <t>Arme (de) démon de nergal</t>
  </si>
  <si>
    <t>Queue (de) dragon sauvage</t>
  </si>
  <si>
    <t>Écailles (de) dragon sauvage</t>
  </si>
  <si>
    <t>lamelles de cuir (de) Etrancheur</t>
  </si>
  <si>
    <t>Griffes (de) grand corbeau</t>
  </si>
  <si>
    <t>Robe (de) lassure</t>
  </si>
  <si>
    <t>Poison (de) lyrch</t>
  </si>
  <si>
    <t>carré de peau (de) lyrch</t>
  </si>
  <si>
    <t>anneaux d'argent (de) minotaure</t>
  </si>
  <si>
    <t>Poison  (de) nargias</t>
  </si>
  <si>
    <t>écailles larges (de) nargias</t>
  </si>
  <si>
    <t>Poison (de) ragnée</t>
  </si>
  <si>
    <t>Fourrure (de) ragnée</t>
  </si>
  <si>
    <t>Casque (de) Rai</t>
  </si>
  <si>
    <t>Corne (de) unicorne</t>
  </si>
  <si>
    <t>gemmes (de) Yuze</t>
  </si>
  <si>
    <t>Soie (de) fée des lacs</t>
  </si>
  <si>
    <t>Peau (de) foutueur</t>
  </si>
  <si>
    <t>treCre1D</t>
  </si>
  <si>
    <t>treCre1</t>
  </si>
  <si>
    <t>17</t>
  </si>
  <si>
    <t>21</t>
  </si>
  <si>
    <t>25</t>
  </si>
  <si>
    <t>29</t>
  </si>
  <si>
    <t>33</t>
  </si>
  <si>
    <t>37</t>
  </si>
  <si>
    <t>41</t>
  </si>
  <si>
    <t>44</t>
  </si>
  <si>
    <t>47</t>
  </si>
  <si>
    <t>53</t>
  </si>
  <si>
    <t>56</t>
  </si>
  <si>
    <t>59</t>
  </si>
  <si>
    <t>62</t>
  </si>
  <si>
    <t>65</t>
  </si>
  <si>
    <t>68</t>
  </si>
  <si>
    <t>71</t>
  </si>
  <si>
    <t>73</t>
  </si>
  <si>
    <t>75</t>
  </si>
  <si>
    <t>77</t>
  </si>
  <si>
    <t>79</t>
  </si>
  <si>
    <t>81</t>
  </si>
  <si>
    <t>83</t>
  </si>
  <si>
    <t>85</t>
  </si>
  <si>
    <t>87</t>
  </si>
  <si>
    <t>89</t>
  </si>
  <si>
    <t>Sang (de) foutueur</t>
  </si>
  <si>
    <t>Tête (de) gorgonne</t>
  </si>
  <si>
    <t>Écailles   (de) gorgonne</t>
  </si>
  <si>
    <t>Crocs (de) grizzly</t>
  </si>
  <si>
    <t>Roche (de) Lavamorte</t>
  </si>
  <si>
    <t>Fourrure (de) loup des ombres</t>
  </si>
  <si>
    <t>Écailles (de) matin-rouge</t>
  </si>
  <si>
    <t>Bâton (de) Moinange</t>
  </si>
  <si>
    <t>Défenses (de) ogre</t>
  </si>
  <si>
    <t xml:space="preserve">Armes (de) ancien </t>
  </si>
  <si>
    <t xml:space="preserve">armures  (de) ancien </t>
  </si>
  <si>
    <t>poussière d'étoile (de) Asam</t>
  </si>
  <si>
    <t>Laine (de) Berlier</t>
  </si>
  <si>
    <t>Œufs  (de) blanc serpent</t>
  </si>
  <si>
    <t>Dents  (de) casfan</t>
  </si>
  <si>
    <t>Ivoire (de) cheval des cieux</t>
  </si>
  <si>
    <t>arc  (de) Dainesi</t>
  </si>
  <si>
    <t>arme de mêlée  (de) dainesi</t>
  </si>
  <si>
    <t>Cerveau (de) démon des tréfonds</t>
  </si>
  <si>
    <t>Dents (de) destrier noir</t>
  </si>
  <si>
    <t>Cheveux (de) fée des cieux</t>
  </si>
  <si>
    <t>Queue (de) Fidelius</t>
  </si>
  <si>
    <t>Serres (de) grand aigle</t>
  </si>
  <si>
    <t>Armes (de) homme scorie</t>
  </si>
  <si>
    <t>armures  (de) homme scorie</t>
  </si>
  <si>
    <t>Cerveau (de) Krakor</t>
  </si>
  <si>
    <t>Pyramide (de) Naag</t>
  </si>
  <si>
    <t>Perle Abyssale (de) nuage mort</t>
  </si>
  <si>
    <t>Fourrure (de) singe-fou</t>
  </si>
  <si>
    <t>Peau (de) taureau vert</t>
  </si>
  <si>
    <t>Arc (de) centaure</t>
  </si>
  <si>
    <t>Crinière (de) cheval féérique</t>
  </si>
  <si>
    <t>Sang (de) chien des enfers</t>
  </si>
  <si>
    <t>mouches (de) démon de putrescence</t>
  </si>
  <si>
    <t>Chairs (de) démon sans nom</t>
  </si>
  <si>
    <t>arc Ancien (de) fée de la nature</t>
  </si>
  <si>
    <t>Écailles (de) Homécaille</t>
  </si>
  <si>
    <t>Tome (de) Homme d'ivoire</t>
  </si>
  <si>
    <t>Dents (de) hydre</t>
  </si>
  <si>
    <t>Crocs (de) Malhorreur</t>
  </si>
  <si>
    <t>Robe (de) varen</t>
  </si>
  <si>
    <t>Écailles (de) chimère</t>
  </si>
  <si>
    <t>Œil (de) démon de feu</t>
  </si>
  <si>
    <t>épée de côté (de) Dianesse</t>
  </si>
  <si>
    <t>perles (de) fée des monts</t>
  </si>
  <si>
    <t>Armes (de) nain-géant</t>
  </si>
  <si>
    <t>ivoire (de) Olifant</t>
  </si>
  <si>
    <t>couronne (de) Roi déchu</t>
  </si>
  <si>
    <t>coeur (de) feulor</t>
  </si>
  <si>
    <t>yeux (de) salmorsure</t>
  </si>
  <si>
    <t>Ecailles (de) serpent des tréfonds</t>
  </si>
  <si>
    <t>peau (de) Silar</t>
  </si>
  <si>
    <t>poudre du crâne (de) Squelette</t>
  </si>
  <si>
    <t>Peau (de) volevar</t>
  </si>
  <si>
    <t>cerveau (de) Ziso</t>
  </si>
  <si>
    <t>Epée (de) ange</t>
  </si>
  <si>
    <t>épieu (de) ange</t>
  </si>
  <si>
    <t>Robe (de) ange</t>
  </si>
  <si>
    <t>poison (de) Baindsan</t>
  </si>
  <si>
    <t>ongles (de) démon des brumes</t>
  </si>
  <si>
    <t>Ivoire (de) Kramor</t>
  </si>
  <si>
    <t>Cuir (de) lamante</t>
  </si>
  <si>
    <t>lames (de) Lame éternelle</t>
  </si>
  <si>
    <t>corne (de) serpent d'eldor</t>
  </si>
  <si>
    <t>cervelle (de) Torcheur</t>
  </si>
  <si>
    <t>Bâton (de) Yaza</t>
  </si>
  <si>
    <t>Métal (de) Baveux</t>
  </si>
  <si>
    <t>globes oculaires (de) chevange</t>
  </si>
  <si>
    <t>crinière (de) chevange</t>
  </si>
  <si>
    <t>liquide visqueux (de) coeurnoir</t>
  </si>
  <si>
    <t>corne (de) Cornu</t>
  </si>
  <si>
    <t>corne (de) cyclope</t>
  </si>
  <si>
    <t>Dents (de) géant aveugle</t>
  </si>
  <si>
    <t>Sang (de) maîtresse de tous</t>
  </si>
  <si>
    <t>pièce d'ivoire (de) Présage</t>
  </si>
  <si>
    <t>maille légère (de) ancêtre</t>
  </si>
  <si>
    <t>épée longue (de) ancêtre</t>
  </si>
  <si>
    <t>défenses (de) corne divine</t>
  </si>
  <si>
    <t>épée (de) démon des tempêtes</t>
  </si>
  <si>
    <t>écailles (de) démon dragon</t>
  </si>
  <si>
    <t>Plumes (de) Elom</t>
  </si>
  <si>
    <t>bâton (de) grand esprit de feu</t>
  </si>
  <si>
    <t>Masse (de) grantom des tempêtes</t>
  </si>
  <si>
    <t>arc composite (de) minotaure de feu</t>
  </si>
  <si>
    <t>Cornes (de) vieux serpent</t>
  </si>
  <si>
    <t>épée (de) ange de la vengeance</t>
  </si>
  <si>
    <t>éclat précieux (de) Asla</t>
  </si>
  <si>
    <t>Fouet (de) grand ange</t>
  </si>
  <si>
    <t>fléau (de) grand ange</t>
  </si>
  <si>
    <t>Bure (de) grand ange</t>
  </si>
  <si>
    <t>éclat d'or (de) Rochefroid</t>
  </si>
  <si>
    <t>casque (de) Roi Ancien</t>
  </si>
  <si>
    <t>Arme (de) seigneur des neiges</t>
  </si>
  <si>
    <t>huile noire (de) tentacularin</t>
  </si>
  <si>
    <t>rivets de maille (de) Tuemort</t>
  </si>
  <si>
    <t>Griffes (de) robe sans âme</t>
  </si>
  <si>
    <t>Écailles (de) serpent vase</t>
  </si>
  <si>
    <t>Sang (de) dragon</t>
  </si>
  <si>
    <t>robe (de) lueur sainte</t>
  </si>
  <si>
    <t>gemme (de) Magisou</t>
  </si>
  <si>
    <t>Épieu (de) ange des nuages</t>
  </si>
  <si>
    <t>Robe  (de) ange des nuages</t>
  </si>
  <si>
    <t>Rune Dva’Linn</t>
  </si>
  <si>
    <t>Arme ancienne vivante + âme</t>
  </si>
  <si>
    <t>Focus défensif + sort</t>
  </si>
  <si>
    <t>Texte de créature divine</t>
  </si>
  <si>
    <t>Clé de demeure de créature</t>
  </si>
  <si>
    <t>Clé de coffre de créature</t>
  </si>
  <si>
    <t>Relique divine (unique)</t>
  </si>
  <si>
    <t>Focus utilitaire + sort</t>
  </si>
  <si>
    <t>Armure ancienne vivante + âme</t>
  </si>
  <si>
    <t>Poussière divine EE²</t>
  </si>
  <si>
    <t>Poussière divine EI²</t>
  </si>
  <si>
    <t>Poussière divine EO²</t>
  </si>
  <si>
    <t>Poussière divine EA²</t>
  </si>
  <si>
    <t>Livre de créature divine</t>
  </si>
  <si>
    <t>Deux lancés de dés (relancez ceux-ci)</t>
  </si>
  <si>
    <t>Trois lancés de dés(relancez ceux-ci)</t>
  </si>
  <si>
    <t>Quatre lancés de dés(relancez ceux-ci)</t>
  </si>
  <si>
    <t>treCre2</t>
  </si>
  <si>
    <t>treCre3</t>
  </si>
  <si>
    <t>treCre4</t>
  </si>
  <si>
    <t>Talisman</t>
  </si>
  <si>
    <t>Amulette</t>
  </si>
  <si>
    <r>
      <t>Écrits</t>
    </r>
    <r>
      <rPr>
        <vertAlign val="superscript"/>
        <sz val="8"/>
        <color theme="1"/>
        <rFont val="Verdana"/>
        <family val="2"/>
      </rPr>
      <t>1</t>
    </r>
  </si>
  <si>
    <r>
      <t>Armure/Vêtement</t>
    </r>
    <r>
      <rPr>
        <vertAlign val="superscript"/>
        <sz val="8"/>
        <color theme="1"/>
        <rFont val="Verdana"/>
        <family val="2"/>
      </rPr>
      <t>1</t>
    </r>
  </si>
  <si>
    <r>
      <t>Précieux</t>
    </r>
    <r>
      <rPr>
        <vertAlign val="superscript"/>
        <sz val="8"/>
        <color rgb="FF000000"/>
        <rFont val="Verdana"/>
        <family val="2"/>
      </rPr>
      <t>1</t>
    </r>
  </si>
  <si>
    <t>Poudre</t>
  </si>
  <si>
    <r>
      <t xml:space="preserve">Art(isanat) </t>
    </r>
    <r>
      <rPr>
        <vertAlign val="superscript"/>
        <sz val="8"/>
        <color rgb="FF000000"/>
        <rFont val="Verdana"/>
        <family val="2"/>
      </rPr>
      <t>1</t>
    </r>
  </si>
  <si>
    <r>
      <t>Gemme</t>
    </r>
    <r>
      <rPr>
        <vertAlign val="superscript"/>
        <sz val="8"/>
        <color theme="1"/>
        <rFont val="Verdana"/>
        <family val="2"/>
      </rPr>
      <t>1</t>
    </r>
  </si>
  <si>
    <t>Baguette</t>
  </si>
  <si>
    <r>
      <t>Arme</t>
    </r>
    <r>
      <rPr>
        <vertAlign val="superscript"/>
        <sz val="8"/>
        <color rgb="FF000000"/>
        <rFont val="Verdana"/>
        <family val="2"/>
      </rPr>
      <t>1</t>
    </r>
  </si>
  <si>
    <r>
      <t>Statue(tte)</t>
    </r>
    <r>
      <rPr>
        <vertAlign val="superscript"/>
        <sz val="8"/>
        <color rgb="FF000000"/>
        <rFont val="Verdana"/>
        <family val="2"/>
      </rPr>
      <t>1</t>
    </r>
  </si>
  <si>
    <t>Combinaison²</t>
  </si>
  <si>
    <t>treMag</t>
  </si>
  <si>
    <t>Flasque de cuir</t>
  </si>
  <si>
    <t>Pot de terre cuite</t>
  </si>
  <si>
    <t>Pot en métal</t>
  </si>
  <si>
    <t>Verre</t>
  </si>
  <si>
    <t>Chêne</t>
  </si>
  <si>
    <t>Ébène</t>
  </si>
  <si>
    <t>Cèdre</t>
  </si>
  <si>
    <t>Noyer</t>
  </si>
  <si>
    <t xml:space="preserve">Tissu </t>
  </si>
  <si>
    <t>Pot en terre cuite</t>
  </si>
  <si>
    <t xml:space="preserve">Étui métal </t>
  </si>
  <si>
    <t>treMagPotEli</t>
  </si>
  <si>
    <t>treMagAmuBagBat</t>
  </si>
  <si>
    <t>treMatPou</t>
  </si>
  <si>
    <t>Gol’Dewi</t>
  </si>
  <si>
    <t>Dar’Gos</t>
  </si>
  <si>
    <t>Gav’Reel</t>
  </si>
  <si>
    <t>Mush’Ru</t>
  </si>
  <si>
    <t>Hor’As</t>
  </si>
  <si>
    <t>Hura’Kam</t>
  </si>
  <si>
    <t>Taritu</t>
  </si>
  <si>
    <t>Angel</t>
  </si>
  <si>
    <t>Sil’Aor</t>
  </si>
  <si>
    <t>Al’Al</t>
  </si>
  <si>
    <t>Alal</t>
  </si>
  <si>
    <t>Rahab</t>
  </si>
  <si>
    <t>Berkil</t>
  </si>
  <si>
    <t>El’Fir</t>
  </si>
  <si>
    <t>Sammael</t>
  </si>
  <si>
    <t>Naamah</t>
  </si>
  <si>
    <t>Ahriman</t>
  </si>
  <si>
    <t>Lilith</t>
  </si>
  <si>
    <t>Lemasthu</t>
  </si>
  <si>
    <t>Ark’Vil</t>
  </si>
  <si>
    <t>Kaoma</t>
  </si>
  <si>
    <t>Murmur</t>
  </si>
  <si>
    <t>Allatu</t>
  </si>
  <si>
    <t>Barbatos</t>
  </si>
  <si>
    <t>Ded’Ay</t>
  </si>
  <si>
    <t>Abaddon</t>
  </si>
  <si>
    <t>Nergal</t>
  </si>
  <si>
    <t>Namtar</t>
  </si>
  <si>
    <t>Hecate</t>
  </si>
  <si>
    <t>Neb’Ass</t>
  </si>
  <si>
    <t>Arp’Unt</t>
  </si>
  <si>
    <t>Kor’Tal</t>
  </si>
  <si>
    <t>Mar’Tro</t>
  </si>
  <si>
    <t>Lar’Bor</t>
  </si>
  <si>
    <t>Sur’Kil</t>
  </si>
  <si>
    <t>Agonas</t>
  </si>
  <si>
    <t>Zehanpuryu’h</t>
  </si>
  <si>
    <t>Amilas</t>
  </si>
  <si>
    <t>Tehuti</t>
  </si>
  <si>
    <t>Lawchas</t>
  </si>
  <si>
    <t>Omael</t>
  </si>
  <si>
    <t>Manu</t>
  </si>
  <si>
    <t>Sarameya</t>
  </si>
  <si>
    <t>Soqed Hozi</t>
  </si>
  <si>
    <t>Ton’Ah</t>
  </si>
  <si>
    <t>Galdar</t>
  </si>
  <si>
    <t>Domiel</t>
  </si>
  <si>
    <t>Alfar</t>
  </si>
  <si>
    <t>Dval’inn</t>
  </si>
  <si>
    <t>Goibiniu</t>
  </si>
  <si>
    <t>Perfir</t>
  </si>
  <si>
    <t>Sidis</t>
  </si>
  <si>
    <t>Tyr</t>
  </si>
  <si>
    <t>son</t>
  </si>
  <si>
    <t>sommeil</t>
  </si>
  <si>
    <t>soin</t>
  </si>
  <si>
    <t>air</t>
  </si>
  <si>
    <t>esprit</t>
  </si>
  <si>
    <t>ombre</t>
  </si>
  <si>
    <t>mutant</t>
  </si>
  <si>
    <t>ciel</t>
  </si>
  <si>
    <t>eau</t>
  </si>
  <si>
    <t>vie</t>
  </si>
  <si>
    <t>temps</t>
  </si>
  <si>
    <t>SI²</t>
  </si>
  <si>
    <t>Nature²</t>
  </si>
  <si>
    <t>treMagDie</t>
  </si>
  <si>
    <t>treMagAli</t>
  </si>
  <si>
    <t>Relique</t>
  </si>
  <si>
    <t>gain d'un E</t>
  </si>
  <si>
    <t>Elixir</t>
  </si>
  <si>
    <t>Baton</t>
  </si>
  <si>
    <t>Propriété de base</t>
  </si>
  <si>
    <r>
      <t xml:space="preserve">Déterminez la forme et la matière, </t>
    </r>
    <r>
      <rPr>
        <b/>
        <sz val="8"/>
        <color theme="1"/>
        <rFont val="Verdana"/>
        <family val="2"/>
      </rPr>
      <t>RMa+NE/3</t>
    </r>
    <r>
      <rPr>
        <sz val="8"/>
        <color theme="1"/>
        <rFont val="Verdana"/>
        <family val="2"/>
      </rPr>
      <t>, pas de propriétés offensives(RMa active).</t>
    </r>
  </si>
  <si>
    <r>
      <t xml:space="preserve">Déterminez l’arme par la table </t>
    </r>
    <r>
      <rPr>
        <i/>
        <sz val="8"/>
        <color rgb="FF000000"/>
        <rFont val="Verdana"/>
        <family val="2"/>
      </rPr>
      <t xml:space="preserve">Arme, </t>
    </r>
    <r>
      <rPr>
        <sz val="8"/>
        <color rgb="FF000000"/>
        <rFont val="Verdana"/>
        <family val="2"/>
      </rPr>
      <t>effets :</t>
    </r>
    <r>
      <rPr>
        <i/>
        <sz val="8"/>
        <color rgb="FF000000"/>
        <rFont val="Verdana"/>
        <family val="2"/>
      </rPr>
      <t xml:space="preserve"> </t>
    </r>
    <r>
      <rPr>
        <b/>
        <sz val="8"/>
        <color rgb="FF000000"/>
        <rFont val="Verdana"/>
        <family val="2"/>
      </rPr>
      <t>Coup+[NE/3], R+[NEx2], Critique+[NEx3], VO+NE, Vitesse+[NE/2], Portée+[NEx10%]</t>
    </r>
    <r>
      <rPr>
        <sz val="8"/>
        <color rgb="FF000000"/>
        <rFont val="Verdana"/>
        <family val="2"/>
      </rPr>
      <t xml:space="preserve"> (pour les armes de jet).</t>
    </r>
  </si>
  <si>
    <r>
      <t xml:space="preserve">Déterminez l’armure par la table </t>
    </r>
    <r>
      <rPr>
        <i/>
        <sz val="8"/>
        <color theme="1"/>
        <rFont val="Verdana"/>
        <family val="2"/>
      </rPr>
      <t xml:space="preserve">Armure </t>
    </r>
    <r>
      <rPr>
        <sz val="8"/>
        <color theme="1"/>
        <rFont val="Verdana"/>
        <family val="2"/>
      </rPr>
      <t xml:space="preserve">: </t>
    </r>
    <r>
      <rPr>
        <b/>
        <sz val="8"/>
        <color theme="1"/>
        <rFont val="Verdana"/>
        <family val="2"/>
      </rPr>
      <t>R+[NEx2], T/E/C+[NE/3], Critique-[NEx3]</t>
    </r>
    <r>
      <rPr>
        <sz val="8"/>
        <color theme="1"/>
        <rFont val="Verdana"/>
        <family val="2"/>
      </rPr>
      <t>.</t>
    </r>
  </si>
  <si>
    <r>
      <t xml:space="preserve">Déterminez la forme et la matière selon la table </t>
    </r>
    <r>
      <rPr>
        <i/>
        <sz val="8"/>
        <color rgb="FF000000"/>
        <rFont val="Verdana"/>
        <family val="2"/>
      </rPr>
      <t xml:space="preserve">Art(isanat), </t>
    </r>
    <r>
      <rPr>
        <b/>
        <sz val="8"/>
        <color rgb="FF000000"/>
        <rFont val="Verdana"/>
        <family val="2"/>
      </rPr>
      <t>NEM/2, NE/2</t>
    </r>
    <r>
      <rPr>
        <sz val="8"/>
        <color rgb="FF000000"/>
        <rFont val="Verdana"/>
        <family val="2"/>
      </rPr>
      <t>.</t>
    </r>
  </si>
  <si>
    <r>
      <t xml:space="preserve">Déterminez la forme et la matière, </t>
    </r>
    <r>
      <rPr>
        <b/>
        <sz val="8"/>
        <color theme="1"/>
        <rFont val="Verdana"/>
        <family val="2"/>
      </rPr>
      <t>RMa+NE/2, PM+NE/3</t>
    </r>
    <r>
      <rPr>
        <sz val="8"/>
        <color theme="1"/>
        <rFont val="Verdana"/>
        <family val="2"/>
      </rPr>
      <t xml:space="preserve">, peut être utilisé pour lancer la magie en procurant une réserve </t>
    </r>
    <r>
      <rPr>
        <b/>
        <sz val="8"/>
        <color theme="1"/>
        <rFont val="Verdana"/>
        <family val="2"/>
      </rPr>
      <t>NEMx4 PdM</t>
    </r>
    <r>
      <rPr>
        <sz val="8"/>
        <color theme="1"/>
        <rFont val="Verdana"/>
        <family val="2"/>
      </rPr>
      <t xml:space="preserve"> pour chaque sort à un magicien de même alignement.</t>
    </r>
  </si>
  <si>
    <r>
      <t xml:space="preserve">Déterminez la forme et la matière, </t>
    </r>
    <r>
      <rPr>
        <b/>
        <sz val="8"/>
        <color rgb="FF000000"/>
        <rFont val="Verdana"/>
        <family val="2"/>
      </rPr>
      <t xml:space="preserve">RMa+NE, </t>
    </r>
    <r>
      <rPr>
        <sz val="8"/>
        <color rgb="FF000000"/>
        <rFont val="Verdana"/>
        <family val="2"/>
      </rPr>
      <t xml:space="preserve">peut être utilisé pour lancer la magie grâce à sa réserve de </t>
    </r>
    <r>
      <rPr>
        <b/>
        <sz val="8"/>
        <color rgb="FF000000"/>
        <rFont val="Verdana"/>
        <family val="2"/>
      </rPr>
      <t>NEMx(NE+2) PdM</t>
    </r>
    <r>
      <rPr>
        <sz val="8"/>
        <color rgb="FF000000"/>
        <rFont val="Verdana"/>
        <family val="2"/>
      </rPr>
      <t xml:space="preserve"> à un magicien de même alignement, se régénère en parallèle.</t>
    </r>
  </si>
  <si>
    <t>Combinaison de deux objets/matières à définir séparément. Cumulez les propriétés.</t>
  </si>
  <si>
    <r>
      <t xml:space="preserve">Déterminez la forme selon la table </t>
    </r>
    <r>
      <rPr>
        <i/>
        <sz val="8"/>
        <color rgb="FF000000"/>
        <rFont val="Verdana"/>
        <family val="2"/>
      </rPr>
      <t xml:space="preserve">Écrits, </t>
    </r>
    <r>
      <rPr>
        <b/>
        <sz val="8"/>
        <color rgb="FF000000"/>
        <rFont val="Verdana"/>
        <family val="2"/>
      </rPr>
      <t>NEMxNE</t>
    </r>
    <r>
      <rPr>
        <sz val="8"/>
        <color rgb="FF000000"/>
        <rFont val="Verdana"/>
        <family val="2"/>
      </rPr>
      <t xml:space="preserve"> usages avant d’épuiser la magie.</t>
    </r>
  </si>
  <si>
    <r>
      <t>Déterminez la qualité de l’élixir selon NE(</t>
    </r>
    <r>
      <rPr>
        <i/>
        <sz val="8"/>
        <color theme="1"/>
        <rFont val="Verdana"/>
        <family val="2"/>
      </rPr>
      <t>Alchimie</t>
    </r>
    <r>
      <rPr>
        <sz val="8"/>
        <color theme="1"/>
        <rFont val="Verdana"/>
        <family val="2"/>
      </rPr>
      <t xml:space="preserve">) : </t>
    </r>
    <r>
      <rPr>
        <b/>
        <sz val="8"/>
        <color theme="1"/>
        <rFont val="Verdana"/>
        <family val="2"/>
      </rPr>
      <t>1d6 doses</t>
    </r>
    <r>
      <rPr>
        <sz val="8"/>
        <color theme="1"/>
        <rFont val="Verdana"/>
        <family val="2"/>
      </rPr>
      <t xml:space="preserve">, </t>
    </r>
    <r>
      <rPr>
        <b/>
        <sz val="8"/>
        <color theme="1"/>
        <rFont val="Verdana"/>
        <family val="2"/>
      </rPr>
      <t>NE+1</t>
    </r>
    <r>
      <rPr>
        <sz val="8"/>
        <color theme="1"/>
        <rFont val="Verdana"/>
        <family val="2"/>
      </rPr>
      <t xml:space="preserve">, </t>
    </r>
    <r>
      <rPr>
        <b/>
        <sz val="8"/>
        <color theme="1"/>
        <rFont val="Verdana"/>
        <family val="2"/>
      </rPr>
      <t>durée</t>
    </r>
    <r>
      <rPr>
        <sz val="8"/>
        <color theme="1"/>
        <rFont val="Verdana"/>
        <family val="2"/>
      </rPr>
      <t xml:space="preserve"> des effets = </t>
    </r>
    <r>
      <rPr>
        <b/>
        <sz val="8"/>
        <color theme="1"/>
        <rFont val="Verdana"/>
        <family val="2"/>
      </rPr>
      <t>NEx5 tours</t>
    </r>
    <r>
      <rPr>
        <sz val="8"/>
        <color theme="1"/>
        <rFont val="Verdana"/>
        <family val="2"/>
      </rPr>
      <t>, si curatif il faut NE phases avant de bénéficier des effets.</t>
    </r>
  </si>
  <si>
    <r>
      <t xml:space="preserve">Déterminez la forme et la qualité selon </t>
    </r>
    <r>
      <rPr>
        <i/>
        <sz val="8"/>
        <color rgb="FF000000"/>
        <rFont val="Verdana"/>
        <family val="2"/>
      </rPr>
      <t xml:space="preserve">Gemme, </t>
    </r>
    <r>
      <rPr>
        <b/>
        <sz val="8"/>
        <color rgb="FF000000"/>
        <rFont val="Verdana"/>
        <family val="2"/>
      </rPr>
      <t>NE-1</t>
    </r>
    <r>
      <rPr>
        <sz val="8"/>
        <color rgb="FF000000"/>
        <rFont val="Verdana"/>
        <family val="2"/>
      </rPr>
      <t xml:space="preserve">, </t>
    </r>
    <r>
      <rPr>
        <b/>
        <sz val="8"/>
        <color rgb="FF000000"/>
        <rFont val="Verdana"/>
        <family val="2"/>
      </rPr>
      <t>RMa+NE/4</t>
    </r>
    <r>
      <rPr>
        <sz val="8"/>
        <color rgb="FF000000"/>
        <rFont val="Verdana"/>
        <family val="2"/>
      </rPr>
      <t>. Déterminez l’état du PN.</t>
    </r>
  </si>
  <si>
    <r>
      <t xml:space="preserve">Déterminez le genre selon </t>
    </r>
    <r>
      <rPr>
        <i/>
        <sz val="8"/>
        <color theme="1"/>
        <rFont val="Verdana"/>
        <family val="2"/>
      </rPr>
      <t>Artisanat</t>
    </r>
    <r>
      <rPr>
        <sz val="8"/>
        <color theme="1"/>
        <rFont val="Verdana"/>
        <family val="2"/>
      </rPr>
      <t>-</t>
    </r>
    <r>
      <rPr>
        <i/>
        <sz val="8"/>
        <color theme="1"/>
        <rFont val="Verdana"/>
        <family val="2"/>
      </rPr>
      <t xml:space="preserve">Précieux, </t>
    </r>
    <r>
      <rPr>
        <b/>
        <sz val="8"/>
        <color theme="1"/>
        <rFont val="Verdana"/>
        <family val="2"/>
      </rPr>
      <t>NE+1</t>
    </r>
    <r>
      <rPr>
        <sz val="8"/>
        <color theme="1"/>
        <rFont val="Verdana"/>
        <family val="2"/>
      </rPr>
      <t xml:space="preserve">, </t>
    </r>
    <r>
      <rPr>
        <b/>
        <sz val="8"/>
        <color theme="1"/>
        <rFont val="Verdana"/>
        <family val="2"/>
      </rPr>
      <t>RMa+NE/3</t>
    </r>
    <r>
      <rPr>
        <sz val="8"/>
        <color theme="1"/>
        <rFont val="Verdana"/>
        <family val="2"/>
      </rPr>
      <t>.</t>
    </r>
  </si>
  <si>
    <r>
      <t>Déterminez la qualité de la potion = NE(</t>
    </r>
    <r>
      <rPr>
        <i/>
        <sz val="8"/>
        <color rgb="FF000000"/>
        <rFont val="Verdana"/>
        <family val="2"/>
      </rPr>
      <t>Alchimie</t>
    </r>
    <r>
      <rPr>
        <sz val="8"/>
        <color rgb="FF000000"/>
        <rFont val="Verdana"/>
        <family val="2"/>
      </rPr>
      <t xml:space="preserve">), </t>
    </r>
    <r>
      <rPr>
        <b/>
        <sz val="8"/>
        <color rgb="FF000000"/>
        <rFont val="Verdana"/>
        <family val="2"/>
      </rPr>
      <t>2d6 doses</t>
    </r>
    <r>
      <rPr>
        <sz val="8"/>
        <color rgb="FF000000"/>
        <rFont val="Verdana"/>
        <family val="2"/>
      </rPr>
      <t>.</t>
    </r>
  </si>
  <si>
    <r>
      <t>Déterminez la qualité de la poudre = NE(</t>
    </r>
    <r>
      <rPr>
        <i/>
        <sz val="8"/>
        <color theme="1"/>
        <rFont val="Verdana"/>
        <family val="2"/>
      </rPr>
      <t>Alchimie</t>
    </r>
    <r>
      <rPr>
        <sz val="8"/>
        <color theme="1"/>
        <rFont val="Verdana"/>
        <family val="2"/>
      </rPr>
      <t xml:space="preserve">), doses = </t>
    </r>
    <r>
      <rPr>
        <b/>
        <sz val="8"/>
        <color theme="1"/>
        <rFont val="Verdana"/>
        <family val="2"/>
      </rPr>
      <t>2D10</t>
    </r>
    <r>
      <rPr>
        <sz val="8"/>
        <color theme="1"/>
        <rFont val="Verdana"/>
        <family val="2"/>
      </rPr>
      <t xml:space="preserve">, 50% de devoir être mélangé avec un liquide approprié (définit par MdJ) pour pouvoir agir. </t>
    </r>
  </si>
  <si>
    <r>
      <t>Déterminez la matière et la forme (</t>
    </r>
    <r>
      <rPr>
        <i/>
        <sz val="8"/>
        <color theme="1"/>
        <rFont val="Verdana"/>
        <family val="2"/>
      </rPr>
      <t>Artisanat/Statue</t>
    </r>
    <r>
      <rPr>
        <sz val="8"/>
        <color theme="1"/>
        <rFont val="Verdana"/>
        <family val="2"/>
      </rPr>
      <t xml:space="preserve">), </t>
    </r>
    <r>
      <rPr>
        <b/>
        <sz val="8"/>
        <color theme="1"/>
        <rFont val="Verdana"/>
        <family val="2"/>
      </rPr>
      <t>PdM x2</t>
    </r>
    <r>
      <rPr>
        <sz val="8"/>
        <color theme="1"/>
        <rFont val="Verdana"/>
        <family val="2"/>
      </rPr>
      <t xml:space="preserve">, </t>
    </r>
    <r>
      <rPr>
        <b/>
        <sz val="8"/>
        <color theme="1"/>
        <rFont val="Verdana"/>
        <family val="2"/>
      </rPr>
      <t>RMa+NE/2</t>
    </r>
    <r>
      <rPr>
        <sz val="8"/>
        <color theme="1"/>
        <rFont val="Verdana"/>
        <family val="2"/>
      </rPr>
      <t>.</t>
    </r>
  </si>
  <si>
    <r>
      <t xml:space="preserve">Déterminez la matière et la forme, </t>
    </r>
    <r>
      <rPr>
        <b/>
        <sz val="8"/>
        <color rgb="FF000000"/>
        <rFont val="Verdana"/>
        <family val="2"/>
      </rPr>
      <t>RMa+NE/2</t>
    </r>
    <r>
      <rPr>
        <sz val="8"/>
        <color rgb="FF000000"/>
        <rFont val="Verdana"/>
        <family val="2"/>
      </rPr>
      <t>.</t>
    </r>
  </si>
  <si>
    <t>treRelProB</t>
  </si>
  <si>
    <r>
      <rPr>
        <b/>
        <sz val="8"/>
        <color rgb="FF000000"/>
        <rFont val="Verdana"/>
        <family val="2"/>
      </rPr>
      <t>1D10* doses</t>
    </r>
    <r>
      <rPr>
        <sz val="8"/>
        <color rgb="FF000000"/>
        <rFont val="Verdana"/>
        <family val="2"/>
      </rPr>
      <t xml:space="preserve"> si besoin. Déterminez l’état du PN (minimum préparé).</t>
    </r>
  </si>
  <si>
    <t>treMagp1</t>
  </si>
  <si>
    <t>treMagP2</t>
  </si>
  <si>
    <t>treMagP3</t>
  </si>
  <si>
    <t>treMagP4</t>
  </si>
  <si>
    <t>propriété magique</t>
  </si>
  <si>
    <t>Attraction</t>
  </si>
  <si>
    <r>
      <t>Peut attirer une créature au hasard (alignée comme la relique) du monde Ancien/Humain/Divin (d3) avec P=</t>
    </r>
    <r>
      <rPr>
        <b/>
        <sz val="8"/>
        <color theme="1"/>
        <rFont val="Verdana"/>
        <family val="2"/>
      </rPr>
      <t>RMa</t>
    </r>
    <r>
      <rPr>
        <sz val="8"/>
        <color theme="1"/>
        <rFont val="Verdana"/>
        <family val="2"/>
      </rPr>
      <t>(Relique)% 1x/jour. Test d’</t>
    </r>
    <r>
      <rPr>
        <b/>
        <sz val="8"/>
        <color theme="1"/>
        <rFont val="Verdana"/>
        <family val="2"/>
      </rPr>
      <t>Em(Com)+NEM</t>
    </r>
    <r>
      <rPr>
        <sz val="8"/>
        <color theme="1"/>
        <rFont val="Verdana"/>
        <family val="2"/>
      </rPr>
      <t xml:space="preserve"> pour deviner cette propriété </t>
    </r>
    <r>
      <rPr>
        <u/>
        <sz val="8"/>
        <color theme="1"/>
        <rFont val="Verdana"/>
        <family val="2"/>
      </rPr>
      <t>avant</t>
    </r>
    <r>
      <rPr>
        <sz val="8"/>
        <color theme="1"/>
        <rFont val="Verdana"/>
        <family val="2"/>
      </rPr>
      <t xml:space="preserve"> de prendre l’objet. La créature qui arrivera par ses propres moyens et attaquera les êtres présents à alignement différent du sien. Sinon obéira à X.</t>
    </r>
  </si>
  <si>
    <r>
      <t>Sort DS6</t>
    </r>
    <r>
      <rPr>
        <sz val="8"/>
        <color theme="1"/>
        <rFont val="Verdana"/>
        <family val="2"/>
      </rPr>
      <t xml:space="preserve">. </t>
    </r>
    <r>
      <rPr>
        <i/>
        <sz val="8"/>
        <color theme="1"/>
        <rFont val="Verdana"/>
        <family val="2"/>
      </rPr>
      <t>Créature reste NE+1h. Distance=illimitée. Toujours la même race de créature appelée. Doit être tuée/repoussée avant la fin par V(car)x1, 1x/h, sinon attaque X</t>
    </r>
    <r>
      <rPr>
        <sz val="8"/>
        <color theme="1"/>
        <rFont val="Verdana"/>
        <family val="2"/>
      </rPr>
      <t>.</t>
    </r>
  </si>
  <si>
    <t>Attribut spécial</t>
  </si>
  <si>
    <r>
      <t xml:space="preserve">Selon les tables spéciales de création de Perso : </t>
    </r>
    <r>
      <rPr>
        <i/>
        <sz val="8"/>
        <color rgb="FF000000"/>
        <rFont val="Verdana"/>
        <family val="2"/>
      </rPr>
      <t>Livre Personnage 1.3.36, un des tables 3, 7, 8, 13 et 14</t>
    </r>
    <r>
      <rPr>
        <sz val="8"/>
        <color rgb="FF000000"/>
        <rFont val="Verdana"/>
        <family val="2"/>
      </rPr>
      <t xml:space="preserve"> (lancez d5). Relancez jusqu’à avoir un résultat qui donne un réel avantage.</t>
    </r>
  </si>
  <si>
    <t>Permanent.</t>
  </si>
  <si>
    <t>Bannissement</t>
  </si>
  <si>
    <r>
      <t xml:space="preserve">Peut </t>
    </r>
    <r>
      <rPr>
        <sz val="8"/>
        <color rgb="FF000000"/>
        <rFont val="Verdana"/>
        <family val="2"/>
      </rPr>
      <t>repousser</t>
    </r>
    <r>
      <rPr>
        <sz val="8"/>
        <color theme="1"/>
        <rFont val="Verdana"/>
        <family val="2"/>
      </rPr>
      <t xml:space="preserve"> une créature dans son monde ou la </t>
    </r>
    <r>
      <rPr>
        <sz val="8"/>
        <color rgb="FF000000"/>
        <rFont val="Verdana"/>
        <family val="2"/>
      </rPr>
      <t>faire fuir</t>
    </r>
    <r>
      <rPr>
        <sz val="8"/>
        <color theme="1"/>
        <rFont val="Verdana"/>
        <family val="2"/>
      </rPr>
      <t xml:space="preserve"> à NEx5 km (selon). Déterminer l’alignement et la race cible qui peut être repoussée ainsi. Si </t>
    </r>
    <r>
      <rPr>
        <b/>
        <sz val="8"/>
        <color theme="1"/>
        <rFont val="Verdana"/>
        <family val="2"/>
      </rPr>
      <t>tRP</t>
    </r>
    <r>
      <rPr>
        <sz val="8"/>
        <color theme="1"/>
        <rFont val="Verdana"/>
        <family val="2"/>
      </rPr>
      <t xml:space="preserve"> alors la créature est seulement bannie (repoussée) pendant </t>
    </r>
    <r>
      <rPr>
        <b/>
        <sz val="8"/>
        <color theme="1"/>
        <rFont val="Verdana"/>
        <family val="2"/>
      </rPr>
      <t>NEx2</t>
    </r>
    <r>
      <rPr>
        <sz val="8"/>
        <color theme="1"/>
        <rFont val="Verdana"/>
        <family val="2"/>
      </rPr>
      <t xml:space="preserve"> tours. </t>
    </r>
  </si>
  <si>
    <t>NEx2 usages par jour. Distance de la cible = NEx10m. Durée = NE+1 jours.</t>
  </si>
  <si>
    <t>Caractéristique</t>
  </si>
  <si>
    <r>
      <t xml:space="preserve">Déterminez une caractéristique au hasard (D10), elle reçoit un bonus </t>
    </r>
    <r>
      <rPr>
        <b/>
        <sz val="8"/>
        <color rgb="FF000000"/>
        <rFont val="Verdana"/>
        <family val="2"/>
      </rPr>
      <t>+RMa x D10*</t>
    </r>
    <r>
      <rPr>
        <sz val="8"/>
        <color rgb="FF000000"/>
        <rFont val="Verdana"/>
        <family val="2"/>
      </rPr>
      <t>.</t>
    </r>
    <r>
      <rPr>
        <i/>
        <sz val="8"/>
        <color rgb="FF000000"/>
        <rFont val="Verdana"/>
        <family val="2"/>
      </rPr>
      <t xml:space="preserve"> </t>
    </r>
  </si>
  <si>
    <r>
      <t>Permanent</t>
    </r>
    <r>
      <rPr>
        <sz val="8"/>
        <color rgb="FF000000"/>
        <rFont val="Verdana"/>
        <family val="2"/>
      </rPr>
      <t>.</t>
    </r>
  </si>
  <si>
    <r>
      <t xml:space="preserve">Bonus de </t>
    </r>
    <r>
      <rPr>
        <b/>
        <sz val="8"/>
        <color theme="1"/>
        <rFont val="Verdana"/>
        <family val="2"/>
      </rPr>
      <t>RMa</t>
    </r>
    <r>
      <rPr>
        <sz val="8"/>
        <color theme="1"/>
        <rFont val="Verdana"/>
        <family val="2"/>
      </rPr>
      <t xml:space="preserve"> aux tests de </t>
    </r>
    <r>
      <rPr>
        <sz val="8"/>
        <color rgb="FF000000"/>
        <rFont val="Verdana"/>
        <family val="2"/>
      </rPr>
      <t>Moral</t>
    </r>
    <r>
      <rPr>
        <sz val="8"/>
        <color theme="1"/>
        <rFont val="Verdana"/>
        <family val="2"/>
      </rPr>
      <t xml:space="preserve"> et de </t>
    </r>
    <r>
      <rPr>
        <sz val="8"/>
        <color rgb="FF000000"/>
        <rFont val="Verdana"/>
        <family val="2"/>
      </rPr>
      <t>NEC</t>
    </r>
    <r>
      <rPr>
        <sz val="8"/>
        <color theme="1"/>
        <rFont val="Verdana"/>
        <family val="2"/>
      </rPr>
      <t>.</t>
    </r>
  </si>
  <si>
    <t>X remplace tous ses traits de caractère par un (seul) autre au choix de X.</t>
  </si>
  <si>
    <t>Chance</t>
  </si>
  <si>
    <r>
      <t xml:space="preserve">Bonus général de </t>
    </r>
    <r>
      <rPr>
        <b/>
        <sz val="8"/>
        <color theme="1"/>
        <rFont val="Verdana"/>
        <family val="2"/>
      </rPr>
      <t>+NE</t>
    </r>
    <r>
      <rPr>
        <sz val="8"/>
        <color theme="1"/>
        <rFont val="Verdana"/>
        <family val="2"/>
      </rPr>
      <t xml:space="preserve"> pour X. </t>
    </r>
  </si>
  <si>
    <r>
      <t>Permanent</t>
    </r>
    <r>
      <rPr>
        <sz val="8"/>
        <color theme="1"/>
        <rFont val="Verdana"/>
        <family val="2"/>
      </rPr>
      <t>.</t>
    </r>
  </si>
  <si>
    <t>Clé</t>
  </si>
  <si>
    <r>
      <t xml:space="preserve">Permet de contrôler (activer/désactiver) les propriétés de </t>
    </r>
    <r>
      <rPr>
        <b/>
        <sz val="8"/>
        <color rgb="FF000000"/>
        <rFont val="Verdana"/>
        <family val="2"/>
      </rPr>
      <t>NE</t>
    </r>
    <r>
      <rPr>
        <sz val="8"/>
        <color rgb="FF000000"/>
        <rFont val="Verdana"/>
        <family val="2"/>
      </rPr>
      <t xml:space="preserve"> focus connus et situés à moins de </t>
    </r>
    <r>
      <rPr>
        <b/>
        <sz val="8"/>
        <color rgb="FF000000"/>
        <rFont val="Verdana"/>
        <family val="2"/>
      </rPr>
      <t>NEMx10m </t>
    </r>
    <r>
      <rPr>
        <sz val="8"/>
        <color rgb="FF000000"/>
        <rFont val="Verdana"/>
        <family val="2"/>
      </rPr>
      <t xml:space="preserve">de X. Durée de désactivation = </t>
    </r>
    <r>
      <rPr>
        <b/>
        <sz val="8"/>
        <color rgb="FF000000"/>
        <rFont val="Verdana"/>
        <family val="2"/>
      </rPr>
      <t>RMa</t>
    </r>
    <r>
      <rPr>
        <sz val="8"/>
        <color rgb="FF000000"/>
        <rFont val="Verdana"/>
        <family val="2"/>
      </rPr>
      <t xml:space="preserve"> phases.</t>
    </r>
  </si>
  <si>
    <t>NE/2 usages par jour. Test sur EM(Inu)x1.</t>
  </si>
  <si>
    <t xml:space="preserve">Communication </t>
  </si>
  <si>
    <r>
      <t>Permet de communiquer avec une race [</t>
    </r>
    <r>
      <rPr>
        <sz val="8"/>
        <color rgb="FF000000"/>
        <rFont val="Verdana"/>
        <family val="2"/>
      </rPr>
      <t>animal/créature Monde Humain/créature Monde Ancien/créature Monde Divin</t>
    </r>
    <r>
      <rPr>
        <sz val="8"/>
        <color theme="1"/>
        <rFont val="Verdana"/>
        <family val="2"/>
      </rPr>
      <t>] (</t>
    </r>
    <r>
      <rPr>
        <b/>
        <sz val="8"/>
        <color theme="1"/>
        <rFont val="Verdana"/>
        <family val="2"/>
      </rPr>
      <t>D10*</t>
    </r>
    <r>
      <rPr>
        <sz val="8"/>
        <color theme="1"/>
        <rFont val="Verdana"/>
        <family val="2"/>
      </rPr>
      <t>). Déterminer le mode de communication parole/ signe/pensée (</t>
    </r>
    <r>
      <rPr>
        <b/>
        <sz val="8"/>
        <color theme="1"/>
        <rFont val="Verdana"/>
        <family val="2"/>
      </rPr>
      <t>d3</t>
    </r>
    <r>
      <rPr>
        <sz val="8"/>
        <color theme="1"/>
        <rFont val="Verdana"/>
        <family val="2"/>
      </rPr>
      <t xml:space="preserve">). Donne 1 ExT à chaque réussite si langue parlée existe. </t>
    </r>
  </si>
  <si>
    <t>Sort DS1. Durée=NEx5 phases. Distance NEx5m. RMa active.</t>
  </si>
  <si>
    <t>Communication</t>
  </si>
  <si>
    <t xml:space="preserve">intérieure </t>
  </si>
  <si>
    <t xml:space="preserve">Permet de communiquer mentalement avec des êtres en vue, NE/3 conversations parallèles. Envoi d’images et d’impressions mais pas de mots. Peut percevoir des émotions si cible rate V(res)x1, 1x/tour, test à la demande. </t>
  </si>
  <si>
    <t>Sort DS3. Durée=NEx10 phases. Distance NEx10m. RMa active.</t>
  </si>
  <si>
    <t xml:space="preserve">ultime </t>
  </si>
  <si>
    <r>
      <t xml:space="preserve">Permet de </t>
    </r>
    <r>
      <rPr>
        <sz val="8"/>
        <color rgb="FF000000"/>
        <rFont val="Verdana"/>
        <family val="2"/>
      </rPr>
      <t>sonder une cible</t>
    </r>
    <r>
      <rPr>
        <sz val="8"/>
        <color theme="1"/>
        <rFont val="Verdana"/>
        <family val="2"/>
      </rPr>
      <t xml:space="preserve"> animée ou non, une à la fois. De connaître son </t>
    </r>
    <r>
      <rPr>
        <b/>
        <sz val="8"/>
        <color theme="1"/>
        <rFont val="Verdana"/>
        <family val="2"/>
      </rPr>
      <t>alignement</t>
    </r>
    <r>
      <rPr>
        <sz val="8"/>
        <color theme="1"/>
        <rFont val="Verdana"/>
        <family val="2"/>
      </rPr>
      <t xml:space="preserve">, ses </t>
    </r>
    <r>
      <rPr>
        <b/>
        <sz val="8"/>
        <color theme="1"/>
        <rFont val="Verdana"/>
        <family val="2"/>
      </rPr>
      <t>pouvoirs</t>
    </r>
    <r>
      <rPr>
        <sz val="8"/>
        <color theme="1"/>
        <rFont val="Verdana"/>
        <family val="2"/>
      </rPr>
      <t xml:space="preserve">, </t>
    </r>
    <r>
      <rPr>
        <b/>
        <sz val="8"/>
        <color theme="1"/>
        <rFont val="Verdana"/>
        <family val="2"/>
      </rPr>
      <t>capacités</t>
    </r>
    <r>
      <rPr>
        <sz val="8"/>
        <color theme="1"/>
        <rFont val="Verdana"/>
        <family val="2"/>
      </rPr>
      <t xml:space="preserve"> et ses </t>
    </r>
    <r>
      <rPr>
        <b/>
        <sz val="8"/>
        <color theme="1"/>
        <rFont val="Verdana"/>
        <family val="2"/>
      </rPr>
      <t>talents</t>
    </r>
    <r>
      <rPr>
        <sz val="8"/>
        <color theme="1"/>
        <rFont val="Verdana"/>
        <family val="2"/>
      </rPr>
      <t xml:space="preserve"> à NE&gt;40. La cible doit être connue et avoir été rencontrée au moins une fois, et avoir Divin=0. </t>
    </r>
  </si>
  <si>
    <t>NE usages par jour. Durée = NE phases. Distance NEx10m. RMa active.</t>
  </si>
  <si>
    <t xml:space="preserve">Connaissance matière </t>
  </si>
  <si>
    <r>
      <t xml:space="preserve">La relique possède </t>
    </r>
    <r>
      <rPr>
        <b/>
        <sz val="8"/>
        <color rgb="FF000000"/>
        <rFont val="Verdana"/>
        <family val="2"/>
      </rPr>
      <t>NEx5%</t>
    </r>
    <r>
      <rPr>
        <sz val="8"/>
        <color rgb="FF000000"/>
        <rFont val="Verdana"/>
        <family val="2"/>
      </rPr>
      <t xml:space="preserve"> chance de répondre à une question de culture générale, sur un des domaines du talent </t>
    </r>
    <r>
      <rPr>
        <i/>
        <sz val="8"/>
        <color rgb="FF000000"/>
        <rFont val="Verdana"/>
        <family val="2"/>
      </rPr>
      <t>Recherche</t>
    </r>
    <r>
      <rPr>
        <sz val="8"/>
        <color rgb="FF000000"/>
        <rFont val="Verdana"/>
        <family val="2"/>
      </rPr>
      <t>, comme talent à NE = NE(relique)x5, max 80. La réponse est générale et fait maxiumum une phrase.</t>
    </r>
  </si>
  <si>
    <t>Sort DS7. Voir sort Oracle.</t>
  </si>
  <si>
    <t>Connaissance talent</t>
  </si>
  <si>
    <r>
      <t xml:space="preserve">Déterminez si TG/TC (d2) et ensuite déterminez le talent au hasard. Procure un bonus de </t>
    </r>
    <r>
      <rPr>
        <b/>
        <sz val="8"/>
        <color theme="1"/>
        <rFont val="Verdana"/>
        <family val="2"/>
      </rPr>
      <t xml:space="preserve">NEx5 </t>
    </r>
    <r>
      <rPr>
        <sz val="8"/>
        <color theme="1"/>
        <rFont val="Verdana"/>
        <family val="2"/>
      </rPr>
      <t>(max 50) aux tests de ce talent.</t>
    </r>
  </si>
  <si>
    <t>Détection être</t>
  </si>
  <si>
    <r>
      <t xml:space="preserve">Déterminez une </t>
    </r>
    <r>
      <rPr>
        <b/>
        <sz val="8"/>
        <color rgb="FF000000"/>
        <rFont val="Verdana"/>
        <family val="2"/>
      </rPr>
      <t>race</t>
    </r>
    <r>
      <rPr>
        <sz val="8"/>
        <color rgb="FF000000"/>
        <rFont val="Verdana"/>
        <family val="2"/>
      </rPr>
      <t xml:space="preserve"> de créature. Max 1x/ heure. Des lueurs apparaissent dans le champ de vision, taille varie selon distance, pas de limite du nombre de cibles. </t>
    </r>
  </si>
  <si>
    <t>Sort DS3. Distance = RMa(relique) x5m. Durée = NE tours.</t>
  </si>
  <si>
    <t>Détection objet</t>
  </si>
  <si>
    <r>
      <t xml:space="preserve">Détecte une </t>
    </r>
    <r>
      <rPr>
        <b/>
        <sz val="8"/>
        <color theme="1"/>
        <rFont val="Verdana"/>
        <family val="2"/>
      </rPr>
      <t>famille d’objets</t>
    </r>
    <r>
      <rPr>
        <sz val="8"/>
        <color theme="1"/>
        <rFont val="Verdana"/>
        <family val="2"/>
      </rPr>
      <t xml:space="preserve"> bien particuliers (</t>
    </r>
    <r>
      <rPr>
        <sz val="8"/>
        <color rgb="FF000000"/>
        <rFont val="Verdana"/>
        <family val="2"/>
      </rPr>
      <t>définie par MdJ</t>
    </r>
    <r>
      <rPr>
        <sz val="8"/>
        <color theme="1"/>
        <rFont val="Verdana"/>
        <family val="2"/>
      </rPr>
      <t xml:space="preserve">). Max 1x/heure. Des </t>
    </r>
    <r>
      <rPr>
        <sz val="8"/>
        <color rgb="FF000000"/>
        <rFont val="Verdana"/>
        <family val="2"/>
      </rPr>
      <t>lueurs</t>
    </r>
    <r>
      <rPr>
        <sz val="8"/>
        <color theme="1"/>
        <rFont val="Verdana"/>
        <family val="2"/>
      </rPr>
      <t xml:space="preserve"> apparaissent dans le champ de vision, taille selon distance, NE cibles les plus proches.</t>
    </r>
  </si>
  <si>
    <t>Sort DS2. Distance = RMa(relique) x 10m. Durée = NE tours.</t>
  </si>
  <si>
    <t>Détection piège</t>
  </si>
  <si>
    <r>
      <t xml:space="preserve">Détecte tous les </t>
    </r>
    <r>
      <rPr>
        <b/>
        <sz val="8"/>
        <color rgb="FF000000"/>
        <rFont val="Verdana"/>
        <family val="2"/>
      </rPr>
      <t>pièges</t>
    </r>
    <r>
      <rPr>
        <sz val="8"/>
        <color rgb="FF000000"/>
        <rFont val="Verdana"/>
        <family val="2"/>
      </rPr>
      <t xml:space="preserve"> mais pas leur aspect magique. Max 1x/2h. Aucun obstacle, lueurs (gris si métal, brun si bois, vert si poison) dans le champe de vision, NE cibles les plus proches. Taille lueur selon NE du piège.</t>
    </r>
  </si>
  <si>
    <t>Sort DS4. Distance = RMa(relique) x 10m. Durée = NE tours.</t>
  </si>
  <si>
    <t>Détection passage</t>
  </si>
  <si>
    <r>
      <t xml:space="preserve">Détecte tous les </t>
    </r>
    <r>
      <rPr>
        <b/>
        <sz val="8"/>
        <color theme="1"/>
        <rFont val="Verdana"/>
        <family val="2"/>
      </rPr>
      <t>passages</t>
    </r>
    <r>
      <rPr>
        <sz val="8"/>
        <color theme="1"/>
        <rFont val="Verdana"/>
        <family val="2"/>
      </rPr>
      <t xml:space="preserve"> (trou, trappe, porte etc.) cachés ou non, magiques ou non, Max 1x/4h. </t>
    </r>
    <r>
      <rPr>
        <sz val="8"/>
        <color rgb="FF000000"/>
        <rFont val="Verdana"/>
        <family val="2"/>
      </rPr>
      <t>Lueurs</t>
    </r>
    <r>
      <rPr>
        <sz val="8"/>
        <color theme="1"/>
        <rFont val="Verdana"/>
        <family val="2"/>
      </rPr>
      <t xml:space="preserve"> dans le champ de vision, taille selon distance, NE cibles les plus proches.</t>
    </r>
  </si>
  <si>
    <t>Sort DS5. Distance = RMa(relique) x 10m. Durée = NE tours.</t>
  </si>
  <si>
    <t>Détection trésor</t>
  </si>
  <si>
    <r>
      <t xml:space="preserve">Détecte toutes les </t>
    </r>
    <r>
      <rPr>
        <b/>
        <sz val="8"/>
        <color rgb="FF000000"/>
        <rFont val="Verdana"/>
        <family val="2"/>
      </rPr>
      <t>pièces de monnaie</t>
    </r>
    <r>
      <rPr>
        <sz val="8"/>
        <color rgb="FF000000"/>
        <rFont val="Verdana"/>
        <family val="2"/>
      </rPr>
      <t xml:space="preserve"> frappées et leur matière principale. Max 1x/6h. Lueurs dans le champ de vision, une par pièce, couleur selon matière (or, argent cuivre…).</t>
    </r>
  </si>
  <si>
    <t>Sort DS6. Distance = RMa(relique) m. Durée = NE phases.</t>
  </si>
  <si>
    <t>Détection PN</t>
  </si>
  <si>
    <r>
      <t xml:space="preserve">Détecte les </t>
    </r>
    <r>
      <rPr>
        <b/>
        <sz val="8"/>
        <color theme="1"/>
        <rFont val="Verdana"/>
        <family val="2"/>
      </rPr>
      <t>PN</t>
    </r>
    <r>
      <rPr>
        <sz val="8"/>
        <color theme="1"/>
        <rFont val="Verdana"/>
        <family val="2"/>
      </rPr>
      <t xml:space="preserve"> végétaux/minéraux/animaux (d3). Max 1x/jour. </t>
    </r>
    <r>
      <rPr>
        <sz val="8"/>
        <color rgb="FF000000"/>
        <rFont val="Verdana"/>
        <family val="2"/>
      </rPr>
      <t>Lueurs</t>
    </r>
    <r>
      <rPr>
        <sz val="8"/>
        <color theme="1"/>
        <rFont val="Verdana"/>
        <family val="2"/>
      </rPr>
      <t xml:space="preserve"> dans le champ de vision, plus ou moins fortes selon la rareté du PN. NE cibles les plus proches. Seuls les PN </t>
    </r>
    <r>
      <rPr>
        <b/>
        <sz val="8"/>
        <color theme="1"/>
        <rFont val="Verdana"/>
        <family val="2"/>
      </rPr>
      <t>connus</t>
    </r>
    <r>
      <rPr>
        <sz val="8"/>
        <color theme="1"/>
        <rFont val="Verdana"/>
        <family val="2"/>
      </rPr>
      <t xml:space="preserve"> par X sont montrés. Pas d’informations sur l’état du PN.</t>
    </r>
  </si>
  <si>
    <t>Sort DS7. Distance=RMa(relique)x5m. Durée=NE phases. RMa=10-rareté (x2 si enchanté).</t>
  </si>
  <si>
    <t>Détection Relique</t>
  </si>
  <si>
    <r>
      <t xml:space="preserve">Détecte la </t>
    </r>
    <r>
      <rPr>
        <b/>
        <sz val="8"/>
        <color rgb="FF000000"/>
        <rFont val="Verdana"/>
        <family val="2"/>
      </rPr>
      <t xml:space="preserve">relique </t>
    </r>
    <r>
      <rPr>
        <sz val="8"/>
        <color rgb="FF000000"/>
        <rFont val="Verdana"/>
        <family val="2"/>
      </rPr>
      <t>non morte la plus proche. Max 1x/semaine. Lueur dans le champ de vision, couleur liée à l’alignement(relique) et d’une intensité basée sur le NEM(relique).</t>
    </r>
  </si>
  <si>
    <t>Sort DS8. Distance = RMa(relique X) x 10m. Durée = 1 phase. RMa(relique) active.</t>
  </si>
  <si>
    <t>Détection écrits</t>
  </si>
  <si>
    <r>
      <t xml:space="preserve">Détecte des </t>
    </r>
    <r>
      <rPr>
        <b/>
        <sz val="8"/>
        <color theme="1"/>
        <rFont val="Verdana"/>
        <family val="2"/>
      </rPr>
      <t>écrits ou runes.</t>
    </r>
    <r>
      <rPr>
        <sz val="8"/>
        <color theme="1"/>
        <rFont val="Verdana"/>
        <family val="2"/>
      </rPr>
      <t xml:space="preserve"> Max 1x/heure. Des </t>
    </r>
    <r>
      <rPr>
        <sz val="8"/>
        <color rgb="FF000000"/>
        <rFont val="Verdana"/>
        <family val="2"/>
      </rPr>
      <t>lueurs</t>
    </r>
    <r>
      <rPr>
        <sz val="8"/>
        <color theme="1"/>
        <rFont val="Verdana"/>
        <family val="2"/>
      </rPr>
      <t xml:space="preserve"> apparaissent dans le champ de vision selon la quantité de caractères, quelque soit le support.</t>
    </r>
  </si>
  <si>
    <t>Sort DS9. Distance = RMa(relique) x 10m. Durée = 1 tour.</t>
  </si>
  <si>
    <t>Détection matérielle</t>
  </si>
  <si>
    <r>
      <t>Permet de détecter un type d’</t>
    </r>
    <r>
      <rPr>
        <b/>
        <sz val="8"/>
        <color theme="1"/>
        <rFont val="Verdana"/>
        <family val="2"/>
      </rPr>
      <t>objet</t>
    </r>
    <r>
      <rPr>
        <sz val="8"/>
        <color theme="1"/>
        <rFont val="Verdana"/>
        <family val="2"/>
      </rPr>
      <t xml:space="preserve"> avec lequel la relique a été en contact dans les </t>
    </r>
    <r>
      <rPr>
        <b/>
        <sz val="8"/>
        <color theme="1"/>
        <rFont val="Verdana"/>
        <family val="2"/>
      </rPr>
      <t>NE jours</t>
    </r>
    <r>
      <rPr>
        <sz val="8"/>
        <color theme="1"/>
        <rFont val="Verdana"/>
        <family val="2"/>
      </rPr>
      <t xml:space="preserve"> qui précèdent, de connaître son état général, la distance et la direction.</t>
    </r>
    <r>
      <rPr>
        <i/>
        <sz val="8"/>
        <color theme="1"/>
        <rFont val="Verdana"/>
        <family val="2"/>
      </rPr>
      <t xml:space="preserve"> </t>
    </r>
    <r>
      <rPr>
        <sz val="8"/>
        <color theme="1"/>
        <rFont val="Verdana"/>
        <family val="2"/>
      </rPr>
      <t xml:space="preserve">Maximum NE+1 types d’objets retenus au choix de X. </t>
    </r>
  </si>
  <si>
    <t>DS3. NE usages par jour. RMa(objet) active.</t>
  </si>
  <si>
    <t>Détection spirituelle</t>
  </si>
  <si>
    <r>
      <t xml:space="preserve">Permet de détecter n’importe quel </t>
    </r>
    <r>
      <rPr>
        <b/>
        <sz val="8"/>
        <color rgb="FF000000"/>
        <rFont val="Verdana"/>
        <family val="2"/>
      </rPr>
      <t>être à I&gt;10</t>
    </r>
    <r>
      <rPr>
        <sz val="8"/>
        <color rgb="FF000000"/>
        <rFont val="Verdana"/>
        <family val="2"/>
      </rPr>
      <t xml:space="preserve"> avec lequel la relique a été en contact dans les </t>
    </r>
    <r>
      <rPr>
        <b/>
        <sz val="8"/>
        <color rgb="FF000000"/>
        <rFont val="Verdana"/>
        <family val="2"/>
      </rPr>
      <t xml:space="preserve">NE mois </t>
    </r>
    <r>
      <rPr>
        <sz val="8"/>
        <color rgb="FF000000"/>
        <rFont val="Verdana"/>
        <family val="2"/>
      </rPr>
      <t>qui précèdent, de visualiser sa position, son état général et le chemin pour l’atteindre.</t>
    </r>
    <r>
      <rPr>
        <i/>
        <sz val="8"/>
        <color rgb="FF000000"/>
        <rFont val="Verdana"/>
        <family val="2"/>
      </rPr>
      <t xml:space="preserve"> </t>
    </r>
    <r>
      <rPr>
        <sz val="8"/>
        <color rgb="FF000000"/>
        <rFont val="Verdana"/>
        <family val="2"/>
      </rPr>
      <t>Maximum NE+1 êtres retenus au choix de X.</t>
    </r>
  </si>
  <si>
    <t>Sort DS5. NE usages par jour. RMa(être) active+. Durée 2 phases.</t>
  </si>
  <si>
    <t>Familier</t>
  </si>
  <si>
    <r>
      <t xml:space="preserve">Invoque une </t>
    </r>
    <r>
      <rPr>
        <sz val="8"/>
        <color rgb="FF000000"/>
        <rFont val="Verdana"/>
        <family val="2"/>
      </rPr>
      <t>créature/animal</t>
    </r>
    <r>
      <rPr>
        <sz val="8"/>
        <color theme="1"/>
        <rFont val="Verdana"/>
        <family val="2"/>
      </rPr>
      <t xml:space="preserve"> (d2) définie par MdJ, X doit avoir CC(espèce)=2 pour éviter d’être attaqué après l’invocation, X connaît bien cet être. Temps d’invocation = </t>
    </r>
    <r>
      <rPr>
        <b/>
        <sz val="8"/>
        <color theme="1"/>
        <rFont val="Verdana"/>
        <family val="2"/>
      </rPr>
      <t>NEM(relique)</t>
    </r>
    <r>
      <rPr>
        <sz val="8"/>
        <color theme="1"/>
        <rFont val="Verdana"/>
        <family val="2"/>
      </rPr>
      <t xml:space="preserve"> phases. L’être invoqué est sous le contrôle de X si CC=2. Cet être essaiera de séparer la relique de X et de tuer X quand le contrôle s’arrête. Renvoyer l’être se fait comme pour l’invoquer mais dure 1 phase seulement. Arrivée et départ par sphère céleste. </t>
    </r>
  </si>
  <si>
    <t>Sort DS4. Durée de contrôle NE h. Un être à la fois.</t>
  </si>
  <si>
    <t>Immunité détection</t>
  </si>
  <si>
    <r>
      <t xml:space="preserve">X (son âme, sa présence et son aura) ne peut être détecté par des sorts à </t>
    </r>
    <r>
      <rPr>
        <b/>
        <sz val="8"/>
        <color rgb="FF000000"/>
        <rFont val="Verdana"/>
        <family val="2"/>
      </rPr>
      <t>NE &lt;= NE(relique</t>
    </r>
    <r>
      <rPr>
        <sz val="8"/>
        <color rgb="FF000000"/>
        <rFont val="Verdana"/>
        <family val="2"/>
      </rPr>
      <t xml:space="preserve">), X n’est détectable que par la vue. Aucun focus à </t>
    </r>
    <r>
      <rPr>
        <b/>
        <sz val="8"/>
        <color rgb="FF000000"/>
        <rFont val="Verdana"/>
        <family val="2"/>
      </rPr>
      <t xml:space="preserve">NE&lt;=NE(relique) </t>
    </r>
    <r>
      <rPr>
        <sz val="8"/>
        <color rgb="FF000000"/>
        <rFont val="Verdana"/>
        <family val="2"/>
      </rPr>
      <t xml:space="preserve">ne peut le prendre pour cible. </t>
    </r>
  </si>
  <si>
    <r>
      <t>Permanent. Perte 1 Mana ou EN (choi X) à chaque fois qu’un sort est évité ainsi</t>
    </r>
    <r>
      <rPr>
        <sz val="8"/>
        <color rgb="FF000000"/>
        <rFont val="Verdana"/>
        <family val="2"/>
      </rPr>
      <t>.</t>
    </r>
  </si>
  <si>
    <t>Immunité énergie</t>
  </si>
  <si>
    <r>
      <t xml:space="preserve">Pertes d’EN d’origine </t>
    </r>
    <r>
      <rPr>
        <b/>
        <sz val="8"/>
        <color theme="1"/>
        <rFont val="Verdana"/>
        <family val="2"/>
      </rPr>
      <t>Maladie/Animale/PN/Magie</t>
    </r>
    <r>
      <rPr>
        <sz val="8"/>
        <color theme="1"/>
        <rFont val="Verdana"/>
        <family val="2"/>
      </rPr>
      <t xml:space="preserve"> (D10*) </t>
    </r>
    <r>
      <rPr>
        <b/>
        <sz val="8"/>
        <color theme="1"/>
        <rFont val="Verdana"/>
        <family val="2"/>
      </rPr>
      <t>-</t>
    </r>
    <r>
      <rPr>
        <sz val="8"/>
        <color theme="1"/>
        <rFont val="Verdana"/>
        <family val="2"/>
      </rPr>
      <t xml:space="preserve"> </t>
    </r>
    <r>
      <rPr>
        <b/>
        <sz val="8"/>
        <color theme="1"/>
        <rFont val="Verdana"/>
        <family val="2"/>
      </rPr>
      <t>NE x5</t>
    </r>
    <r>
      <rPr>
        <sz val="8"/>
        <color theme="1"/>
        <rFont val="Verdana"/>
        <family val="2"/>
      </rPr>
      <t xml:space="preserve"> par phase.</t>
    </r>
  </si>
  <si>
    <r>
      <t>Coûte 1 malus souffle par tranche de 5 EN évités. Permanent</t>
    </r>
    <r>
      <rPr>
        <sz val="8"/>
        <color theme="1"/>
        <rFont val="Verdana"/>
        <family val="2"/>
      </rPr>
      <t>.</t>
    </r>
  </si>
  <si>
    <t>Immunité à un métal</t>
  </si>
  <si>
    <r>
      <t xml:space="preserve">Déterminer le type de métal : </t>
    </r>
    <r>
      <rPr>
        <b/>
        <sz val="8"/>
        <color rgb="FF000000"/>
        <rFont val="Verdana"/>
        <family val="2"/>
      </rPr>
      <t>fer/bronze/argent/or</t>
    </r>
    <r>
      <rPr>
        <sz val="8"/>
        <color rgb="FF000000"/>
        <rFont val="Verdana"/>
        <family val="2"/>
      </rPr>
      <t xml:space="preserve"> (D10*). Les blessures TEC infligées par des armes ayant ce métal comme principal composant (&gt;50%) sont annulées et celle infligées par les armes magiques dans ce métal voient sont réduites de </t>
    </r>
    <r>
      <rPr>
        <b/>
        <sz val="8"/>
        <color rgb="FF000000"/>
        <rFont val="Verdana"/>
        <family val="2"/>
      </rPr>
      <t xml:space="preserve">NE </t>
    </r>
    <r>
      <rPr>
        <sz val="8"/>
        <color rgb="FF000000"/>
        <rFont val="Verdana"/>
        <family val="2"/>
      </rPr>
      <t>points. Les effets critiques, magiques et autres restent valables.</t>
    </r>
  </si>
  <si>
    <t>Permanent. Coûte 2 EN ou Mana à X par activation de l’effet (par coup donc).</t>
  </si>
  <si>
    <t>Immunité au poison</t>
  </si>
  <si>
    <r>
      <t>RP+NEx2</t>
    </r>
    <r>
      <rPr>
        <sz val="8"/>
        <color theme="1"/>
        <rFont val="Verdana"/>
        <family val="2"/>
      </rPr>
      <t xml:space="preserve">, les poisons à </t>
    </r>
    <r>
      <rPr>
        <b/>
        <sz val="8"/>
        <color theme="1"/>
        <rFont val="Verdana"/>
        <family val="2"/>
      </rPr>
      <t>NE&lt;=NE(relique)</t>
    </r>
    <r>
      <rPr>
        <sz val="8"/>
        <color theme="1"/>
        <rFont val="Verdana"/>
        <family val="2"/>
      </rPr>
      <t xml:space="preserve"> sans effet (pertes EN, paralysie, etc.).  </t>
    </r>
  </si>
  <si>
    <t>Immunité à un pouvoir</t>
  </si>
  <si>
    <r>
      <t xml:space="preserve">Déterminer un Pouvoir magique au hasard de l’alignement de la relique, le NE des sorts de ce Pouvoir est réduit de </t>
    </r>
    <r>
      <rPr>
        <b/>
        <sz val="8"/>
        <color rgb="FF000000"/>
        <rFont val="Verdana"/>
        <family val="2"/>
      </rPr>
      <t>NE(relique</t>
    </r>
    <r>
      <rPr>
        <sz val="8"/>
        <color rgb="FF000000"/>
        <rFont val="Verdana"/>
        <family val="2"/>
      </rPr>
      <t xml:space="preserve">) si la magie est utilisée contre X. </t>
    </r>
  </si>
  <si>
    <r>
      <t>Permanent. Coûte 3 EN à X par activation.</t>
    </r>
    <r>
      <rPr>
        <sz val="8"/>
        <color rgb="FF000000"/>
        <rFont val="Verdana"/>
        <family val="2"/>
      </rPr>
      <t xml:space="preserve">  </t>
    </r>
  </si>
  <si>
    <t>Immunité d’alignement</t>
  </si>
  <si>
    <r>
      <t xml:space="preserve">Déterminer un </t>
    </r>
    <r>
      <rPr>
        <sz val="8"/>
        <color rgb="FF000000"/>
        <rFont val="Verdana"/>
        <family val="2"/>
      </rPr>
      <t>alignement au hasard</t>
    </r>
    <r>
      <rPr>
        <sz val="8"/>
        <color theme="1"/>
        <rFont val="Verdana"/>
        <family val="2"/>
      </rPr>
      <t xml:space="preserve">. Immunité aux effets des sorts de cet alignement ayant une </t>
    </r>
    <r>
      <rPr>
        <b/>
        <sz val="8"/>
        <color theme="1"/>
        <rFont val="Verdana"/>
        <family val="2"/>
      </rPr>
      <t>DS&lt;=NE(relique).</t>
    </r>
  </si>
  <si>
    <t>Permanent. Coûte 4 EN à X par activation.</t>
  </si>
  <si>
    <t>Immunité aux sorts</t>
  </si>
  <si>
    <r>
      <t xml:space="preserve">Tous les sorts ayant une </t>
    </r>
    <r>
      <rPr>
        <b/>
        <sz val="8"/>
        <color rgb="FF000000"/>
        <rFont val="Verdana"/>
        <family val="2"/>
      </rPr>
      <t>DS&lt;=NE(relique)</t>
    </r>
    <r>
      <rPr>
        <sz val="8"/>
        <color rgb="FF000000"/>
        <rFont val="Verdana"/>
        <family val="2"/>
      </rPr>
      <t xml:space="preserve"> voient leurs effets réduits de </t>
    </r>
    <r>
      <rPr>
        <b/>
        <sz val="8"/>
        <color rgb="FF000000"/>
        <rFont val="Verdana"/>
        <family val="2"/>
      </rPr>
      <t>moitié</t>
    </r>
    <r>
      <rPr>
        <sz val="8"/>
        <color rgb="FF000000"/>
        <rFont val="Verdana"/>
        <family val="2"/>
      </rPr>
      <t>.</t>
    </r>
  </si>
  <si>
    <r>
      <t>Permanent.</t>
    </r>
    <r>
      <rPr>
        <sz val="8"/>
        <color rgb="FF000000"/>
        <rFont val="Verdana"/>
        <family val="2"/>
      </rPr>
      <t xml:space="preserve"> </t>
    </r>
    <r>
      <rPr>
        <i/>
        <sz val="8"/>
        <color rgb="FF000000"/>
        <rFont val="Verdana"/>
        <family val="2"/>
      </rPr>
      <t>Coûte 5 EN à X  par activation.</t>
    </r>
  </si>
  <si>
    <t>Immunité sort</t>
  </si>
  <si>
    <r>
      <t xml:space="preserve">Déterminer un sort offensif (RMa active) de l’alignement de la relique, ce sort à </t>
    </r>
    <r>
      <rPr>
        <b/>
        <sz val="8"/>
        <color theme="1"/>
        <rFont val="Verdana"/>
        <family val="2"/>
      </rPr>
      <t xml:space="preserve">NE-NE(relique) </t>
    </r>
    <r>
      <rPr>
        <sz val="8"/>
        <color theme="1"/>
        <rFont val="Verdana"/>
        <family val="2"/>
      </rPr>
      <t>lorsqu’il est utilisé contre X.</t>
    </r>
  </si>
  <si>
    <t>Permanent. Coûte 1 EN à X par activation.</t>
  </si>
  <si>
    <t>Influence</t>
  </si>
  <si>
    <r>
      <t>CI+</t>
    </r>
    <r>
      <rPr>
        <b/>
        <sz val="8"/>
        <color rgb="FF000000"/>
        <rFont val="Verdana"/>
        <family val="2"/>
      </rPr>
      <t>RMa</t>
    </r>
    <r>
      <rPr>
        <sz val="8"/>
        <color rgb="FF000000"/>
        <rFont val="Verdana"/>
        <family val="2"/>
      </rPr>
      <t>, la CR du tRC augmente de +</t>
    </r>
    <r>
      <rPr>
        <b/>
        <sz val="8"/>
        <color rgb="FF000000"/>
        <rFont val="Verdana"/>
        <family val="2"/>
      </rPr>
      <t>RMa</t>
    </r>
    <r>
      <rPr>
        <sz val="8"/>
        <color rgb="FF000000"/>
        <rFont val="Verdana"/>
        <family val="2"/>
      </rPr>
      <t xml:space="preserve">, la CI minimum = </t>
    </r>
    <r>
      <rPr>
        <b/>
        <sz val="8"/>
        <color rgb="FF000000"/>
        <rFont val="Verdana"/>
        <family val="2"/>
      </rPr>
      <t xml:space="preserve">RMa x3 </t>
    </r>
    <r>
      <rPr>
        <sz val="8"/>
        <color rgb="FF000000"/>
        <rFont val="Verdana"/>
        <family val="2"/>
      </rPr>
      <t xml:space="preserve">quels que soient les malus.  </t>
    </r>
  </si>
  <si>
    <t>NE usages par jour. Coûte 1 EN par usage.</t>
  </si>
  <si>
    <t>Influence hypnotique</t>
  </si>
  <si>
    <r>
      <t xml:space="preserve">Permet de </t>
    </r>
    <r>
      <rPr>
        <b/>
        <sz val="8"/>
        <color theme="1"/>
        <rFont val="Verdana"/>
        <family val="2"/>
      </rPr>
      <t>parler à la place</t>
    </r>
    <r>
      <rPr>
        <sz val="8"/>
        <color theme="1"/>
        <rFont val="Verdana"/>
        <family val="2"/>
      </rPr>
      <t xml:space="preserve"> d’une cible en vue. La cible peut résister avec un test V(res)-RMa(relique). </t>
    </r>
    <r>
      <rPr>
        <sz val="8"/>
        <color rgb="FF000000"/>
        <rFont val="Verdana"/>
        <family val="2"/>
      </rPr>
      <t>Langue commune NE&gt;20</t>
    </r>
    <r>
      <rPr>
        <sz val="8"/>
        <color theme="1"/>
        <rFont val="Verdana"/>
        <family val="2"/>
      </rPr>
      <t xml:space="preserve"> connue. Race identique. </t>
    </r>
  </si>
  <si>
    <t>NE usages par jour. Coûte 5 EN par usage. Durée NE phases.</t>
  </si>
  <si>
    <t>Influence de masse</t>
  </si>
  <si>
    <r>
      <t xml:space="preserve">Permet de </t>
    </r>
    <r>
      <rPr>
        <b/>
        <sz val="8"/>
        <color rgb="FF000000"/>
        <rFont val="Verdana"/>
        <family val="2"/>
      </rPr>
      <t>parler dans la tête</t>
    </r>
    <r>
      <rPr>
        <sz val="8"/>
        <color rgb="FF000000"/>
        <rFont val="Verdana"/>
        <family val="2"/>
      </rPr>
      <t xml:space="preserve"> de RMa(relique) cibles en vue de X. Même race. Langue commune NE&gt;10. Permet un test de CI sans modificateur aucun.</t>
    </r>
  </si>
  <si>
    <t>1x/jour. Coûte (nombre de cibles) EN par usage.</t>
  </si>
  <si>
    <t>Lien alignement</t>
  </si>
  <si>
    <r>
      <t xml:space="preserve">Possède </t>
    </r>
    <r>
      <rPr>
        <b/>
        <sz val="8"/>
        <color theme="1"/>
        <rFont val="Verdana"/>
        <family val="2"/>
      </rPr>
      <t>1D10* sortilèges aléatoires</t>
    </r>
    <r>
      <rPr>
        <sz val="8"/>
        <color theme="1"/>
        <rFont val="Verdana"/>
        <family val="2"/>
      </rPr>
      <t xml:space="preserve"> d’un alignement au hasard. X a un lien spirituel normal/fanatique (d2) qui l’amène à </t>
    </r>
    <r>
      <rPr>
        <sz val="8"/>
        <color rgb="FF000000"/>
        <rFont val="Verdana"/>
        <family val="2"/>
      </rPr>
      <t>défendre les valeurs</t>
    </r>
    <r>
      <rPr>
        <sz val="8"/>
        <color theme="1"/>
        <rFont val="Verdana"/>
        <family val="2"/>
      </rPr>
      <t xml:space="preserve"> de cet alignement. Si lien fanatique, tous les adversaires de cet alignement seront des ennemis de X.</t>
    </r>
  </si>
  <si>
    <t>Sorts. Dépense la mana de la relique ou de X à l’usage.</t>
  </si>
  <si>
    <t>Lien créature</t>
  </si>
  <si>
    <r>
      <t xml:space="preserve">Déterminer un animal / créature (d2).X peut utiliser tous les </t>
    </r>
    <r>
      <rPr>
        <b/>
        <sz val="8"/>
        <color rgb="FF000000"/>
        <rFont val="Verdana"/>
        <family val="2"/>
      </rPr>
      <t>pouvoirs et les attributs</t>
    </r>
    <r>
      <rPr>
        <sz val="8"/>
        <color rgb="FF000000"/>
        <rFont val="Verdana"/>
        <family val="2"/>
      </rPr>
      <t xml:space="preserve"> (sens, la vitesse etc.), X sera l’ennemi des ennemis de cette espèce, il aura un malus général de NE(relique) s’il se bat contre cette espèce. Dans ce cas, la relique meurt si </t>
    </r>
    <r>
      <rPr>
        <b/>
        <sz val="8"/>
        <color rgb="FF000000"/>
        <rFont val="Verdana"/>
        <family val="2"/>
      </rPr>
      <t>D100&lt;=RMa(relique)</t>
    </r>
    <r>
      <rPr>
        <sz val="8"/>
        <color rgb="FF000000"/>
        <rFont val="Verdana"/>
        <family val="2"/>
      </rPr>
      <t xml:space="preserve"> après le combat.</t>
    </r>
  </si>
  <si>
    <t xml:space="preserve">Permanent. </t>
  </si>
  <si>
    <t>Malchance</t>
  </si>
  <si>
    <r>
      <t xml:space="preserve">À l’acquisition de la relique, X subit une attaque de la relique (sort NEM/NE). Si le sort passe X a un </t>
    </r>
    <r>
      <rPr>
        <b/>
        <sz val="8"/>
        <color theme="1"/>
        <rFont val="Verdana"/>
        <family val="2"/>
      </rPr>
      <t>malus général de NE</t>
    </r>
    <r>
      <rPr>
        <sz val="8"/>
        <color theme="1"/>
        <rFont val="Verdana"/>
        <family val="2"/>
      </rPr>
      <t>(x2 si X pas du même alignement)</t>
    </r>
    <r>
      <rPr>
        <b/>
        <sz val="8"/>
        <color theme="1"/>
        <rFont val="Verdana"/>
        <family val="2"/>
      </rPr>
      <t xml:space="preserve"> et </t>
    </r>
    <r>
      <rPr>
        <sz val="8"/>
        <color theme="1"/>
        <rFont val="Verdana"/>
        <family val="2"/>
      </rPr>
      <t xml:space="preserve">sera incapable de s’en débarrasser </t>
    </r>
    <r>
      <rPr>
        <b/>
        <sz val="8"/>
        <color theme="1"/>
        <rFont val="Verdana"/>
        <family val="2"/>
      </rPr>
      <t>et</t>
    </r>
    <r>
      <rPr>
        <sz val="8"/>
        <color theme="1"/>
        <rFont val="Verdana"/>
        <family val="2"/>
      </rPr>
      <t xml:space="preserve"> la défendera jusqu’à la mort. </t>
    </r>
  </si>
  <si>
    <t>Malédiction émotionnelle</t>
  </si>
  <si>
    <r>
      <t xml:space="preserve">Déterminez une malédiction au hasard qui correspond à une Action/Attitude(d2) précise liée à des sentiments profonds selon l’alignement de la relique. Un </t>
    </r>
    <r>
      <rPr>
        <b/>
        <sz val="8"/>
        <color rgb="FF000000"/>
        <rFont val="Verdana"/>
        <family val="2"/>
      </rPr>
      <t>test Em(Com)x1</t>
    </r>
    <r>
      <rPr>
        <sz val="8"/>
        <color rgb="FF000000"/>
        <rFont val="Verdana"/>
        <family val="2"/>
      </rPr>
      <t xml:space="preserve"> unique à l’acquisition de la relique, en cas d’échec, X devient un fanatique défenseur de la relique. Déterminez comment se débarrasser de la malédiction. X pourra apprendre cela en réussissant un test RMa, 1x/jour, coût RMa(relique) Mana ou EN.</t>
    </r>
  </si>
  <si>
    <t>Sort d’attaque</t>
  </si>
  <si>
    <r>
      <t xml:space="preserve">Déterminez un sort </t>
    </r>
    <r>
      <rPr>
        <b/>
        <sz val="8"/>
        <color theme="1"/>
        <rFont val="Verdana"/>
        <family val="2"/>
      </rPr>
      <t>offensif</t>
    </r>
    <r>
      <rPr>
        <sz val="8"/>
        <color theme="1"/>
        <rFont val="Verdana"/>
        <family val="2"/>
      </rPr>
      <t xml:space="preserve"> (RMa active) au hasard dans l’alignement de la relique. Permet de lancer ce sort avec cette relique au NEM/NE de la relique. </t>
    </r>
  </si>
  <si>
    <t>Selon DS sort, utilise uniquement les PdM de la relique.</t>
  </si>
  <si>
    <t>Malédiction mentale</t>
  </si>
  <si>
    <r>
      <t xml:space="preserve">Un </t>
    </r>
    <r>
      <rPr>
        <b/>
        <sz val="8"/>
        <color rgb="FF000000"/>
        <rFont val="Verdana"/>
        <family val="2"/>
      </rPr>
      <t>test Em(Com)x1</t>
    </r>
    <r>
      <rPr>
        <sz val="8"/>
        <color rgb="FF000000"/>
        <rFont val="Verdana"/>
        <family val="2"/>
      </rPr>
      <t xml:space="preserve"> unique à l’acquisition de la relique, en cas d’échec, X devient un fanatique défenseur de la relique. Déterminez une caractéristique au hasard (D10), elle reçoit un malus de </t>
    </r>
    <r>
      <rPr>
        <b/>
        <sz val="8"/>
        <color rgb="FF000000"/>
        <rFont val="Verdana"/>
        <family val="2"/>
      </rPr>
      <t>-RMa</t>
    </r>
    <r>
      <rPr>
        <sz val="8"/>
        <color rgb="FF000000"/>
        <rFont val="Verdana"/>
        <family val="2"/>
      </rPr>
      <t>.</t>
    </r>
    <r>
      <rPr>
        <i/>
        <sz val="8"/>
        <color rgb="FF000000"/>
        <rFont val="Verdana"/>
        <family val="2"/>
      </rPr>
      <t xml:space="preserve"> </t>
    </r>
  </si>
  <si>
    <t>Magie innée</t>
  </si>
  <si>
    <t>Déterminez un sort de l’alignement de la relique. X peut l’utiliser comme magie innée.</t>
  </si>
  <si>
    <t>Permanent. Voir règles Livre 3 - Magie innée.</t>
  </si>
  <si>
    <t>Malédiction physique</t>
  </si>
  <si>
    <r>
      <t xml:space="preserve">Déterminez une malédiction correspondant à une zone du corps souffrant d’un problème physique lié à l’alignement de la relique. Une manie, un tic, une relation spéciale avec cette zone du corps (voir MdJ). Un </t>
    </r>
    <r>
      <rPr>
        <b/>
        <sz val="8"/>
        <color rgb="FF000000"/>
        <rFont val="Verdana"/>
        <family val="2"/>
      </rPr>
      <t>test Em(Com)x1</t>
    </r>
    <r>
      <rPr>
        <sz val="8"/>
        <color rgb="FF000000"/>
        <rFont val="Verdana"/>
        <family val="2"/>
      </rPr>
      <t xml:space="preserve"> unique à l’acquisition de la relique, en cas d’échec, X devient un fanatique défenseur de la relique. </t>
    </r>
  </si>
  <si>
    <t>Négation</t>
  </si>
  <si>
    <r>
      <t xml:space="preserve">Permet de réduire le NE d’un sort connu dont X est la cible de NE(relique) </t>
    </r>
    <r>
      <rPr>
        <b/>
        <sz val="8"/>
        <color theme="1"/>
        <rFont val="Verdana"/>
        <family val="2"/>
      </rPr>
      <t>ou</t>
    </r>
    <r>
      <rPr>
        <sz val="8"/>
        <color theme="1"/>
        <rFont val="Verdana"/>
        <family val="2"/>
      </rPr>
      <t xml:space="preserve"> les pertes EN d’un poison de NE(relique)x3 </t>
    </r>
    <r>
      <rPr>
        <b/>
        <sz val="8"/>
        <color theme="1"/>
        <rFont val="Verdana"/>
        <family val="2"/>
      </rPr>
      <t>ou</t>
    </r>
    <r>
      <rPr>
        <sz val="8"/>
        <color theme="1"/>
        <rFont val="Verdana"/>
        <family val="2"/>
      </rPr>
      <t xml:space="preserve"> les blessures d’un métal au choix de NE(relique) </t>
    </r>
    <r>
      <rPr>
        <b/>
        <sz val="8"/>
        <color theme="1"/>
        <rFont val="Verdana"/>
        <family val="2"/>
      </rPr>
      <t>ou</t>
    </r>
    <r>
      <rPr>
        <sz val="8"/>
        <color theme="1"/>
        <rFont val="Verdana"/>
        <family val="2"/>
      </rPr>
      <t xml:space="preserve"> soigne NE(relique)x2 pertes d’EN </t>
    </r>
    <r>
      <rPr>
        <b/>
        <sz val="8"/>
        <color theme="1"/>
        <rFont val="Verdana"/>
        <family val="2"/>
      </rPr>
      <t>ou</t>
    </r>
    <r>
      <rPr>
        <sz val="8"/>
        <color theme="1"/>
        <rFont val="Verdana"/>
        <family val="2"/>
      </rPr>
      <t xml:space="preserve"> réduit un sort affectant une cible autre que X de NE(relique)/2.  Au choix de X. </t>
    </r>
  </si>
  <si>
    <t xml:space="preserve">Sort DS8. </t>
  </si>
  <si>
    <t>Pouvoir</t>
  </si>
  <si>
    <r>
      <t xml:space="preserve">Déterminez un </t>
    </r>
    <r>
      <rPr>
        <b/>
        <sz val="8"/>
        <color rgb="FF000000"/>
        <rFont val="Verdana"/>
        <family val="2"/>
      </rPr>
      <t>pouvoir aléatoire</t>
    </r>
    <r>
      <rPr>
        <sz val="8"/>
        <color rgb="FF000000"/>
        <rFont val="Verdana"/>
        <family val="2"/>
      </rPr>
      <t>, permet de lancer tous les sorts de ce pouvoir au NEM/NE de la relique.</t>
    </r>
  </si>
  <si>
    <t>Sort.</t>
  </si>
  <si>
    <t>Répulsion</t>
  </si>
  <si>
    <r>
      <t xml:space="preserve">Fait fuir un être d’une race de </t>
    </r>
    <r>
      <rPr>
        <b/>
        <sz val="8"/>
        <color theme="1"/>
        <rFont val="Verdana"/>
        <family val="2"/>
      </rPr>
      <t>créature</t>
    </r>
    <r>
      <rPr>
        <sz val="8"/>
        <color theme="1"/>
        <rFont val="Verdana"/>
        <family val="2"/>
      </rPr>
      <t xml:space="preserve"> à déterminer. Bonus général de </t>
    </r>
    <r>
      <rPr>
        <b/>
        <sz val="8"/>
        <color theme="1"/>
        <rFont val="Verdana"/>
        <family val="2"/>
      </rPr>
      <t>NEx2</t>
    </r>
    <r>
      <rPr>
        <sz val="8"/>
        <color theme="1"/>
        <rFont val="Verdana"/>
        <family val="2"/>
      </rPr>
      <t xml:space="preserve"> face à cette race. </t>
    </r>
  </si>
  <si>
    <t xml:space="preserve">Sort DS7. Durée NEx10 tours. Distance NEx10m. Une cible à la fois. </t>
  </si>
  <si>
    <r>
      <t xml:space="preserve">X a un bonus général de </t>
    </r>
    <r>
      <rPr>
        <b/>
        <sz val="8"/>
        <color rgb="FF000000"/>
        <rFont val="Verdana"/>
        <family val="2"/>
      </rPr>
      <t xml:space="preserve">RMa </t>
    </r>
    <r>
      <rPr>
        <sz val="8"/>
        <color rgb="FF000000"/>
        <rFont val="Verdana"/>
        <family val="2"/>
      </rPr>
      <t>dans tous les tests avec lesquels il pourrait s’enrichir matériellement (trésor, négociation, recherche etc.).</t>
    </r>
  </si>
  <si>
    <r>
      <t>Permanent</t>
    </r>
    <r>
      <rPr>
        <sz val="8"/>
        <color rgb="FF000000"/>
        <rFont val="Verdana"/>
        <family val="2"/>
      </rPr>
      <t xml:space="preserve">. </t>
    </r>
    <r>
      <rPr>
        <i/>
        <sz val="8"/>
        <color rgb="FF000000"/>
        <rFont val="Verdana"/>
        <family val="2"/>
      </rPr>
      <t>NE tests par jour.</t>
    </r>
  </si>
  <si>
    <t>Soin total</t>
  </si>
  <si>
    <r>
      <t xml:space="preserve">Déterminer ce qui est soigné : </t>
    </r>
    <r>
      <rPr>
        <b/>
        <sz val="8"/>
        <color theme="1"/>
        <rFont val="Verdana"/>
        <family val="2"/>
      </rPr>
      <t>blessure / malédiction / effet de blessure / maladie / pertes EN / perte temporaires</t>
    </r>
    <r>
      <rPr>
        <sz val="8"/>
        <color theme="1"/>
        <rFont val="Verdana"/>
        <family val="2"/>
      </rPr>
      <t xml:space="preserve"> (d6). Soin total si </t>
    </r>
    <r>
      <rPr>
        <b/>
        <sz val="8"/>
        <color theme="1"/>
        <rFont val="Verdana"/>
        <family val="2"/>
      </rPr>
      <t>tRN</t>
    </r>
    <r>
      <rPr>
        <sz val="8"/>
        <color theme="1"/>
        <rFont val="Verdana"/>
        <family val="2"/>
      </rPr>
      <t xml:space="preserve"> ou mieux. </t>
    </r>
  </si>
  <si>
    <t>Sort DS8. Distance = toucher.</t>
  </si>
  <si>
    <t>Sort</t>
  </si>
  <si>
    <r>
      <t xml:space="preserve">Choisir un sort connu par X à </t>
    </r>
    <r>
      <rPr>
        <b/>
        <sz val="8"/>
        <color rgb="FF000000"/>
        <rFont val="Verdana"/>
        <family val="2"/>
      </rPr>
      <t>RMa non active.</t>
    </r>
    <r>
      <rPr>
        <sz val="8"/>
        <color rgb="FF000000"/>
        <rFont val="Verdana"/>
        <family val="2"/>
      </rPr>
      <t xml:space="preserve"> Permet de lancer ce sort au NEM/NE de la relique. </t>
    </r>
  </si>
  <si>
    <t>Selon DS du sort. NE+1 fois par jour. Pas de mana dépensée.</t>
  </si>
  <si>
    <r>
      <t xml:space="preserve">Déterminez une DS=1D10. Permet de lancer </t>
    </r>
    <r>
      <rPr>
        <b/>
        <sz val="8"/>
        <color theme="1"/>
        <rFont val="Verdana"/>
        <family val="2"/>
      </rPr>
      <t>tous les sorts de cette DS</t>
    </r>
    <r>
      <rPr>
        <sz val="8"/>
        <color theme="1"/>
        <rFont val="Verdana"/>
        <family val="2"/>
      </rPr>
      <t>.</t>
    </r>
  </si>
  <si>
    <t>NE+1 fois par jour.</t>
  </si>
  <si>
    <t>Divin</t>
  </si>
  <si>
    <t>Déterminez une DS = 1D10+10. Permet de lancer tous les sorts de la DS la plus proche de ce nombre (alignement relique).</t>
  </si>
  <si>
    <t>NE fois par jour.</t>
  </si>
  <si>
    <t>treMagProD</t>
  </si>
  <si>
    <t>treMagPro</t>
  </si>
  <si>
    <t>treMagProTex</t>
  </si>
  <si>
    <t>PB</t>
  </si>
  <si>
    <t>P1</t>
  </si>
  <si>
    <t>P2</t>
  </si>
  <si>
    <t>P3</t>
  </si>
  <si>
    <t>P4</t>
  </si>
  <si>
    <t>Sacrifice</t>
  </si>
  <si>
    <r>
      <t xml:space="preserve">Perd </t>
    </r>
    <r>
      <rPr>
        <b/>
        <sz val="8"/>
        <color theme="1"/>
        <rFont val="Verdana"/>
        <family val="2"/>
      </rPr>
      <t>1 EN permanent</t>
    </r>
    <r>
      <rPr>
        <sz val="8"/>
        <color theme="1"/>
        <rFont val="Verdana"/>
        <family val="2"/>
      </rPr>
      <t xml:space="preserve"> (ne peut être contré) contre un </t>
    </r>
    <r>
      <rPr>
        <sz val="8"/>
        <color rgb="FF000000"/>
        <rFont val="Verdana"/>
        <family val="2"/>
      </rPr>
      <t>bonus +RMa(relique)</t>
    </r>
    <r>
      <rPr>
        <sz val="8"/>
        <color theme="1"/>
        <rFont val="Verdana"/>
        <family val="2"/>
      </rPr>
      <t xml:space="preserve"> à n’importe quel test de talent. À faire avant le test. </t>
    </r>
  </si>
  <si>
    <t>Permanent. Max 1x/tour.</t>
  </si>
  <si>
    <t>Spirituelle</t>
  </si>
  <si>
    <r>
      <t xml:space="preserve">Procure un </t>
    </r>
    <r>
      <rPr>
        <b/>
        <sz val="8"/>
        <color rgb="FF000000"/>
        <rFont val="Verdana"/>
        <family val="2"/>
      </rPr>
      <t xml:space="preserve">bonus de +RMa </t>
    </r>
    <r>
      <rPr>
        <sz val="8"/>
        <color rgb="FF000000"/>
        <rFont val="Verdana"/>
        <family val="2"/>
      </rPr>
      <t xml:space="preserve">dans les tests liés à la recherche, dialogue et réflexion sur l’alignement de la relique. Uniquement </t>
    </r>
    <r>
      <rPr>
        <b/>
        <sz val="8"/>
        <color rgb="FF000000"/>
        <rFont val="Verdana"/>
        <family val="2"/>
      </rPr>
      <t>intellectuel</t>
    </r>
    <r>
      <rPr>
        <sz val="8"/>
        <color rgb="FF000000"/>
        <rFont val="Verdana"/>
        <family val="2"/>
      </rPr>
      <t xml:space="preserve"> et strictement lié aux questions théologiques.</t>
    </r>
  </si>
  <si>
    <t>Permanent. NE fois par jour.</t>
  </si>
  <si>
    <t>Sensée</t>
  </si>
  <si>
    <r>
      <t xml:space="preserve">La relique peut donner un </t>
    </r>
    <r>
      <rPr>
        <b/>
        <sz val="8"/>
        <color theme="1"/>
        <rFont val="Verdana"/>
        <family val="2"/>
      </rPr>
      <t>bonus de +RMa</t>
    </r>
    <r>
      <rPr>
        <sz val="8"/>
        <color theme="1"/>
        <rFont val="Verdana"/>
        <family val="2"/>
      </rPr>
      <t xml:space="preserve"> à un test de sens </t>
    </r>
    <r>
      <rPr>
        <b/>
        <sz val="8"/>
        <color theme="1"/>
        <rFont val="Verdana"/>
        <family val="2"/>
      </rPr>
      <t xml:space="preserve">ou </t>
    </r>
    <r>
      <rPr>
        <sz val="8"/>
        <color theme="1"/>
        <rFont val="Verdana"/>
        <family val="2"/>
      </rPr>
      <t xml:space="preserve">permet de relancer un test raté de ce sens. </t>
    </r>
  </si>
  <si>
    <t>NE fois par jour. Un seul sens par jour.</t>
  </si>
  <si>
    <t>Trouble</t>
  </si>
  <si>
    <r>
      <t xml:space="preserve">Influence X à agir conformément à l’alignement. Un test par jour, au réveil, sur </t>
    </r>
    <r>
      <rPr>
        <b/>
        <sz val="8"/>
        <color rgb="FF000000"/>
        <rFont val="Verdana"/>
        <family val="2"/>
      </rPr>
      <t>V(res) de X -RMa(relique)</t>
    </r>
    <r>
      <rPr>
        <sz val="8"/>
        <color rgb="FF000000"/>
        <rFont val="Verdana"/>
        <family val="2"/>
      </rPr>
      <t xml:space="preserve"> pour éviter l’influence sinon X agit comme un </t>
    </r>
    <r>
      <rPr>
        <b/>
        <sz val="8"/>
        <color rgb="FF000000"/>
        <rFont val="Verdana"/>
        <family val="2"/>
      </rPr>
      <t>fanatique</t>
    </r>
    <r>
      <rPr>
        <sz val="8"/>
        <color rgb="FF000000"/>
        <rFont val="Verdana"/>
        <family val="2"/>
      </rPr>
      <t xml:space="preserve"> de cet alignement jusqu’à la prochaine CS. </t>
    </r>
  </si>
  <si>
    <t>Focus</t>
  </si>
  <si>
    <r>
      <t xml:space="preserve">Déterminez un </t>
    </r>
    <r>
      <rPr>
        <b/>
        <sz val="8"/>
        <color theme="1"/>
        <rFont val="Verdana"/>
        <family val="2"/>
      </rPr>
      <t xml:space="preserve">sort </t>
    </r>
    <r>
      <rPr>
        <sz val="8"/>
        <color theme="1"/>
        <rFont val="Verdana"/>
        <family val="2"/>
      </rPr>
      <t xml:space="preserve">de l’alignement à </t>
    </r>
    <r>
      <rPr>
        <sz val="8"/>
        <color rgb="FF000000"/>
        <rFont val="Verdana"/>
        <family val="2"/>
      </rPr>
      <t>RMa active</t>
    </r>
    <r>
      <rPr>
        <sz val="8"/>
        <color theme="1"/>
        <rFont val="Verdana"/>
        <family val="2"/>
      </rPr>
      <t xml:space="preserve"> que la relique lancera sur toute personne autre que son </t>
    </r>
    <r>
      <rPr>
        <b/>
        <sz val="8"/>
        <color theme="1"/>
        <rFont val="Verdana"/>
        <family val="2"/>
      </rPr>
      <t>créateur / propriétaire / alignement / race de X</t>
    </r>
    <r>
      <rPr>
        <sz val="8"/>
        <color theme="1"/>
        <rFont val="Verdana"/>
        <family val="2"/>
      </rPr>
      <t xml:space="preserve"> (D10*) qui touchera la relique directement ou indirectement (déplacement, toucher avec objet, etc.). </t>
    </r>
  </si>
  <si>
    <t>Permanent. Effet immédiat. Coûte 1 PdM par usage.</t>
  </si>
  <si>
    <t>Empathie</t>
  </si>
  <si>
    <r>
      <t xml:space="preserve">X gagne </t>
    </r>
    <r>
      <rPr>
        <b/>
        <sz val="8"/>
        <color rgb="FF000000"/>
        <rFont val="Verdana"/>
        <family val="2"/>
      </rPr>
      <t>Détection Magie +RMa</t>
    </r>
    <r>
      <rPr>
        <sz val="8"/>
        <color rgb="FF000000"/>
        <rFont val="Verdana"/>
        <family val="2"/>
      </rPr>
      <t xml:space="preserve">. Tout teste réussi donne Alignement, Foi, type de magie, NEM et NE. </t>
    </r>
  </si>
  <si>
    <t>Permanent. NE fois par jour. Distance RMa mètres.</t>
  </si>
  <si>
    <r>
      <t xml:space="preserve">X teste chaque jour, à son réveil, sa </t>
    </r>
    <r>
      <rPr>
        <b/>
        <sz val="8"/>
        <color theme="1"/>
        <rFont val="Verdana"/>
        <family val="2"/>
      </rPr>
      <t>V(Res)-RMa(relique)</t>
    </r>
    <r>
      <rPr>
        <sz val="8"/>
        <color theme="1"/>
        <rFont val="Verdana"/>
        <family val="2"/>
      </rPr>
      <t xml:space="preserve">, en cas d’échec alors +1 Foi si même alignement que la relique, maximum NEM(relique)x10 ou -1 Foi si différent (minimum 10). </t>
    </r>
  </si>
  <si>
    <r>
      <t xml:space="preserve">X agit selon un </t>
    </r>
    <r>
      <rPr>
        <b/>
        <sz val="8"/>
        <color rgb="FF000000"/>
        <rFont val="Verdana"/>
        <family val="2"/>
      </rPr>
      <t>trait de caractère</t>
    </r>
    <r>
      <rPr>
        <sz val="8"/>
        <color rgb="FF000000"/>
        <rFont val="Verdana"/>
        <family val="2"/>
      </rPr>
      <t xml:space="preserve"> déterminé au hasard correspondant à l’alignement de la relique, voir MdJ. Ce trait s’ajoute aux autres ou les remplace si opposé. À chaque fois que X agit contre ce trait de caractère, il perd NEM(relique) EN.</t>
    </r>
  </si>
  <si>
    <t>Maudit</t>
  </si>
  <si>
    <r>
      <t xml:space="preserve">X ne peut se débarrasser de la relique et cherchera tout le temps à la retrouver si perdue. X teste </t>
    </r>
    <r>
      <rPr>
        <b/>
        <sz val="8"/>
        <color theme="1"/>
        <rFont val="Verdana"/>
        <family val="2"/>
      </rPr>
      <t>Em(Inu)</t>
    </r>
    <r>
      <rPr>
        <sz val="8"/>
        <color theme="1"/>
        <rFont val="Verdana"/>
        <family val="2"/>
      </rPr>
      <t xml:space="preserve"> </t>
    </r>
    <r>
      <rPr>
        <b/>
        <sz val="8"/>
        <color theme="1"/>
        <rFont val="Verdana"/>
        <family val="2"/>
      </rPr>
      <t>x1</t>
    </r>
    <r>
      <rPr>
        <sz val="8"/>
        <color theme="1"/>
        <rFont val="Verdana"/>
        <family val="2"/>
      </rPr>
      <t xml:space="preserve"> pour deviner cela </t>
    </r>
    <r>
      <rPr>
        <b/>
        <sz val="8"/>
        <color theme="1"/>
        <rFont val="Verdana"/>
        <family val="2"/>
      </rPr>
      <t>avant</t>
    </r>
    <r>
      <rPr>
        <sz val="8"/>
        <color theme="1"/>
        <rFont val="Verdana"/>
        <family val="2"/>
      </rPr>
      <t xml:space="preserve"> de s’emparer de l’objet. La relique permet d’utiliser un sort au hasard de l’alignement de la relique, en </t>
    </r>
    <r>
      <rPr>
        <sz val="8"/>
        <color rgb="FF000000"/>
        <rFont val="Verdana"/>
        <family val="2"/>
      </rPr>
      <t>magie innée</t>
    </r>
    <r>
      <rPr>
        <sz val="8"/>
        <color theme="1"/>
        <rFont val="Verdana"/>
        <family val="2"/>
      </rPr>
      <t xml:space="preserve"> mais X perd </t>
    </r>
    <r>
      <rPr>
        <b/>
        <sz val="8"/>
        <color theme="1"/>
        <rFont val="Verdana"/>
        <family val="2"/>
      </rPr>
      <t>1 EN permanent</t>
    </r>
    <r>
      <rPr>
        <sz val="8"/>
        <color theme="1"/>
        <rFont val="Verdana"/>
        <family val="2"/>
      </rPr>
      <t xml:space="preserve"> par usage. Pour se libérer de la malédiction, il doit y avoir une quête faisable à accomplir, liée à l’histoire de la relique (voir MdJ). </t>
    </r>
  </si>
  <si>
    <t>Dédié pour attaquer</t>
  </si>
  <si>
    <r>
      <t xml:space="preserve">Déterminer au hasard une race humain/ancienne/créature/animale (D10*). Bonus </t>
    </r>
    <r>
      <rPr>
        <b/>
        <sz val="8"/>
        <color rgb="FF000000"/>
        <rFont val="Verdana"/>
        <family val="2"/>
      </rPr>
      <t>TC &amp; VO</t>
    </r>
    <r>
      <rPr>
        <sz val="8"/>
        <color rgb="FF000000"/>
        <rFont val="Verdana"/>
        <family val="2"/>
      </rPr>
      <t xml:space="preserve"> </t>
    </r>
    <r>
      <rPr>
        <b/>
        <sz val="8"/>
        <color rgb="FF000000"/>
        <rFont val="Verdana"/>
        <family val="2"/>
      </rPr>
      <t xml:space="preserve">+NE(relique) </t>
    </r>
    <r>
      <rPr>
        <sz val="8"/>
        <color rgb="FF000000"/>
        <rFont val="Verdana"/>
        <family val="2"/>
      </rPr>
      <t xml:space="preserve">dans les situations de conflit contre cette race. But de la relique : </t>
    </r>
    <r>
      <rPr>
        <b/>
        <sz val="8"/>
        <color rgb="FF000000"/>
        <rFont val="Verdana"/>
        <family val="2"/>
      </rPr>
      <t>détruire tous les êtres de la race cible</t>
    </r>
    <r>
      <rPr>
        <sz val="8"/>
        <color rgb="FF000000"/>
        <rFont val="Verdana"/>
        <family val="2"/>
      </rPr>
      <t xml:space="preserve">. Réduit de moitié les immunités, RMa et VD de la race cible contre les attaques de la relique. X peut ressentir leur présence à </t>
    </r>
    <r>
      <rPr>
        <b/>
        <sz val="8"/>
        <color rgb="FF000000"/>
        <rFont val="Verdana"/>
        <family val="2"/>
      </rPr>
      <t>RMa x2m</t>
    </r>
    <r>
      <rPr>
        <sz val="8"/>
        <color rgb="FF000000"/>
        <rFont val="Verdana"/>
        <family val="2"/>
      </rPr>
      <t xml:space="preserve">, une fois par heure, comme avec le sort </t>
    </r>
    <r>
      <rPr>
        <i/>
        <sz val="8"/>
        <color rgb="FF000000"/>
        <rFont val="Verdana"/>
        <family val="2"/>
      </rPr>
      <t>Détection</t>
    </r>
    <r>
      <rPr>
        <sz val="8"/>
        <color rgb="FF000000"/>
        <rFont val="Verdana"/>
        <family val="2"/>
      </rPr>
      <t xml:space="preserve">, coût = 2 PdM. </t>
    </r>
  </si>
  <si>
    <t>Dédié pour défendre</t>
  </si>
  <si>
    <r>
      <t xml:space="preserve">Déterminer au hasard une race </t>
    </r>
    <r>
      <rPr>
        <sz val="8"/>
        <color rgb="FF000000"/>
        <rFont val="Verdana"/>
        <family val="2"/>
      </rPr>
      <t>humain/ancienne/créature/animale</t>
    </r>
    <r>
      <rPr>
        <sz val="8"/>
        <color theme="1"/>
        <rFont val="Verdana"/>
        <family val="2"/>
      </rPr>
      <t xml:space="preserve"> (D10*). Bonus </t>
    </r>
    <r>
      <rPr>
        <b/>
        <sz val="8"/>
        <color theme="1"/>
        <rFont val="Verdana"/>
        <family val="2"/>
      </rPr>
      <t>+NE(relique) à VD &amp; RMa</t>
    </r>
    <r>
      <rPr>
        <sz val="8"/>
        <color theme="1"/>
        <rFont val="Verdana"/>
        <family val="2"/>
      </rPr>
      <t xml:space="preserve">, dans toutes les situations de conflit contre cette cible. Immunise à 100% contre tous la magie et les poisons de cette race. </t>
    </r>
  </si>
  <si>
    <t>Dédié sur alignement</t>
  </si>
  <si>
    <r>
      <t>Déterminer un alignement différent de la relique.</t>
    </r>
    <r>
      <rPr>
        <b/>
        <sz val="8"/>
        <color rgb="FF000000"/>
        <rFont val="Verdana"/>
        <family val="2"/>
      </rPr>
      <t xml:space="preserve"> </t>
    </r>
    <r>
      <rPr>
        <sz val="8"/>
        <color rgb="FF000000"/>
        <rFont val="Verdana"/>
        <family val="2"/>
      </rPr>
      <t>Bonus de</t>
    </r>
    <r>
      <rPr>
        <b/>
        <sz val="8"/>
        <color rgb="FF000000"/>
        <rFont val="Verdana"/>
        <family val="2"/>
      </rPr>
      <t xml:space="preserve"> VO&amp;VD+ NEx2</t>
    </r>
    <r>
      <rPr>
        <sz val="8"/>
        <color rgb="FF000000"/>
        <rFont val="Verdana"/>
        <family val="2"/>
      </rPr>
      <t xml:space="preserve">, </t>
    </r>
    <r>
      <rPr>
        <b/>
        <sz val="8"/>
        <color rgb="FF000000"/>
        <rFont val="Verdana"/>
        <family val="2"/>
      </rPr>
      <t>TC+NE</t>
    </r>
    <r>
      <rPr>
        <sz val="8"/>
        <color rgb="FF000000"/>
        <rFont val="Verdana"/>
        <family val="2"/>
      </rPr>
      <t xml:space="preserve"> et </t>
    </r>
    <r>
      <rPr>
        <b/>
        <sz val="8"/>
        <color rgb="FF000000"/>
        <rFont val="Verdana"/>
        <family val="2"/>
      </rPr>
      <t>RMa+NEM</t>
    </r>
    <r>
      <rPr>
        <sz val="8"/>
        <color rgb="FF000000"/>
        <rFont val="Verdana"/>
        <family val="2"/>
      </rPr>
      <t xml:space="preserve"> dans les rencontres d’êtres de cet alignement, </t>
    </r>
    <r>
      <rPr>
        <b/>
        <sz val="8"/>
        <color rgb="FF000000"/>
        <rFont val="Verdana"/>
        <family val="2"/>
      </rPr>
      <t>Rage +1</t>
    </r>
    <r>
      <rPr>
        <sz val="8"/>
        <color rgb="FF000000"/>
        <rFont val="Verdana"/>
        <family val="2"/>
      </rPr>
      <t xml:space="preserve"> et </t>
    </r>
    <r>
      <rPr>
        <b/>
        <sz val="8"/>
        <color rgb="FF000000"/>
        <rFont val="Verdana"/>
        <family val="2"/>
      </rPr>
      <t>Haine</t>
    </r>
    <r>
      <rPr>
        <sz val="8"/>
        <color rgb="FF000000"/>
        <rFont val="Verdana"/>
        <family val="2"/>
      </rPr>
      <t xml:space="preserve"> de cet alignement. Peut ressentir automatiquement cet alignement dans les êtres rencontrés et en vue, 1x/heure à </t>
    </r>
    <r>
      <rPr>
        <b/>
        <sz val="8"/>
        <color rgb="FF000000"/>
        <rFont val="Verdana"/>
        <family val="2"/>
      </rPr>
      <t>NEx5m</t>
    </r>
    <r>
      <rPr>
        <sz val="8"/>
        <color rgb="FF000000"/>
        <rFont val="Verdana"/>
        <family val="2"/>
      </rPr>
      <t xml:space="preserve">. </t>
    </r>
  </si>
  <si>
    <t>Dédié sur créature</t>
  </si>
  <si>
    <r>
      <t xml:space="preserve">Déterminer au hasard une race de créature. Bonus général de </t>
    </r>
    <r>
      <rPr>
        <b/>
        <sz val="8"/>
        <color theme="1"/>
        <rFont val="Verdana"/>
        <family val="2"/>
      </rPr>
      <t xml:space="preserve">RMa x CC </t>
    </r>
    <r>
      <rPr>
        <sz val="8"/>
        <color theme="1"/>
        <rFont val="Verdana"/>
        <family val="2"/>
      </rPr>
      <t xml:space="preserve">contre cette race, haine de ces créatures, </t>
    </r>
    <r>
      <rPr>
        <i/>
        <sz val="8"/>
        <color theme="1"/>
        <rFont val="Verdana"/>
        <family val="2"/>
      </rPr>
      <t>Furie contrôlable</t>
    </r>
    <r>
      <rPr>
        <sz val="8"/>
        <color theme="1"/>
        <rFont val="Verdana"/>
        <family val="2"/>
      </rPr>
      <t xml:space="preserve">, ne peut être attaqué par les ennemis jurés de cette race. Ignore toutes les immunités de cette créature et les effets spéciaux qu’elle possède. </t>
    </r>
  </si>
  <si>
    <t>Intelligent</t>
  </si>
  <si>
    <r>
      <t>L’esprit</t>
    </r>
    <r>
      <rPr>
        <sz val="8"/>
        <color rgb="FF000000"/>
        <rFont val="Verdana"/>
        <family val="2"/>
      </rPr>
      <t xml:space="preserve"> du créateur/d’une créature (d2) est emprisonné (Intelligence = </t>
    </r>
    <r>
      <rPr>
        <b/>
        <sz val="8"/>
        <color rgb="FF000000"/>
        <rFont val="Verdana"/>
        <family val="2"/>
      </rPr>
      <t>1d6+4 x10, NEM</t>
    </r>
    <r>
      <rPr>
        <sz val="8"/>
        <color rgb="FF000000"/>
        <rFont val="Verdana"/>
        <family val="2"/>
      </rPr>
      <t xml:space="preserve"> </t>
    </r>
    <r>
      <rPr>
        <b/>
        <sz val="8"/>
        <color rgb="FF000000"/>
        <rFont val="Verdana"/>
        <family val="2"/>
      </rPr>
      <t>TG</t>
    </r>
    <r>
      <rPr>
        <sz val="8"/>
        <color rgb="FF000000"/>
        <rFont val="Verdana"/>
        <family val="2"/>
      </rPr>
      <t xml:space="preserve"> connus à NE=D10*x20, </t>
    </r>
    <r>
      <rPr>
        <b/>
        <sz val="8"/>
        <color rgb="FF000000"/>
        <rFont val="Verdana"/>
        <family val="2"/>
      </rPr>
      <t>NEM sorts</t>
    </r>
    <r>
      <rPr>
        <sz val="8"/>
        <color rgb="FF000000"/>
        <rFont val="Verdana"/>
        <family val="2"/>
      </rPr>
      <t xml:space="preserve"> connus au NE de la relique). </t>
    </r>
    <r>
      <rPr>
        <u/>
        <sz val="8"/>
        <color rgb="FF000000"/>
        <rFont val="Verdana"/>
        <family val="2"/>
      </rPr>
      <t>Créature</t>
    </r>
    <r>
      <rPr>
        <sz val="8"/>
        <color rgb="FF000000"/>
        <rFont val="Verdana"/>
        <family val="2"/>
      </rPr>
      <t xml:space="preserve"> : trouver une créature dont le NC est proche du NE(relique). </t>
    </r>
    <r>
      <rPr>
        <u/>
        <sz val="8"/>
        <color rgb="FF000000"/>
        <rFont val="Verdana"/>
        <family val="2"/>
      </rPr>
      <t>Créateur</t>
    </r>
    <r>
      <rPr>
        <sz val="8"/>
        <color rgb="FF000000"/>
        <rFont val="Verdana"/>
        <family val="2"/>
      </rPr>
      <t xml:space="preserve"> à un NEM=NEM(relique). Possibilité de communiquer (téléphatie) à volonté avec l’esprit, 1 PdM/phase. Bonus +</t>
    </r>
    <r>
      <rPr>
        <b/>
        <sz val="8"/>
        <color rgb="FF000000"/>
        <rFont val="Verdana"/>
        <family val="2"/>
      </rPr>
      <t>RMa</t>
    </r>
    <r>
      <rPr>
        <sz val="8"/>
        <color rgb="FF000000"/>
        <rFont val="Verdana"/>
        <family val="2"/>
      </rPr>
      <t xml:space="preserve"> à tous les tests de talents/sorts connus par cet esprit. Fait gagner </t>
    </r>
    <r>
      <rPr>
        <b/>
        <sz val="8"/>
        <color rgb="FF000000"/>
        <rFont val="Verdana"/>
        <family val="2"/>
      </rPr>
      <t>NE(relique) ExT</t>
    </r>
    <r>
      <rPr>
        <sz val="8"/>
        <color rgb="FF000000"/>
        <rFont val="Verdana"/>
        <family val="2"/>
      </rPr>
      <t xml:space="preserve"> dans un Talent ou Sort connus par la relique, 1x/par jour, sans dépasser les NE(Talents/Sorts). L’esprit influencera le porteur dans une direction propre au sens de la vie du créateur et ce à chaque jour ou à chaque usage. X peut résister avec un test sur sa RMa (1x/jour). </t>
    </r>
  </si>
  <si>
    <t>Sort pour la magie. Permanent pour les talents.</t>
  </si>
  <si>
    <t>Esprit capturé</t>
  </si>
  <si>
    <r>
      <t xml:space="preserve">Esprit d’un membre d’une race intelligente dont le corps est mort et dont l’esprit perdure. Déterminez l’être et sa psychologie (un être doué de magie ou très puissant). Il tente de prendre le contrôle de X. 1x/jour X test </t>
    </r>
    <r>
      <rPr>
        <b/>
        <sz val="8"/>
        <color theme="1"/>
        <rFont val="Verdana"/>
        <family val="2"/>
      </rPr>
      <t>V(Res)</t>
    </r>
    <r>
      <rPr>
        <sz val="8"/>
        <color theme="1"/>
        <rFont val="Verdana"/>
        <family val="2"/>
      </rPr>
      <t xml:space="preserve"> avec malus mais sans bonus, après </t>
    </r>
    <r>
      <rPr>
        <b/>
        <sz val="8"/>
        <color theme="1"/>
        <rFont val="Verdana"/>
        <family val="2"/>
      </rPr>
      <t>RMa(X) échecs</t>
    </r>
    <r>
      <rPr>
        <sz val="8"/>
        <color theme="1"/>
        <rFont val="Verdana"/>
        <family val="2"/>
      </rPr>
      <t xml:space="preserve"> l’esprit de X est totalement sous le contrôle de la relique. Après </t>
    </r>
    <r>
      <rPr>
        <b/>
        <sz val="8"/>
        <color theme="1"/>
        <rFont val="Verdana"/>
        <family val="2"/>
      </rPr>
      <t>RMa(relique) réussites</t>
    </r>
    <r>
      <rPr>
        <sz val="8"/>
        <color theme="1"/>
        <rFont val="Verdana"/>
        <family val="2"/>
      </rPr>
      <t xml:space="preserve"> l’esprit se soumet à X et X aura l’usage de tous les talents et sorts connus par l’esprit aux NE maîtrisés par celui-ci si supérieurs aux siens.</t>
    </r>
  </si>
  <si>
    <t>Unique</t>
  </si>
  <si>
    <r>
      <t xml:space="preserve">Voir </t>
    </r>
    <r>
      <rPr>
        <i/>
        <sz val="8"/>
        <color rgb="FF000000"/>
        <rFont val="Verdana"/>
        <family val="2"/>
      </rPr>
      <t>5.3 Reliques spéciales</t>
    </r>
    <r>
      <rPr>
        <i/>
        <sz val="6"/>
        <color rgb="FF000000"/>
        <rFont val="Verdana"/>
        <family val="2"/>
      </rPr>
      <t>.</t>
    </r>
  </si>
  <si>
    <t>treMagProSpe</t>
  </si>
  <si>
    <t>treMagProSpeTex</t>
  </si>
  <si>
    <t>treMagProSpeD</t>
  </si>
  <si>
    <t>PS</t>
  </si>
  <si>
    <t>PO</t>
  </si>
  <si>
    <t xml:space="preserve">Aquatique </t>
  </si>
  <si>
    <r>
      <t xml:space="preserve">Donne une MVp=RMa/2 sous l’eau, coûte 1 PdM / phase, bonus </t>
    </r>
    <r>
      <rPr>
        <i/>
        <sz val="8"/>
        <color rgb="FF000000"/>
        <rFont val="Verdana"/>
        <family val="2"/>
      </rPr>
      <t>Nage</t>
    </r>
    <r>
      <rPr>
        <sz val="8"/>
        <color rgb="FF000000"/>
        <rFont val="Verdana"/>
        <family val="2"/>
      </rPr>
      <t>+RMa</t>
    </r>
  </si>
  <si>
    <t>X peut utiliser un TC au hasard à NE60 sans aucun malus, 1PdM par usage</t>
  </si>
  <si>
    <r>
      <t xml:space="preserve">Furie </t>
    </r>
    <r>
      <rPr>
        <sz val="8"/>
        <color rgb="FF000000"/>
        <rFont val="Verdana"/>
        <family val="2"/>
      </rPr>
      <t>totale</t>
    </r>
  </si>
  <si>
    <r>
      <t>MdJ définit les conditions de rentrée dans cette Furie (</t>
    </r>
    <r>
      <rPr>
        <i/>
        <sz val="8"/>
        <color rgb="FF000000"/>
        <rFont val="Verdana"/>
        <family val="2"/>
      </rPr>
      <t>voir Livre 4</t>
    </r>
    <r>
      <rPr>
        <sz val="8"/>
        <color rgb="FF000000"/>
        <rFont val="Verdana"/>
        <family val="2"/>
      </rPr>
      <t>)</t>
    </r>
  </si>
  <si>
    <r>
      <t xml:space="preserve">Furie </t>
    </r>
    <r>
      <rPr>
        <sz val="8"/>
        <color rgb="FF000000"/>
        <rFont val="Verdana"/>
        <family val="2"/>
      </rPr>
      <t>partielle</t>
    </r>
  </si>
  <si>
    <r>
      <t xml:space="preserve">Haine </t>
    </r>
    <r>
      <rPr>
        <sz val="8"/>
        <color rgb="FF000000"/>
        <rFont val="Verdana"/>
        <family val="2"/>
      </rPr>
      <t>cible</t>
    </r>
  </si>
  <si>
    <r>
      <t>Déterminez une race de créature = cible (</t>
    </r>
    <r>
      <rPr>
        <i/>
        <sz val="8"/>
        <color rgb="FF000000"/>
        <rFont val="Verdana"/>
        <family val="2"/>
      </rPr>
      <t>voir Livre 4</t>
    </r>
    <r>
      <rPr>
        <sz val="8"/>
        <color rgb="FF000000"/>
        <rFont val="Verdana"/>
        <family val="2"/>
      </rPr>
      <t>)</t>
    </r>
  </si>
  <si>
    <r>
      <t>Rage</t>
    </r>
    <r>
      <rPr>
        <sz val="8"/>
        <color rgb="FF000000"/>
        <rFont val="Verdana"/>
        <family val="2"/>
      </rPr>
      <t xml:space="preserve"> D10* </t>
    </r>
  </si>
  <si>
    <t>Activable sur un test de NECx10 pendant le combat</t>
  </si>
  <si>
    <r>
      <t xml:space="preserve">Immunité </t>
    </r>
    <r>
      <rPr>
        <sz val="8"/>
        <color rgb="FF000000"/>
        <rFont val="Verdana"/>
        <family val="2"/>
      </rPr>
      <t>Cat</t>
    </r>
    <r>
      <rPr>
        <vertAlign val="superscript"/>
        <sz val="8"/>
        <color rgb="FF000000"/>
        <rFont val="Verdana"/>
        <family val="2"/>
      </rPr>
      <t>1</t>
    </r>
  </si>
  <si>
    <r>
      <t xml:space="preserve">Totale (100%) sur la </t>
    </r>
    <r>
      <rPr>
        <i/>
        <sz val="8"/>
        <color rgb="FF000000"/>
        <rFont val="Verdana"/>
        <family val="2"/>
      </rPr>
      <t>Catégorie</t>
    </r>
    <r>
      <rPr>
        <sz val="8"/>
        <color rgb="FF000000"/>
        <rFont val="Verdana"/>
        <family val="2"/>
      </rPr>
      <t xml:space="preserve"> au choix (voir ci-dessous), 1PdM par usage</t>
    </r>
  </si>
  <si>
    <r>
      <t xml:space="preserve">Insensible  </t>
    </r>
    <r>
      <rPr>
        <sz val="8"/>
        <color rgb="FF000000"/>
        <rFont val="Verdana"/>
        <family val="2"/>
      </rPr>
      <t>Cat</t>
    </r>
    <r>
      <rPr>
        <vertAlign val="superscript"/>
        <sz val="8"/>
        <color rgb="FF000000"/>
        <rFont val="Verdana"/>
        <family val="2"/>
      </rPr>
      <t>1</t>
    </r>
  </si>
  <si>
    <r>
      <t xml:space="preserve">D10 x10%, sur la </t>
    </r>
    <r>
      <rPr>
        <i/>
        <sz val="8"/>
        <color rgb="FF000000"/>
        <rFont val="Verdana"/>
        <family val="2"/>
      </rPr>
      <t>Catégorie</t>
    </r>
    <r>
      <rPr>
        <sz val="8"/>
        <color rgb="FF000000"/>
        <rFont val="Verdana"/>
        <family val="2"/>
      </rPr>
      <t xml:space="preserve"> au choix (voir ci-dessous), 1PdM par usage</t>
    </r>
  </si>
  <si>
    <t xml:space="preserve">Magie </t>
  </si>
  <si>
    <t>Déterminez un sort ou pouvoir de l’alignement, NE fois /jour, coût selon DS</t>
  </si>
  <si>
    <r>
      <t>Régénérant</t>
    </r>
    <r>
      <rPr>
        <sz val="8"/>
        <color rgb="FF000000"/>
        <rFont val="Verdana"/>
        <family val="2"/>
      </rPr>
      <t>²</t>
    </r>
  </si>
  <si>
    <t xml:space="preserve">Déterminez ce qui régénère (voir plus loin), 1PdM par usage </t>
  </si>
  <si>
    <r>
      <t xml:space="preserve">Sensible </t>
    </r>
    <r>
      <rPr>
        <sz val="8"/>
        <color rgb="FF000000"/>
        <rFont val="Verdana"/>
        <family val="2"/>
      </rPr>
      <t>Cat</t>
    </r>
    <r>
      <rPr>
        <vertAlign val="superscript"/>
        <sz val="8"/>
        <color rgb="FF000000"/>
        <rFont val="Verdana"/>
        <family val="2"/>
      </rPr>
      <t>1</t>
    </r>
    <r>
      <rPr>
        <sz val="8"/>
        <color rgb="FF000000"/>
        <rFont val="Verdana"/>
        <family val="2"/>
      </rPr>
      <t xml:space="preserve"> </t>
    </r>
  </si>
  <si>
    <r>
      <t xml:space="preserve">D10 x10%, sur la </t>
    </r>
    <r>
      <rPr>
        <i/>
        <sz val="8"/>
        <color rgb="FF000000"/>
        <rFont val="Verdana"/>
        <family val="2"/>
      </rPr>
      <t>Catégorie</t>
    </r>
    <r>
      <rPr>
        <sz val="8"/>
        <color rgb="FF000000"/>
        <rFont val="Verdana"/>
        <family val="2"/>
      </rPr>
      <t xml:space="preserve"> au choix (voir plus loin)</t>
    </r>
  </si>
  <si>
    <t xml:space="preserve">Talents </t>
  </si>
  <si>
    <t>Un TG au hasard testé à NE(relique)x10, max 80, coût 1PdM par usage</t>
  </si>
  <si>
    <t xml:space="preserve">Vol </t>
  </si>
  <si>
    <t>MVp dans l’air = RMa/3, par lévitation, coûte 4 PdM / phase</t>
  </si>
  <si>
    <t>treMagPouD</t>
  </si>
  <si>
    <t>treMagPou</t>
  </si>
  <si>
    <t>treMagPouTex</t>
  </si>
  <si>
    <t>Coups de T-aille</t>
  </si>
  <si>
    <t>Coups d’E-stoc</t>
  </si>
  <si>
    <t>Coups de C-oncussion</t>
  </si>
  <si>
    <t>Malus de Fatigue</t>
  </si>
  <si>
    <t>Malus de Souffle</t>
  </si>
  <si>
    <t>Feu</t>
  </si>
  <si>
    <t>Perte d’énergie(EN)</t>
  </si>
  <si>
    <t>Effets des Poisons</t>
  </si>
  <si>
    <t>Étourdissement</t>
  </si>
  <si>
    <t>Coma</t>
  </si>
  <si>
    <t>treMagCatD</t>
  </si>
  <si>
    <t>treMagCat</t>
  </si>
  <si>
    <t>Points de blessure (TEC) d’une zone du corps</t>
  </si>
  <si>
    <t>Malus de combat / souffle (d2)</t>
  </si>
  <si>
    <t>Phase</t>
  </si>
  <si>
    <t>Perte Temporaire dans caractéristique</t>
  </si>
  <si>
    <t>Minute</t>
  </si>
  <si>
    <t>Point d’EN / Mana-PdM (d2)</t>
  </si>
  <si>
    <t>Heure</t>
  </si>
  <si>
    <t>treReg1</t>
  </si>
  <si>
    <t>treReg2</t>
  </si>
  <si>
    <t>treReg3</t>
  </si>
  <si>
    <t>Forme &amp; matière selon autres trésors</t>
  </si>
  <si>
    <r>
      <t xml:space="preserve">Gros chapeau de </t>
    </r>
    <r>
      <rPr>
        <i/>
        <sz val="8"/>
        <color theme="1"/>
        <rFont val="Verdana"/>
        <family val="2"/>
      </rPr>
      <t>chanvre/lin/étoffe/soie</t>
    </r>
  </si>
  <si>
    <r>
      <t>Marque/statuette/statue/icône</t>
    </r>
    <r>
      <rPr>
        <sz val="8"/>
        <color theme="1"/>
        <rFont val="Verdana"/>
        <family val="2"/>
      </rPr>
      <t xml:space="preserve"> de pierre grise</t>
    </r>
  </si>
  <si>
    <r>
      <t xml:space="preserve">Bourse en </t>
    </r>
    <r>
      <rPr>
        <i/>
        <sz val="8"/>
        <color theme="1"/>
        <rFont val="Verdana"/>
        <family val="2"/>
      </rPr>
      <t>jute/lin/cuir/soie</t>
    </r>
    <r>
      <rPr>
        <sz val="8"/>
        <color theme="1"/>
        <rFont val="Verdana"/>
        <family val="2"/>
      </rPr>
      <t xml:space="preserve"> +1d6 SO</t>
    </r>
  </si>
  <si>
    <r>
      <t xml:space="preserve">Rouleau de </t>
    </r>
    <r>
      <rPr>
        <i/>
        <sz val="8"/>
        <color theme="1"/>
        <rFont val="Verdana"/>
        <family val="2"/>
      </rPr>
      <t>lin/laine/soie</t>
    </r>
    <r>
      <rPr>
        <sz val="8"/>
        <color theme="1"/>
        <rFont val="Verdana"/>
        <family val="2"/>
      </rPr>
      <t xml:space="preserve"> jaune finement tissée</t>
    </r>
  </si>
  <si>
    <r>
      <t xml:space="preserve">Cape de </t>
    </r>
    <r>
      <rPr>
        <i/>
        <sz val="8"/>
        <color theme="1"/>
        <rFont val="Verdana"/>
        <family val="2"/>
      </rPr>
      <t>laine/chanvre/cuir</t>
    </r>
    <r>
      <rPr>
        <sz val="8"/>
        <color theme="1"/>
        <rFont val="Verdana"/>
        <family val="2"/>
      </rPr>
      <t xml:space="preserve"> grise renforcée </t>
    </r>
  </si>
  <si>
    <r>
      <t xml:space="preserve">Encre </t>
    </r>
    <r>
      <rPr>
        <i/>
        <sz val="8"/>
        <color theme="1"/>
        <rFont val="Verdana"/>
        <family val="2"/>
      </rPr>
      <t>noire/rouge/bleue</t>
    </r>
    <r>
      <rPr>
        <sz val="8"/>
        <color theme="1"/>
        <rFont val="Verdana"/>
        <family val="2"/>
      </rPr>
      <t xml:space="preserve"> spéciale pour enluminure</t>
    </r>
  </si>
  <si>
    <t>2d6 SO en vrac</t>
  </si>
  <si>
    <t xml:space="preserve">1d6 parchemins de vélin </t>
  </si>
  <si>
    <r>
      <t xml:space="preserve">Mitaines de laine </t>
    </r>
    <r>
      <rPr>
        <i/>
        <sz val="8"/>
        <color theme="1"/>
        <rFont val="Verdana"/>
        <family val="2"/>
      </rPr>
      <t>brune/ocre/noire/blanche</t>
    </r>
  </si>
  <si>
    <r>
      <t xml:space="preserve">Plume de </t>
    </r>
    <r>
      <rPr>
        <i/>
        <sz val="8"/>
        <color theme="1"/>
        <rFont val="Verdana"/>
        <family val="2"/>
      </rPr>
      <t>copiste/scribe/maître</t>
    </r>
  </si>
  <si>
    <r>
      <t>Boucle d’oreille avec une pierre j</t>
    </r>
    <r>
      <rPr>
        <i/>
        <sz val="8"/>
        <color theme="1"/>
        <rFont val="Verdana"/>
        <family val="2"/>
      </rPr>
      <t>et/agate/jade</t>
    </r>
  </si>
  <si>
    <r>
      <t xml:space="preserve">1d6 doses de teinture </t>
    </r>
    <r>
      <rPr>
        <i/>
        <sz val="8"/>
        <color theme="1"/>
        <rFont val="Verdana"/>
        <family val="2"/>
      </rPr>
      <t>noire/bleue/rouge/jaune</t>
    </r>
  </si>
  <si>
    <r>
      <t xml:space="preserve">Couverture brune de </t>
    </r>
    <r>
      <rPr>
        <i/>
        <sz val="8"/>
        <color theme="1"/>
        <rFont val="Verdana"/>
        <family val="2"/>
      </rPr>
      <t>serge/grosse laine/cuir</t>
    </r>
  </si>
  <si>
    <r>
      <t xml:space="preserve">Une peau de loup </t>
    </r>
    <r>
      <rPr>
        <i/>
        <sz val="8"/>
        <color theme="1"/>
        <rFont val="Verdana"/>
        <family val="2"/>
      </rPr>
      <t>brute/traitée/précieuse/rare</t>
    </r>
  </si>
  <si>
    <r>
      <t xml:space="preserve">Anneau </t>
    </r>
    <r>
      <rPr>
        <i/>
        <sz val="8"/>
        <color theme="1"/>
        <rFont val="Verdana"/>
        <family val="2"/>
      </rPr>
      <t>bronze/cuivre/argent/or</t>
    </r>
  </si>
  <si>
    <t>1d6 doses de sel de conservation de la nourriture</t>
  </si>
  <si>
    <r>
      <t xml:space="preserve">1D10 SO dans une </t>
    </r>
    <r>
      <rPr>
        <i/>
        <sz val="8"/>
        <color theme="1"/>
        <rFont val="Verdana"/>
        <family val="2"/>
      </rPr>
      <t>poche/bourse/étui</t>
    </r>
  </si>
  <si>
    <r>
      <t>Poudre/huile/poison/PN</t>
    </r>
    <r>
      <rPr>
        <sz val="8"/>
        <color theme="1"/>
        <rFont val="Verdana"/>
        <family val="2"/>
      </rPr>
      <t xml:space="preserve"> base d’alchimiste</t>
    </r>
  </si>
  <si>
    <r>
      <t>Lettre/message confidentielle/secret</t>
    </r>
    <r>
      <rPr>
        <sz val="8"/>
        <color theme="1"/>
        <rFont val="Verdana"/>
        <family val="2"/>
      </rPr>
      <t xml:space="preserve"> d’un notable</t>
    </r>
  </si>
  <si>
    <r>
      <t>Inventaire/comptes</t>
    </r>
    <r>
      <rPr>
        <sz val="8"/>
        <color theme="1"/>
        <rFont val="Verdana"/>
        <family val="2"/>
      </rPr>
      <t xml:space="preserve"> d’une échoppe d’herboriste</t>
    </r>
  </si>
  <si>
    <r>
      <t>Cape/robe/tunique/ensemble</t>
    </r>
    <r>
      <rPr>
        <sz val="8"/>
        <color theme="1"/>
        <rFont val="Verdana"/>
        <family val="2"/>
      </rPr>
      <t xml:space="preserve"> en grosse laine grise</t>
    </r>
  </si>
  <si>
    <r>
      <t xml:space="preserve">Barre de </t>
    </r>
    <r>
      <rPr>
        <i/>
        <sz val="8"/>
        <color theme="1"/>
        <rFont val="Verdana"/>
        <family val="2"/>
      </rPr>
      <t>bronze/cuivre/argent/or</t>
    </r>
    <r>
      <rPr>
        <sz val="8"/>
        <color theme="1"/>
        <rFont val="Verdana"/>
        <family val="2"/>
      </rPr>
      <t xml:space="preserve"> teinté</t>
    </r>
  </si>
  <si>
    <r>
      <t>Bourse/Filet/Sac/Etui</t>
    </r>
    <r>
      <rPr>
        <sz val="8"/>
        <color theme="1"/>
        <rFont val="Verdana"/>
        <family val="2"/>
      </rPr>
      <t xml:space="preserve"> avec 2D10 SO</t>
    </r>
  </si>
  <si>
    <r>
      <t>Poterie(</t>
    </r>
    <r>
      <rPr>
        <i/>
        <sz val="8"/>
        <color theme="1"/>
        <rFont val="Verdana"/>
        <family val="2"/>
      </rPr>
      <t>jarre/vase/statue</t>
    </r>
    <r>
      <rPr>
        <sz val="8"/>
        <color theme="1"/>
        <rFont val="Verdana"/>
        <family val="2"/>
      </rPr>
      <t>) fine et décorée</t>
    </r>
  </si>
  <si>
    <r>
      <t>Cape/collier/capuche</t>
    </r>
    <r>
      <rPr>
        <sz val="8"/>
        <color theme="1"/>
        <rFont val="Verdana"/>
        <family val="2"/>
      </rPr>
      <t xml:space="preserve"> brune avec attache avant</t>
    </r>
  </si>
  <si>
    <r>
      <t>Poils soyeux issus d’un félin(</t>
    </r>
    <r>
      <rPr>
        <i/>
        <sz val="8"/>
        <color theme="1"/>
        <rFont val="Verdana"/>
        <family val="2"/>
      </rPr>
      <t>chat/hermine/lynx</t>
    </r>
    <r>
      <rPr>
        <sz val="8"/>
        <color theme="1"/>
        <rFont val="Verdana"/>
        <family val="2"/>
      </rPr>
      <t>)</t>
    </r>
  </si>
  <si>
    <t>Bourse de cuir avec 1d6 PC</t>
  </si>
  <si>
    <r>
      <t>Corne/flûte/cor/lyre</t>
    </r>
    <r>
      <rPr>
        <sz val="8"/>
        <color theme="1"/>
        <rFont val="Verdana"/>
        <family val="2"/>
      </rPr>
      <t xml:space="preserve"> de musicien</t>
    </r>
  </si>
  <si>
    <r>
      <t xml:space="preserve">Cape verte en </t>
    </r>
    <r>
      <rPr>
        <i/>
        <sz val="8"/>
        <color theme="1"/>
        <rFont val="Verdana"/>
        <family val="2"/>
      </rPr>
      <t>lin/serge/cuir</t>
    </r>
    <r>
      <rPr>
        <sz val="8"/>
        <color theme="1"/>
        <rFont val="Verdana"/>
        <family val="2"/>
      </rPr>
      <t xml:space="preserve"> avec nœud à la taille</t>
    </r>
  </si>
  <si>
    <r>
      <t xml:space="preserve">Cruche en </t>
    </r>
    <r>
      <rPr>
        <i/>
        <sz val="8"/>
        <color theme="1"/>
        <rFont val="Verdana"/>
        <family val="2"/>
      </rPr>
      <t>étain/cuivre/argent</t>
    </r>
    <r>
      <rPr>
        <sz val="8"/>
        <color theme="1"/>
        <rFont val="Verdana"/>
        <family val="2"/>
      </rPr>
      <t xml:space="preserve"> de brasseur</t>
    </r>
  </si>
  <si>
    <r>
      <t xml:space="preserve">Boucle et petite </t>
    </r>
    <r>
      <rPr>
        <i/>
        <sz val="8"/>
        <color theme="1"/>
        <rFont val="Verdana"/>
        <family val="2"/>
      </rPr>
      <t>topaze/agate/opale/granet</t>
    </r>
    <r>
      <rPr>
        <sz val="8"/>
        <color theme="1"/>
        <rFont val="Verdana"/>
        <family val="2"/>
      </rPr>
      <t xml:space="preserve"> sertie</t>
    </r>
  </si>
  <si>
    <t>1d6 pierre de marbre de sculpteur</t>
  </si>
  <si>
    <r>
      <t xml:space="preserve">Longue </t>
    </r>
    <r>
      <rPr>
        <i/>
        <sz val="8"/>
        <color theme="1"/>
        <rFont val="Verdana"/>
        <family val="2"/>
      </rPr>
      <t>chemise/robe/tunique</t>
    </r>
    <r>
      <rPr>
        <sz val="8"/>
        <color theme="1"/>
        <rFont val="Verdana"/>
        <family val="2"/>
      </rPr>
      <t xml:space="preserve"> blanche en lin</t>
    </r>
  </si>
  <si>
    <r>
      <t xml:space="preserve">1d6kg de </t>
    </r>
    <r>
      <rPr>
        <i/>
        <sz val="8"/>
        <color theme="1"/>
        <rFont val="Verdana"/>
        <family val="2"/>
      </rPr>
      <t>charbon/fer/bronze/argent</t>
    </r>
  </si>
  <si>
    <r>
      <t>Couronne/brassard/bague</t>
    </r>
    <r>
      <rPr>
        <sz val="8"/>
        <color theme="1"/>
        <rFont val="Verdana"/>
        <family val="2"/>
      </rPr>
      <t xml:space="preserve"> de cuivre de forme royale</t>
    </r>
  </si>
  <si>
    <t>Alcool utilisé pour les préparations des plantes</t>
  </si>
  <si>
    <t>2d6 PC en vrac</t>
  </si>
  <si>
    <r>
      <t>Eau/alcool/PN/poison</t>
    </r>
    <r>
      <rPr>
        <sz val="8"/>
        <color theme="1"/>
        <rFont val="Verdana"/>
        <family val="2"/>
      </rPr>
      <t xml:space="preserve"> bénit</t>
    </r>
  </si>
  <si>
    <r>
      <t xml:space="preserve">Inventaire d’une réserve </t>
    </r>
    <r>
      <rPr>
        <i/>
        <sz val="8"/>
        <color theme="1"/>
        <rFont val="Verdana"/>
        <family val="2"/>
      </rPr>
      <t>locale/régionale/royale</t>
    </r>
  </si>
  <si>
    <t>Manuel de recherche des gemmes en montagne</t>
  </si>
  <si>
    <r>
      <t xml:space="preserve">Chemise laine </t>
    </r>
    <r>
      <rPr>
        <i/>
        <sz val="8"/>
        <color theme="1"/>
        <rFont val="Verdana"/>
        <family val="2"/>
      </rPr>
      <t>brune/rouge/blanche</t>
    </r>
    <r>
      <rPr>
        <sz val="8"/>
        <color theme="1"/>
        <rFont val="Verdana"/>
        <family val="2"/>
      </rPr>
      <t xml:space="preserve"> et col brodé</t>
    </r>
  </si>
  <si>
    <r>
      <t xml:space="preserve">Jouet en </t>
    </r>
    <r>
      <rPr>
        <i/>
        <sz val="8"/>
        <color theme="1"/>
        <rFont val="Verdana"/>
        <family val="2"/>
      </rPr>
      <t>bois/ivoire/métal</t>
    </r>
    <r>
      <rPr>
        <sz val="8"/>
        <color theme="1"/>
        <rFont val="Verdana"/>
        <family val="2"/>
      </rPr>
      <t xml:space="preserve"> figurant un animal</t>
    </r>
  </si>
  <si>
    <r>
      <t>Bourse/sac/étui/coffret</t>
    </r>
    <r>
      <rPr>
        <sz val="8"/>
        <color theme="1"/>
        <rFont val="Verdana"/>
        <family val="2"/>
      </rPr>
      <t xml:space="preserve"> de cuir noir + 2D10 PC</t>
    </r>
  </si>
  <si>
    <t>1d6 Collets de tissus épais pour petit gibier</t>
  </si>
  <si>
    <r>
      <t xml:space="preserve">Manchons de </t>
    </r>
    <r>
      <rPr>
        <i/>
        <sz val="8"/>
        <color theme="1"/>
        <rFont val="Verdana"/>
        <family val="2"/>
      </rPr>
      <t>cuir/broigne</t>
    </r>
    <r>
      <rPr>
        <sz val="8"/>
        <color theme="1"/>
        <rFont val="Verdana"/>
        <family val="2"/>
      </rPr>
      <t xml:space="preserve"> avec attaches et gaines</t>
    </r>
  </si>
  <si>
    <t>1d6 doses Tisane curative maladies respiratoires</t>
  </si>
  <si>
    <r>
      <t xml:space="preserve">Cassette de bois </t>
    </r>
    <r>
      <rPr>
        <i/>
        <sz val="8"/>
        <color theme="1"/>
        <rFont val="Verdana"/>
        <family val="2"/>
      </rPr>
      <t>massif/rare/précieux</t>
    </r>
    <r>
      <rPr>
        <sz val="8"/>
        <color theme="1"/>
        <rFont val="Verdana"/>
        <family val="2"/>
      </rPr>
      <t xml:space="preserve"> + 1d6 PA</t>
    </r>
  </si>
  <si>
    <r>
      <t xml:space="preserve">Couteau de </t>
    </r>
    <r>
      <rPr>
        <i/>
        <sz val="8"/>
        <color theme="1"/>
        <rFont val="Verdana"/>
        <family val="2"/>
      </rPr>
      <t>tanneur/chasseur/bourreau/tueur</t>
    </r>
  </si>
  <si>
    <r>
      <t>Uniforme/surcot</t>
    </r>
    <r>
      <rPr>
        <sz val="8"/>
        <color theme="1"/>
        <rFont val="Verdana"/>
        <family val="2"/>
      </rPr>
      <t xml:space="preserve"> de guilde avec symbole cousu</t>
    </r>
  </si>
  <si>
    <r>
      <t xml:space="preserve">Marteau de </t>
    </r>
    <r>
      <rPr>
        <i/>
        <sz val="8"/>
        <color theme="1"/>
        <rFont val="Verdana"/>
        <family val="2"/>
      </rPr>
      <t>mineur/charpentier/sculpteur</t>
    </r>
  </si>
  <si>
    <r>
      <t>Gaine/étui/bourse</t>
    </r>
    <r>
      <rPr>
        <sz val="8"/>
        <color theme="1"/>
        <rFont val="Verdana"/>
        <family val="2"/>
      </rPr>
      <t xml:space="preserve"> dissimulant 1D10 PC</t>
    </r>
  </si>
  <si>
    <r>
      <t xml:space="preserve">1d6 os de </t>
    </r>
    <r>
      <rPr>
        <i/>
        <sz val="8"/>
        <color theme="1"/>
        <rFont val="Verdana"/>
        <family val="2"/>
      </rPr>
      <t>chat noir/serpent/créature</t>
    </r>
  </si>
  <si>
    <r>
      <t>Ceinture/chausse/bottes</t>
    </r>
    <r>
      <rPr>
        <sz val="8"/>
        <color theme="1"/>
        <rFont val="Verdana"/>
        <family val="2"/>
      </rPr>
      <t xml:space="preserve"> de cuir fin et blanc</t>
    </r>
  </si>
  <si>
    <r>
      <t xml:space="preserve">1d6 crocs </t>
    </r>
    <r>
      <rPr>
        <i/>
        <sz val="8"/>
        <color theme="1"/>
        <rFont val="Verdana"/>
        <family val="2"/>
      </rPr>
      <t>d’ours/lion/serpent/créature</t>
    </r>
  </si>
  <si>
    <r>
      <t>Jacinthe/Jade/Carboucle</t>
    </r>
    <r>
      <rPr>
        <sz val="8"/>
        <color theme="1"/>
        <rFont val="Verdana"/>
        <family val="2"/>
      </rPr>
      <t xml:space="preserve"> dans une étoffe bleue</t>
    </r>
  </si>
  <si>
    <t>Vin de qualité pour les préparations des gemmes</t>
  </si>
  <si>
    <r>
      <t>Bague/anneau</t>
    </r>
    <r>
      <rPr>
        <sz val="8"/>
        <color theme="1"/>
        <rFont val="Verdana"/>
        <family val="2"/>
      </rPr>
      <t xml:space="preserve"> en or ciselé à l’effigie d’une créature</t>
    </r>
  </si>
  <si>
    <t>Huile de préparation des produits d’animaux</t>
  </si>
  <si>
    <t>Parchemin avec message confidentiel à seigneur</t>
  </si>
  <si>
    <r>
      <t xml:space="preserve">Etude des plantes des </t>
    </r>
    <r>
      <rPr>
        <i/>
        <sz val="8"/>
        <color theme="1"/>
        <rFont val="Verdana"/>
        <family val="2"/>
      </rPr>
      <t>marais/montagne/forêt</t>
    </r>
  </si>
  <si>
    <t>Manteau de laine bleu, parements dorés et capuche</t>
  </si>
  <si>
    <r>
      <t xml:space="preserve">Balance précise en fer </t>
    </r>
    <r>
      <rPr>
        <i/>
        <sz val="8"/>
        <color theme="1"/>
        <rFont val="Verdana"/>
        <family val="2"/>
      </rPr>
      <t>forgé/gravé/sertie</t>
    </r>
  </si>
  <si>
    <r>
      <t>Sac/sacoche/rouleau</t>
    </r>
    <r>
      <rPr>
        <sz val="8"/>
        <color theme="1"/>
        <rFont val="Verdana"/>
        <family val="2"/>
      </rPr>
      <t xml:space="preserve"> de cuir scellé + 1d6 PO</t>
    </r>
  </si>
  <si>
    <t>Extraits d’un corps humain conservé</t>
  </si>
  <si>
    <r>
      <t>Robe/voile/jupe/cape</t>
    </r>
    <r>
      <rPr>
        <sz val="8"/>
        <color theme="1"/>
        <rFont val="Verdana"/>
        <family val="2"/>
      </rPr>
      <t xml:space="preserve"> blanche de lin, collier brodé</t>
    </r>
  </si>
  <si>
    <r>
      <t xml:space="preserve">Matériel de fabrication de </t>
    </r>
    <r>
      <rPr>
        <i/>
        <sz val="8"/>
        <color theme="1"/>
        <rFont val="Verdana"/>
        <family val="2"/>
      </rPr>
      <t>serrure/piège/gemme</t>
    </r>
  </si>
  <si>
    <r>
      <t xml:space="preserve">Bourse de </t>
    </r>
    <r>
      <rPr>
        <i/>
        <sz val="8"/>
        <color theme="1"/>
        <rFont val="Verdana"/>
        <family val="2"/>
      </rPr>
      <t>lin/serge/chanvre/cuir</t>
    </r>
    <r>
      <rPr>
        <sz val="8"/>
        <color theme="1"/>
        <rFont val="Verdana"/>
        <family val="2"/>
      </rPr>
      <t xml:space="preserve"> + 1D10 PA</t>
    </r>
  </si>
  <si>
    <r>
      <t xml:space="preserve">Pince de </t>
    </r>
    <r>
      <rPr>
        <i/>
        <sz val="8"/>
        <color theme="1"/>
        <rFont val="Verdana"/>
        <family val="2"/>
      </rPr>
      <t>forgeron/joaillier/bourreau</t>
    </r>
  </si>
  <si>
    <r>
      <t>Bottes/manches</t>
    </r>
    <r>
      <rPr>
        <sz val="8"/>
        <color theme="1"/>
        <rFont val="Verdana"/>
        <family val="2"/>
      </rPr>
      <t xml:space="preserve"> de cuir épais, hautes, décorées</t>
    </r>
  </si>
  <si>
    <r>
      <t>Moule spécial d’</t>
    </r>
    <r>
      <rPr>
        <i/>
        <sz val="8"/>
        <color theme="1"/>
        <rFont val="Verdana"/>
        <family val="2"/>
      </rPr>
      <t>armurier/forgeron/joaillier/magicien</t>
    </r>
  </si>
  <si>
    <r>
      <t xml:space="preserve">2d6 PA dans une </t>
    </r>
    <r>
      <rPr>
        <i/>
        <sz val="8"/>
        <color theme="1"/>
        <rFont val="Verdana"/>
        <family val="2"/>
      </rPr>
      <t>poche/étui/cachette</t>
    </r>
  </si>
  <si>
    <r>
      <t xml:space="preserve">1d6 doses de </t>
    </r>
    <r>
      <rPr>
        <i/>
        <sz val="8"/>
        <color theme="1"/>
        <rFont val="Verdana"/>
        <family val="2"/>
      </rPr>
      <t>Racine de Kadis/Bilumas</t>
    </r>
    <r>
      <rPr>
        <sz val="8"/>
        <color theme="1"/>
        <rFont val="Verdana"/>
        <family val="2"/>
      </rPr>
      <t xml:space="preserve"> brute</t>
    </r>
  </si>
  <si>
    <r>
      <t xml:space="preserve">Masque de </t>
    </r>
    <r>
      <rPr>
        <i/>
        <sz val="8"/>
        <color theme="1"/>
        <rFont val="Verdana"/>
        <family val="2"/>
      </rPr>
      <t>bois/cuir/métal</t>
    </r>
    <r>
      <rPr>
        <sz val="8"/>
        <color theme="1"/>
        <rFont val="Verdana"/>
        <family val="2"/>
      </rPr>
      <t xml:space="preserve"> taillé à l’effigie d’un héros</t>
    </r>
  </si>
  <si>
    <t>1d6 doses de sang de créature de KO/EO/EE/EA</t>
  </si>
  <si>
    <r>
      <t xml:space="preserve">Collier </t>
    </r>
    <r>
      <rPr>
        <i/>
        <sz val="8"/>
        <color theme="1"/>
        <rFont val="Verdana"/>
        <family val="2"/>
      </rPr>
      <t>bronze/cuivre/argent/or</t>
    </r>
    <r>
      <rPr>
        <sz val="8"/>
        <color theme="1"/>
        <rFont val="Verdana"/>
        <family val="2"/>
      </rPr>
      <t xml:space="preserve"> avec émeraude</t>
    </r>
  </si>
  <si>
    <r>
      <t xml:space="preserve">Épices </t>
    </r>
    <r>
      <rPr>
        <i/>
        <sz val="8"/>
        <color theme="1"/>
        <rFont val="Verdana"/>
        <family val="2"/>
      </rPr>
      <t>fortes/rares/uniques</t>
    </r>
    <r>
      <rPr>
        <sz val="8"/>
        <color theme="1"/>
        <rFont val="Verdana"/>
        <family val="2"/>
      </rPr>
      <t xml:space="preserve"> pour recettes de qualité</t>
    </r>
  </si>
  <si>
    <r>
      <t>Brassard d’</t>
    </r>
    <r>
      <rPr>
        <i/>
        <sz val="8"/>
        <color theme="1"/>
        <rFont val="Verdana"/>
        <family val="2"/>
      </rPr>
      <t>argent/or</t>
    </r>
    <r>
      <rPr>
        <sz val="8"/>
        <color theme="1"/>
        <rFont val="Verdana"/>
        <family val="2"/>
      </rPr>
      <t xml:space="preserve"> avec figure animale</t>
    </r>
  </si>
  <si>
    <t>Partie animale permettant de lancer un sort d’El’Bis</t>
  </si>
  <si>
    <r>
      <t xml:space="preserve">Titre de propriété de </t>
    </r>
    <r>
      <rPr>
        <i/>
        <sz val="8"/>
        <color theme="1"/>
        <rFont val="Verdana"/>
        <family val="2"/>
      </rPr>
      <t>masure/terre/maison</t>
    </r>
    <r>
      <rPr>
        <sz val="8"/>
        <color theme="1"/>
        <rFont val="Verdana"/>
        <family val="2"/>
      </rPr>
      <t xml:space="preserve"> en ville</t>
    </r>
  </si>
  <si>
    <r>
      <t>Utilisation et propriété des parties d’</t>
    </r>
    <r>
      <rPr>
        <i/>
        <sz val="8"/>
        <color theme="1"/>
        <rFont val="Verdana"/>
        <family val="2"/>
      </rPr>
      <t>Hydre/Dragon</t>
    </r>
  </si>
  <si>
    <t>Gants de cuir léger, sertis de 1d6 perles chacun</t>
  </si>
  <si>
    <r>
      <t xml:space="preserve">Barre de </t>
    </r>
    <r>
      <rPr>
        <i/>
        <sz val="8"/>
        <color theme="1"/>
        <rFont val="Verdana"/>
        <family val="2"/>
      </rPr>
      <t>bronze/cuivre/argent/or</t>
    </r>
    <r>
      <rPr>
        <sz val="8"/>
        <color theme="1"/>
        <rFont val="Verdana"/>
        <family val="2"/>
      </rPr>
      <t xml:space="preserve"> raffiné</t>
    </r>
  </si>
  <si>
    <t>Ceinture de cuir de vache + cache pour 1D10 PO</t>
  </si>
  <si>
    <r>
      <t xml:space="preserve">Herbe de </t>
    </r>
    <r>
      <rPr>
        <i/>
        <sz val="8"/>
        <color theme="1"/>
        <rFont val="Verdana"/>
        <family val="2"/>
      </rPr>
      <t>Laurier/Balim/Mandragore</t>
    </r>
    <r>
      <rPr>
        <sz val="8"/>
        <color theme="1"/>
        <rFont val="Verdana"/>
        <family val="2"/>
      </rPr>
      <t xml:space="preserve"> préparée</t>
    </r>
  </si>
  <si>
    <r>
      <t>Chausses/bottes/manches</t>
    </r>
    <r>
      <rPr>
        <sz val="8"/>
        <color theme="1"/>
        <rFont val="Verdana"/>
        <family val="2"/>
      </rPr>
      <t xml:space="preserve"> de fourrure d’hermine</t>
    </r>
  </si>
  <si>
    <r>
      <t xml:space="preserve">Céramique sertie de </t>
    </r>
    <r>
      <rPr>
        <i/>
        <sz val="8"/>
        <color theme="1"/>
        <rFont val="Verdana"/>
        <family val="2"/>
      </rPr>
      <t>pierre de Jais/marbre/ivoire</t>
    </r>
  </si>
  <si>
    <r>
      <t>Coffret/coffre/malle</t>
    </r>
    <r>
      <rPr>
        <sz val="8"/>
        <color theme="1"/>
        <rFont val="Verdana"/>
        <family val="2"/>
      </rPr>
      <t xml:space="preserve"> d’ébène + serrure + 3D10 PA</t>
    </r>
  </si>
  <si>
    <r>
      <t xml:space="preserve">Alambic en cuivre </t>
    </r>
    <r>
      <rPr>
        <i/>
        <sz val="8"/>
        <color theme="1"/>
        <rFont val="Verdana"/>
        <family val="2"/>
      </rPr>
      <t>fin/gravé/serti</t>
    </r>
  </si>
  <si>
    <t>Tunique soie orangée, col échancré brodé de blanc</t>
  </si>
  <si>
    <r>
      <t xml:space="preserve">Pince en </t>
    </r>
    <r>
      <rPr>
        <i/>
        <sz val="8"/>
        <color theme="1"/>
        <rFont val="Verdana"/>
        <family val="2"/>
      </rPr>
      <t>fer/cuivre/argent/or</t>
    </r>
    <r>
      <rPr>
        <sz val="8"/>
        <color theme="1"/>
        <rFont val="Verdana"/>
        <family val="2"/>
      </rPr>
      <t xml:space="preserve"> pour joaillier</t>
    </r>
  </si>
  <si>
    <r>
      <t xml:space="preserve">Bourse de </t>
    </r>
    <r>
      <rPr>
        <i/>
        <sz val="8"/>
        <color theme="1"/>
        <rFont val="Verdana"/>
        <family val="2"/>
      </rPr>
      <t>soie/cuir/maille</t>
    </r>
    <r>
      <rPr>
        <sz val="8"/>
        <color theme="1"/>
        <rFont val="Verdana"/>
        <family val="2"/>
      </rPr>
      <t xml:space="preserve"> travaillé + 1D10 PO</t>
    </r>
  </si>
  <si>
    <t>Vasque d’argent avec 1d6 doses de poison mortel</t>
  </si>
  <si>
    <r>
      <t xml:space="preserve">Cape en </t>
    </r>
    <r>
      <rPr>
        <i/>
        <sz val="8"/>
        <color theme="1"/>
        <rFont val="Verdana"/>
        <family val="2"/>
      </rPr>
      <t>laine/soie</t>
    </r>
    <r>
      <rPr>
        <sz val="8"/>
        <color theme="1"/>
        <rFont val="Verdana"/>
        <family val="2"/>
      </rPr>
      <t xml:space="preserve"> pure, noire, brodé d’argent</t>
    </r>
  </si>
  <si>
    <r>
      <t xml:space="preserve">Une barre </t>
    </r>
    <r>
      <rPr>
        <i/>
        <sz val="8"/>
        <color theme="1"/>
        <rFont val="Verdana"/>
        <family val="2"/>
      </rPr>
      <t>cuivre/argent/or</t>
    </r>
    <r>
      <rPr>
        <sz val="8"/>
        <color theme="1"/>
        <rFont val="Verdana"/>
        <family val="2"/>
      </rPr>
      <t xml:space="preserve"> dans un sac de jute</t>
    </r>
  </si>
  <si>
    <r>
      <t xml:space="preserve">Bague en argent + </t>
    </r>
    <r>
      <rPr>
        <i/>
        <sz val="8"/>
        <color theme="1"/>
        <rFont val="Verdana"/>
        <family val="2"/>
      </rPr>
      <t>saphir/diamant/rubis</t>
    </r>
    <r>
      <rPr>
        <sz val="8"/>
        <color theme="1"/>
        <rFont val="Verdana"/>
        <family val="2"/>
      </rPr>
      <t xml:space="preserve"> serti</t>
    </r>
  </si>
  <si>
    <t>Extrait de corps humain utilisé pour la magie El’Dor</t>
  </si>
  <si>
    <t>Lettre de change pour une somme de 2D10 PO</t>
  </si>
  <si>
    <t>Pierre précieuse utilisée dans la magie d’El’Lar</t>
  </si>
  <si>
    <r>
      <t xml:space="preserve">Collier en or +2 </t>
    </r>
    <r>
      <rPr>
        <i/>
        <sz val="8"/>
        <color theme="1"/>
        <rFont val="Verdana"/>
        <family val="2"/>
      </rPr>
      <t>émeraudes/diamant</t>
    </r>
    <r>
      <rPr>
        <sz val="8"/>
        <color theme="1"/>
        <rFont val="Verdana"/>
        <family val="2"/>
      </rPr>
      <t xml:space="preserve"> serties</t>
    </r>
  </si>
  <si>
    <t>Recette et description complète du rubis étoilé</t>
  </si>
  <si>
    <t>1d3 mules équipées de fontes</t>
  </si>
  <si>
    <t>Parchemins+ plume + encre noire</t>
  </si>
  <si>
    <t>Cheval de voyage brun +selle +surcot</t>
  </si>
  <si>
    <t>Opale sertie sur un bandeau en or</t>
  </si>
  <si>
    <t>Grand chien blanc I + 2 commandes</t>
  </si>
  <si>
    <t>Texte complet sur les créatures d’EI</t>
  </si>
  <si>
    <t>Casque de cuir (T) +gaine de fer</t>
  </si>
  <si>
    <t>1d2 Bétoine brute +dans étoffe de laine</t>
  </si>
  <si>
    <t>Chausses (J) de cuir bouilli + 1 fourreau à épée</t>
  </si>
  <si>
    <t>Cornaline brute +boîte en chêne</t>
  </si>
  <si>
    <t>Petit bouclier de bois noir à bord blanc</t>
  </si>
  <si>
    <t>Organe utilisé pour sorts nécromancie EO</t>
  </si>
  <si>
    <t>Matériel d’entretien pour épée +huile+pierre</t>
  </si>
  <si>
    <t>1d3 gemmes utilisées dans la magie EA</t>
  </si>
  <si>
    <t>Fronde en cuir travaillé+ 1D10 pierres</t>
  </si>
  <si>
    <t>Bracelet en bronze doré à l’effigie du Dieu</t>
  </si>
  <si>
    <t>Vouge massive +poignées de cuir</t>
  </si>
  <si>
    <t>Simple couronne de cuivre</t>
  </si>
  <si>
    <t>Poing en cuivre +2 pointes</t>
  </si>
  <si>
    <t>Ecrits EI 5/7 malédiction mentale : fanatique</t>
  </si>
  <si>
    <t>1d3 bœufs de charroi +sangles</t>
  </si>
  <si>
    <t xml:space="preserve">1d6 doses encre invisible spéciale </t>
  </si>
  <si>
    <t>Canasson (voyage II) blanc</t>
  </si>
  <si>
    <t>Jade sertie à une grosse bague en argent</t>
  </si>
  <si>
    <t>Deux chiens de berger noirs I + ‘garder’ ‘suivre’</t>
  </si>
  <si>
    <t>Livre sur la théorie de la nécromancie</t>
  </si>
  <si>
    <t>Jambières (J) de cuir souple marquée d’un signe</t>
  </si>
  <si>
    <t>Peau d’hyène sombre préparée</t>
  </si>
  <si>
    <t>Haubert de cuir renforcé (Th B V)+3 caches secrets</t>
  </si>
  <si>
    <t>Jaspe préparée +mouchoir soie blanche</t>
  </si>
  <si>
    <t>Rondache brun sombre + pointe avant</t>
  </si>
  <si>
    <t>2D10 doses d’eau pure dans une amphore grise</t>
  </si>
  <si>
    <t>Râtelier en bois précieux pour 1d6 armes</t>
  </si>
  <si>
    <t>1D10 plantes pour lancer des sorts EE</t>
  </si>
  <si>
    <t>Fléau de bois clair +fer renforcé</t>
  </si>
  <si>
    <t>Pendentif de bronze en forme de cœur</t>
  </si>
  <si>
    <t>Plomée de mercenaire royal +marque armurier</t>
  </si>
  <si>
    <t>Serre-tête en bronze poli, forme d’étoile</t>
  </si>
  <si>
    <t>Dague de plat+ fourreau cuir ocre</t>
  </si>
  <si>
    <t>Poudre EA 5/6 attribut : éthéré 6h</t>
  </si>
  <si>
    <t>1d6 chien I de transport +fontes</t>
  </si>
  <si>
    <t>Ecritoire en bois précieux, portable</t>
  </si>
  <si>
    <t>Cheval blessé brun +selle +fourreau</t>
  </si>
  <si>
    <t>Améthyste sur ceinturon en cuivre doré</t>
  </si>
  <si>
    <t>Trois chiens bruns II +cuir + ‘tuer’</t>
  </si>
  <si>
    <t>Sort Don de Vie (7/8) dans livret</t>
  </si>
  <si>
    <t>Robe (Th V B J) de gros tissu mauve</t>
  </si>
  <si>
    <t>1d6 Peska enchantée dans amphore d’étain</t>
  </si>
  <si>
    <t>Armet (T) et visière de fer</t>
  </si>
  <si>
    <t>1d3 Herbe de Dharba préparée avec parfum trompeur</t>
  </si>
  <si>
    <t>2 brassards (B) de brigandine de mercenaire</t>
  </si>
  <si>
    <t>1d6 doses poudre magique pour sort EI, bonus +1d6</t>
  </si>
  <si>
    <t>Stylet doré +gaine à placer dans vêtement</t>
  </si>
  <si>
    <t>1d6 pierres utilisées dans la magie EA, EI ou EE</t>
  </si>
  <si>
    <t>Epée large de chevalier +blason sur pommeau</t>
  </si>
  <si>
    <t>Bague en argent à l’image de la lune</t>
  </si>
  <si>
    <t>Granpique +cordages +petit bouclier</t>
  </si>
  <si>
    <t>Fibule d’or blanc en forme de larme</t>
  </si>
  <si>
    <t>Cimeterre à lame ciselée +fourreau</t>
  </si>
  <si>
    <t>Gemme EO 6/6 : sort Nuage de Mort</t>
  </si>
  <si>
    <t>1d3 chevaux de trait +sangles</t>
  </si>
  <si>
    <t>Calendrier des lunes et des divinités EO</t>
  </si>
  <si>
    <t>Palefroi noir +selle +2 fontes</t>
  </si>
  <si>
    <t>Saphir au bout d’une chaînette en platine</t>
  </si>
  <si>
    <t>Chien de guerre + 4 commandes</t>
  </si>
  <si>
    <t>Tome des pouvoirs d’ElA (5/2) +clé</t>
  </si>
  <si>
    <t>Heaume (T) de chevalier +crête de coq</t>
  </si>
  <si>
    <t>Tourmaline enchantée dans peau de chien</t>
  </si>
  <si>
    <t>Ecu brillant sans armoirie</t>
  </si>
  <si>
    <t>1D10 Poison paralysant préparé dans gourde argent</t>
  </si>
  <si>
    <t>Gants de maille légère renforcée (M) de cuir clouté</t>
  </si>
  <si>
    <t>Pierre focus pour tous pouvoirs EI, bonus +1d3</t>
  </si>
  <si>
    <t>Epieu ferré +gaine cuir clair+corde de poignée</t>
  </si>
  <si>
    <t>1D10 doses liquide pour toute magie, bonus +1D10</t>
  </si>
  <si>
    <t>Masse d’Hercule +fourreau ciselé+bordure argent</t>
  </si>
  <si>
    <t>Ceinturon d’or avec deux profils de dragons</t>
  </si>
  <si>
    <t>Maspic du seigneur local +marque maître armurier</t>
  </si>
  <si>
    <t>Boucle d’oreille en or sertie de Lapis Lazulite</t>
  </si>
  <si>
    <t>Hache de bataille énorme+sang +symbole El’Dor</t>
  </si>
  <si>
    <t>Baguette EA 4/3 : oracle de tous les feux</t>
  </si>
  <si>
    <t>1d3 ânes +fontes en osier</t>
  </si>
  <si>
    <t>Matrice d’astrologie sur marbre doré</t>
  </si>
  <si>
    <t>Destrier ocre +selle +maille avant</t>
  </si>
  <si>
    <t>Diamant Noir fixé à un brassard d’argent ciselé</t>
  </si>
  <si>
    <t>Chien de guerre bicolore avec maille</t>
  </si>
  <si>
    <t>Recueil des sorts de soins d’EI</t>
  </si>
  <si>
    <t>Chemise de maille de général + surcot rouge</t>
  </si>
  <si>
    <t>1d3 Dent d’hydre brute dans coffret +serrure</t>
  </si>
  <si>
    <t>Grande maille complète (tout) + surcot</t>
  </si>
  <si>
    <t>Sang de dragon enchanté +flasque cuir</t>
  </si>
  <si>
    <t>Plastron (Th) de plate de tournoi +2 saphirs incrustés</t>
  </si>
  <si>
    <t>Partie animale pour contre l’esprit, NE+1d3</t>
  </si>
  <si>
    <t>Bipique +couronne de fer en forme de demi-lune</t>
  </si>
  <si>
    <t>Couronne d’argent pour sorts offensifs EO, NE+1</t>
  </si>
  <si>
    <t>Arc +carquois de bois +20 flèches</t>
  </si>
  <si>
    <t>Collier en cuivre de 2D10 perles préparées</t>
  </si>
  <si>
    <t>Matériel de transport d’arme +bâches +étuis +cordes</t>
  </si>
  <si>
    <t>Épaulière d’argent sertie de deux silex enchantés</t>
  </si>
  <si>
    <t>Epée Ancienne +tueuse de créatures Koth’Oth</t>
  </si>
  <si>
    <t>Bâton pas aligné 9/7 : détection tous les pièges</t>
  </si>
  <si>
    <t>Social (NS 0-9) : D100+NSx2</t>
  </si>
  <si>
    <t>Métier (01-80) : D100+NE/5</t>
  </si>
  <si>
    <t xml:space="preserve">Combat (NEC) : D100+NEC </t>
  </si>
  <si>
    <t xml:space="preserve">Magie (NEM) : D100+NEMx2 </t>
  </si>
  <si>
    <t>treHumD</t>
  </si>
  <si>
    <t>Humain</t>
  </si>
  <si>
    <t>Cours d'eau</t>
  </si>
  <si>
    <t>Désert</t>
  </si>
  <si>
    <t>Forêt</t>
  </si>
  <si>
    <t>Marais/jungle</t>
  </si>
  <si>
    <t>Monde El'Der</t>
  </si>
  <si>
    <t>Monde Koth’Oth</t>
  </si>
  <si>
    <t>Monde divin</t>
  </si>
  <si>
    <t>Ruines</t>
  </si>
  <si>
    <t>Souterrain/caverne</t>
  </si>
  <si>
    <t>Ville/urbain</t>
  </si>
  <si>
    <t>évèn.</t>
  </si>
  <si>
    <t>jour 1</t>
  </si>
  <si>
    <t>jour 2</t>
  </si>
  <si>
    <t>jour 3</t>
  </si>
  <si>
    <t>jour 4</t>
  </si>
  <si>
    <t>jour 5</t>
  </si>
  <si>
    <t>jour 6</t>
  </si>
  <si>
    <t>jour 7</t>
  </si>
  <si>
    <t>jour 8</t>
  </si>
  <si>
    <t>jour 9</t>
  </si>
  <si>
    <t>jour 10</t>
  </si>
  <si>
    <t>jour 11</t>
  </si>
  <si>
    <t>jour 12</t>
  </si>
  <si>
    <t>jour 13</t>
  </si>
  <si>
    <t>jour 14</t>
  </si>
  <si>
    <t>jour 15</t>
  </si>
  <si>
    <t>jour 16</t>
  </si>
  <si>
    <t>jour 17</t>
  </si>
  <si>
    <t>jour 18</t>
  </si>
  <si>
    <t>jour 19</t>
  </si>
  <si>
    <t>jour 20</t>
  </si>
  <si>
    <t>jour 21</t>
  </si>
  <si>
    <t>jour 22</t>
  </si>
  <si>
    <t>jour 23</t>
  </si>
  <si>
    <t>jour 24</t>
  </si>
  <si>
    <t>jour 25</t>
  </si>
  <si>
    <t>jour 26</t>
  </si>
  <si>
    <t>jour 27</t>
  </si>
  <si>
    <t>jour 28</t>
  </si>
  <si>
    <t>jour 29</t>
  </si>
  <si>
    <t>jour 30</t>
  </si>
  <si>
    <t>Ani</t>
  </si>
  <si>
    <t>Créat</t>
  </si>
  <si>
    <t>Hum</t>
  </si>
  <si>
    <t>El'Der</t>
  </si>
  <si>
    <t>Koth’Oth</t>
  </si>
  <si>
    <t>divin</t>
  </si>
  <si>
    <t>Souterr</t>
  </si>
  <si>
    <t xml:space="preserve">Éléments </t>
  </si>
  <si>
    <t>de terrain</t>
  </si>
  <si>
    <t>Côte</t>
  </si>
  <si>
    <r>
      <t>Côte</t>
    </r>
    <r>
      <rPr>
        <sz val="8"/>
        <color theme="1"/>
        <rFont val="Verdana"/>
        <family val="2"/>
      </rPr>
      <t> </t>
    </r>
  </si>
  <si>
    <t>1 – 3</t>
  </si>
  <si>
    <t>2 – 1</t>
  </si>
  <si>
    <t>2 – 2</t>
  </si>
  <si>
    <t>3 – 5</t>
  </si>
  <si>
    <t>1 – 1</t>
  </si>
  <si>
    <t>9 – 4</t>
  </si>
  <si>
    <r>
      <t>Île</t>
    </r>
    <r>
      <rPr>
        <sz val="8"/>
        <color theme="1"/>
        <rFont val="Verdana"/>
        <family val="2"/>
      </rPr>
      <t> (si côte)</t>
    </r>
  </si>
  <si>
    <t>0 – 2</t>
  </si>
  <si>
    <t>1 – 2</t>
  </si>
  <si>
    <t>2 – 3</t>
  </si>
  <si>
    <t>4 – 2</t>
  </si>
  <si>
    <t>5 – 4</t>
  </si>
  <si>
    <r>
      <t xml:space="preserve">Récifs </t>
    </r>
    <r>
      <rPr>
        <sz val="8"/>
        <color theme="1"/>
        <rFont val="Verdana"/>
        <family val="2"/>
      </rPr>
      <t>(si côte)</t>
    </r>
  </si>
  <si>
    <t>5 – 6</t>
  </si>
  <si>
    <t>4 – 3</t>
  </si>
  <si>
    <t>3 – 3</t>
  </si>
  <si>
    <t>3 – 2</t>
  </si>
  <si>
    <t>8 – 6</t>
  </si>
  <si>
    <t>3 – 1</t>
  </si>
  <si>
    <t>6 – 2</t>
  </si>
  <si>
    <t>4 – 1</t>
  </si>
  <si>
    <t>Faille</t>
  </si>
  <si>
    <t>3 – 4</t>
  </si>
  <si>
    <t>Lac</t>
  </si>
  <si>
    <t>6 – 3</t>
  </si>
  <si>
    <t>5 – 5</t>
  </si>
  <si>
    <t>5 – 3</t>
  </si>
  <si>
    <t>7 – 2</t>
  </si>
  <si>
    <t>9 – 5</t>
  </si>
  <si>
    <t>Cours d’eau</t>
  </si>
  <si>
    <t>8 – 3</t>
  </si>
  <si>
    <t>6 – 4</t>
  </si>
  <si>
    <t>8 – 4</t>
  </si>
  <si>
    <t>9 – 6</t>
  </si>
  <si>
    <t>7 – 4</t>
  </si>
  <si>
    <t>9 – 8</t>
  </si>
  <si>
    <t>8 – 5</t>
  </si>
  <si>
    <t>2 – 4</t>
  </si>
  <si>
    <t>Route</t>
  </si>
  <si>
    <t>FOR</t>
  </si>
  <si>
    <t>PLA</t>
  </si>
  <si>
    <t>COL</t>
  </si>
  <si>
    <t>MON</t>
  </si>
  <si>
    <t>MAR</t>
  </si>
  <si>
    <t>JUN</t>
  </si>
  <si>
    <t>STE</t>
  </si>
  <si>
    <t>COT</t>
  </si>
  <si>
    <t>DES</t>
  </si>
  <si>
    <t>Plaine/steppe</t>
  </si>
  <si>
    <t>Marais/Jungle</t>
  </si>
  <si>
    <t>Point central à XY, D10(min3) « flèches » à D10/2km de distance, jamais dense.</t>
  </si>
  <si>
    <r>
      <t>(</t>
    </r>
    <r>
      <rPr>
        <b/>
        <sz val="8"/>
        <color theme="1"/>
        <rFont val="Verdana"/>
        <family val="2"/>
      </rPr>
      <t>P</t>
    </r>
    <r>
      <rPr>
        <sz val="8"/>
        <color theme="1"/>
        <rFont val="Verdana"/>
        <family val="2"/>
      </rPr>
      <t>)plage/(</t>
    </r>
    <r>
      <rPr>
        <b/>
        <sz val="8"/>
        <color theme="1"/>
        <rFont val="Verdana"/>
        <family val="2"/>
      </rPr>
      <t>G</t>
    </r>
    <r>
      <rPr>
        <sz val="8"/>
        <color theme="1"/>
        <rFont val="Verdana"/>
        <family val="2"/>
      </rPr>
      <t>)falaise, départ XY, D10(</t>
    </r>
    <r>
      <rPr>
        <b/>
        <sz val="8"/>
        <color theme="1"/>
        <rFont val="Verdana"/>
        <family val="2"/>
      </rPr>
      <t>G</t>
    </r>
    <r>
      <rPr>
        <sz val="8"/>
        <color theme="1"/>
        <rFont val="Verdana"/>
        <family val="2"/>
      </rPr>
      <t xml:space="preserve">x2) points à distribuer et à relier, direction générale NSOE, point suivant à D10km, direction d3(gauche/centre/droit), </t>
    </r>
    <r>
      <rPr>
        <b/>
        <sz val="8"/>
        <color theme="1"/>
        <rFont val="Verdana"/>
        <family val="2"/>
      </rPr>
      <t>G</t>
    </r>
    <r>
      <rPr>
        <sz val="8"/>
        <color theme="1"/>
        <rFont val="Verdana"/>
        <family val="2"/>
      </rPr>
      <t xml:space="preserve"> a (1-3) de créer des récifs, définit automatiquement la mer</t>
    </r>
  </si>
  <si>
    <r>
      <t>Île</t>
    </r>
    <r>
      <rPr>
        <sz val="8"/>
        <color theme="1"/>
        <rFont val="Verdana"/>
        <family val="2"/>
      </rPr>
      <t> </t>
    </r>
  </si>
  <si>
    <r>
      <t xml:space="preserve">point central XY (à D10km de la côte ou au centre d’un lac), D10(min3) flèches à D10km (x5 si </t>
    </r>
    <r>
      <rPr>
        <b/>
        <sz val="8"/>
        <color theme="1"/>
        <rFont val="Verdana"/>
        <family val="2"/>
      </rPr>
      <t>G</t>
    </r>
    <r>
      <rPr>
        <sz val="8"/>
        <color theme="1"/>
        <rFont val="Verdana"/>
        <family val="2"/>
      </rPr>
      <t>) de distance, terrain (D10*) roche/montagne/plaine/forêt, 50% d’avoir D10* rivières.</t>
    </r>
  </si>
  <si>
    <t>Récifs</t>
  </si>
  <si>
    <t>À D10 km de la côte, D10x2 éléments, D10*-1 ce ces éléments sont des îles.</t>
  </si>
  <si>
    <r>
      <t xml:space="preserve">Point central à XY,  crête de D10* points liés, D10(min3) flèches à D10km (x2 si </t>
    </r>
    <r>
      <rPr>
        <b/>
        <sz val="8"/>
        <color theme="1"/>
        <rFont val="Verdana"/>
        <family val="2"/>
      </rPr>
      <t>G</t>
    </r>
    <r>
      <rPr>
        <sz val="8"/>
        <color theme="1"/>
        <rFont val="Verdana"/>
        <family val="2"/>
      </rPr>
      <t xml:space="preserve">) de distance, D10* plateaux, hauteur=D10x500m (x1000m si </t>
    </r>
    <r>
      <rPr>
        <b/>
        <sz val="8"/>
        <color theme="1"/>
        <rFont val="Verdana"/>
        <family val="2"/>
      </rPr>
      <t>G</t>
    </r>
    <r>
      <rPr>
        <sz val="8"/>
        <color theme="1"/>
        <rFont val="Verdana"/>
        <family val="2"/>
      </rPr>
      <t>).</t>
    </r>
  </si>
  <si>
    <r>
      <t xml:space="preserve">Point central à XY, crête de D10* points liés, D10(min4) flèches à D10km (/2 si </t>
    </r>
    <r>
      <rPr>
        <b/>
        <sz val="8"/>
        <color theme="1"/>
        <rFont val="Verdana"/>
        <family val="2"/>
      </rPr>
      <t>P</t>
    </r>
    <r>
      <rPr>
        <sz val="8"/>
        <color theme="1"/>
        <rFont val="Verdana"/>
        <family val="2"/>
      </rPr>
      <t xml:space="preserve">) de distance, D10* plateaux, hauteur=D10x50m (si </t>
    </r>
    <r>
      <rPr>
        <b/>
        <sz val="8"/>
        <color theme="1"/>
        <rFont val="Verdana"/>
        <family val="2"/>
      </rPr>
      <t>P</t>
    </r>
    <r>
      <rPr>
        <sz val="8"/>
        <color theme="1"/>
        <rFont val="Verdana"/>
        <family val="2"/>
      </rPr>
      <t xml:space="preserve">) et D10x100m (si </t>
    </r>
    <r>
      <rPr>
        <b/>
        <sz val="8"/>
        <color theme="1"/>
        <rFont val="Verdana"/>
        <family val="2"/>
      </rPr>
      <t>G</t>
    </r>
    <r>
      <rPr>
        <sz val="8"/>
        <color theme="1"/>
        <rFont val="Verdana"/>
        <family val="2"/>
      </rPr>
      <t>), 20% d’avoir une zone de rochers recouvrant D10x5% de la surface.</t>
    </r>
  </si>
  <si>
    <r>
      <t xml:space="preserve">Point de départ XY, D10* points supplémentaires, longueur segment D10km (/2 si </t>
    </r>
    <r>
      <rPr>
        <b/>
        <sz val="8"/>
        <color theme="1"/>
        <rFont val="Verdana"/>
        <family val="2"/>
      </rPr>
      <t>P</t>
    </r>
    <r>
      <rPr>
        <sz val="8"/>
        <color theme="1"/>
        <rFont val="Verdana"/>
        <family val="2"/>
      </rPr>
      <t>), direction aléatoire.</t>
    </r>
  </si>
  <si>
    <r>
      <t xml:space="preserve">Point central XY (loin de la côte, au pied d’une montagne/colline), D10(min3) flèches à D10km (x3 si </t>
    </r>
    <r>
      <rPr>
        <b/>
        <sz val="8"/>
        <color theme="1"/>
        <rFont val="Verdana"/>
        <family val="2"/>
      </rPr>
      <t>G</t>
    </r>
    <r>
      <rPr>
        <sz val="8"/>
        <color theme="1"/>
        <rFont val="Verdana"/>
        <family val="2"/>
      </rPr>
      <t>) de distance, D10*-1 îles de D10x100m de large.</t>
    </r>
  </si>
  <si>
    <r>
      <t xml:space="preserve">Point de départ = Bord de carte/Lac/montagne/colline(D10*), point d’arrivée Côte/Bord de carte/Lac/ Marais/Cours d’eau/sous terre(d6), D10 points intermédiaires (/2 si </t>
    </r>
    <r>
      <rPr>
        <b/>
        <sz val="8"/>
        <color theme="1"/>
        <rFont val="Verdana"/>
        <family val="2"/>
      </rPr>
      <t>P</t>
    </r>
    <r>
      <rPr>
        <sz val="8"/>
        <color theme="1"/>
        <rFont val="Verdana"/>
        <family val="2"/>
      </rPr>
      <t>), relié de manière rectiligne/sinueuse/ erratique/ anguleuse (D10*), chaque section a 10% d’avoir gué/rapide/élargissement/chute d’eau(D10*).</t>
    </r>
  </si>
  <si>
    <r>
      <t xml:space="preserve">Point central à XY, D10(min3), flèches à D10km (x5 si </t>
    </r>
    <r>
      <rPr>
        <b/>
        <sz val="8"/>
        <color theme="1"/>
        <rFont val="Verdana"/>
        <family val="2"/>
      </rPr>
      <t>G</t>
    </r>
    <r>
      <rPr>
        <sz val="8"/>
        <color theme="1"/>
        <rFont val="Verdana"/>
        <family val="2"/>
      </rPr>
      <t xml:space="preserve">) de distance, D10*-1 clairières de D10/3 km de large, 40%/20% dense (si </t>
    </r>
    <r>
      <rPr>
        <b/>
        <sz val="8"/>
        <color theme="1"/>
        <rFont val="Verdana"/>
        <family val="2"/>
      </rPr>
      <t>G/P</t>
    </r>
    <r>
      <rPr>
        <sz val="8"/>
        <color theme="1"/>
        <rFont val="Verdana"/>
        <family val="2"/>
      </rPr>
      <t>).</t>
    </r>
  </si>
  <si>
    <r>
      <t xml:space="preserve">Point central XY (hors montagne / colline, proche d’une côte / cours d’eau), D10(min3) flèches à D10km (x5 si </t>
    </r>
    <r>
      <rPr>
        <b/>
        <sz val="8"/>
        <color theme="1"/>
        <rFont val="Verdana"/>
        <family val="2"/>
      </rPr>
      <t>G</t>
    </r>
    <r>
      <rPr>
        <sz val="8"/>
        <color theme="1"/>
        <rFont val="Verdana"/>
        <family val="2"/>
      </rPr>
      <t>) de distance, D10* îles de D10x100m de large, D10* cours d’eau qui traversent.</t>
    </r>
  </si>
  <si>
    <r>
      <t>Occupe le terrain qui reste</t>
    </r>
    <r>
      <rPr>
        <sz val="8"/>
        <color theme="1"/>
        <rFont val="Verdana"/>
        <family val="2"/>
      </rPr>
      <t>, 20% d’avoir (choix D10*) : D10* bois/D10* lacs/zone rocheuse/zone cultivée, G a 10% d’avoir D10* zones marécageuses.</t>
    </r>
  </si>
  <si>
    <r>
      <t>Occupe le terrain qui reste</t>
    </r>
    <r>
      <rPr>
        <sz val="8"/>
        <color theme="1"/>
        <rFont val="Verdana"/>
        <family val="2"/>
      </rPr>
      <t xml:space="preserve">, 10% d’avoir (choix D10*) : D10* bois/D10* lacs/zone rocheuse/zone désertique, </t>
    </r>
    <r>
      <rPr>
        <b/>
        <sz val="8"/>
        <color theme="1"/>
        <rFont val="Verdana"/>
        <family val="2"/>
      </rPr>
      <t>G</t>
    </r>
    <r>
      <rPr>
        <sz val="8"/>
        <color theme="1"/>
        <rFont val="Verdana"/>
        <family val="2"/>
      </rPr>
      <t xml:space="preserve"> a 20% d’avoir D10* petites zones marécageuses.</t>
    </r>
  </si>
  <si>
    <r>
      <t xml:space="preserve">Point central à XY (éloigné de la côte, des cours d’eau, pas sur montagne ou colline), D10(min4) flèches à D10km (x5 si </t>
    </r>
    <r>
      <rPr>
        <b/>
        <sz val="8"/>
        <color theme="1"/>
        <rFont val="Verdana"/>
        <family val="2"/>
      </rPr>
      <t>G</t>
    </r>
    <r>
      <rPr>
        <sz val="8"/>
        <color theme="1"/>
        <rFont val="Verdana"/>
        <family val="2"/>
      </rPr>
      <t>), contient D10*-1 oasis avec 30% d’avoir une forêt et 30% un lac de D10x100 m de large.</t>
    </r>
  </si>
  <si>
    <r>
      <t xml:space="preserve">Voir </t>
    </r>
    <r>
      <rPr>
        <i/>
        <sz val="8"/>
        <color theme="1"/>
        <rFont val="Verdana"/>
        <family val="2"/>
      </rPr>
      <t>5.5.6 Lieux</t>
    </r>
    <r>
      <rPr>
        <sz val="8"/>
        <color theme="1"/>
        <rFont val="Verdana"/>
        <family val="2"/>
      </rPr>
      <t>, chaque lieu a (habitants/10)% d’avoir D10* zones cultivées en périphérie.</t>
    </r>
  </si>
  <si>
    <r>
      <t xml:space="preserve">Relie </t>
    </r>
    <r>
      <rPr>
        <b/>
        <sz val="8"/>
        <color theme="1"/>
        <rFont val="Verdana"/>
        <family val="2"/>
      </rPr>
      <t>D10 points</t>
    </r>
    <r>
      <rPr>
        <sz val="8"/>
        <color theme="1"/>
        <rFont val="Verdana"/>
        <family val="2"/>
      </rPr>
      <t>, les premiers et derniers points ont 70% d’être un bord de carte.</t>
    </r>
  </si>
  <si>
    <t>Nuage</t>
  </si>
  <si>
    <t>Mod T°</t>
  </si>
  <si>
    <t>Printemps</t>
  </si>
  <si>
    <t>Été</t>
  </si>
  <si>
    <t>Hiver</t>
  </si>
  <si>
    <t>CR Pluie</t>
  </si>
  <si>
    <t>Dégagé</t>
  </si>
  <si>
    <t>Nul</t>
  </si>
  <si>
    <t>Flocons</t>
  </si>
  <si>
    <t>Brise</t>
  </si>
  <si>
    <t>Quelques</t>
  </si>
  <si>
    <t>Modéré</t>
  </si>
  <si>
    <t>Nuageux</t>
  </si>
  <si>
    <t xml:space="preserve">Nuageux </t>
  </si>
  <si>
    <t>Très fort</t>
  </si>
  <si>
    <t>T°</t>
  </si>
  <si>
    <t>direction</t>
  </si>
  <si>
    <t>Nord-ouest</t>
  </si>
  <si>
    <t xml:space="preserve">Sud </t>
  </si>
  <si>
    <t>Sud-Est</t>
  </si>
  <si>
    <t>Printemps-1</t>
  </si>
  <si>
    <t>Printemps-2</t>
  </si>
  <si>
    <t>Printemps-3</t>
  </si>
  <si>
    <t>Printemps-4</t>
  </si>
  <si>
    <t>Printemps-5</t>
  </si>
  <si>
    <t>Printemps-6</t>
  </si>
  <si>
    <t>Printemps-7</t>
  </si>
  <si>
    <t>Printemps-8</t>
  </si>
  <si>
    <t>Printemps-9</t>
  </si>
  <si>
    <t>Printemps-10</t>
  </si>
  <si>
    <t>Eté-1</t>
  </si>
  <si>
    <t>Eté-2</t>
  </si>
  <si>
    <t>Eté-3</t>
  </si>
  <si>
    <t>Eté-4</t>
  </si>
  <si>
    <t>Eté-5</t>
  </si>
  <si>
    <t>Eté-6</t>
  </si>
  <si>
    <t>Eté-7</t>
  </si>
  <si>
    <t>Eté-8</t>
  </si>
  <si>
    <t>Eté-9</t>
  </si>
  <si>
    <t>Eté-10</t>
  </si>
  <si>
    <t>Automne-1</t>
  </si>
  <si>
    <t>Automne-2</t>
  </si>
  <si>
    <t>Automne-3</t>
  </si>
  <si>
    <t>Automne-4</t>
  </si>
  <si>
    <t>Automne-5</t>
  </si>
  <si>
    <t>Automne-6</t>
  </si>
  <si>
    <t>Automne-7</t>
  </si>
  <si>
    <t>Automne-8</t>
  </si>
  <si>
    <t>Automne-9</t>
  </si>
  <si>
    <t>Automne-10</t>
  </si>
  <si>
    <t>Hiver-1</t>
  </si>
  <si>
    <t>Hiver-2</t>
  </si>
  <si>
    <t>Hiver-3</t>
  </si>
  <si>
    <t>Hiver-4</t>
  </si>
  <si>
    <t>Hiver-5</t>
  </si>
  <si>
    <t>Hiver-6</t>
  </si>
  <si>
    <t>Hiver-7</t>
  </si>
  <si>
    <t>Hiver-8</t>
  </si>
  <si>
    <t>Hiver-9</t>
  </si>
  <si>
    <t>Hiver-10</t>
  </si>
  <si>
    <t>J+1</t>
  </si>
  <si>
    <t>J+2</t>
  </si>
  <si>
    <t>Chauve</t>
  </si>
  <si>
    <t>Couleur cheveux</t>
  </si>
  <si>
    <t>Style des cheveux</t>
  </si>
  <si>
    <t>Année naissance</t>
  </si>
  <si>
    <t>Mois naissance</t>
  </si>
  <si>
    <t>Jour naissance</t>
  </si>
  <si>
    <t>Lune naissance</t>
  </si>
  <si>
    <t>Longueur cheveux</t>
  </si>
  <si>
    <t>Genre (M/F)</t>
  </si>
  <si>
    <t>Pilosité tête</t>
  </si>
  <si>
    <t>Pilosité corps</t>
  </si>
  <si>
    <t>équarrisage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</si>
</sst>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64" formatCode="_-* #,##0.00\ _€_-;\-* #,##0.00\ _€_-;_-* &quot;-&quot;??\ _€_-;_-@_-"/>
    <numFmt numFmtId="165" formatCode="#,##0&quot; F&quot;;[Red]\-#,##0&quot; F&quot;"/>
    <numFmt numFmtId="166" formatCode="0.000"/>
    <numFmt numFmtId="167" formatCode="\+\ 0;\ \-\ 0"/>
    <numFmt numFmtId="168" formatCode="0.0"/>
    <numFmt numFmtId="169" formatCode="\+0"/>
    <numFmt numFmtId="170" formatCode="\+0\ &quot;%&quot;;\-0\ &quot;%&quot;"/>
    <numFmt numFmtId="171" formatCode="0\ &quot;%&quot;"/>
    <numFmt numFmtId="172" formatCode="0&quot; tours&quot;"/>
    <numFmt numFmtId="173" formatCode="0&quot;%&quot;"/>
    <numFmt numFmtId="174" formatCode="0&quot;m&quot;"/>
    <numFmt numFmtId="175" formatCode="&quot;PdC &quot;0"/>
    <numFmt numFmtId="176" formatCode="&quot;NS &quot;0"/>
    <numFmt numFmtId="177" formatCode="&quot;NE &quot;0"/>
    <numFmt numFmtId="178" formatCode="&quot;NEC &quot;0"/>
    <numFmt numFmtId="179" formatCode="&quot;NEM &quot;0"/>
  </numFmts>
  <fonts count="66">
    <font>
      <sz val="11"/>
      <color theme="1"/>
      <name val="Calibri"/>
      <family val="2"/>
      <scheme val="minor"/>
    </font>
    <font>
      <sz val="11"/>
      <color theme="1"/>
      <name val="Calibri"/>
      <family val="2"/>
      <scheme val="minor"/>
    </font>
    <font>
      <b/>
      <sz val="11"/>
      <color theme="1"/>
      <name val="Calibri"/>
      <family val="2"/>
      <scheme val="minor"/>
    </font>
    <font>
      <sz val="10"/>
      <name val="Herald"/>
    </font>
    <font>
      <sz val="8"/>
      <name val="Herald"/>
    </font>
    <font>
      <b/>
      <sz val="10"/>
      <name val="Herald"/>
    </font>
    <font>
      <i/>
      <sz val="8"/>
      <name val="Verdana"/>
      <family val="2"/>
    </font>
    <font>
      <i/>
      <vertAlign val="superscript"/>
      <sz val="8"/>
      <name val="Verdana"/>
      <family val="2"/>
    </font>
    <font>
      <sz val="8"/>
      <name val="Verdana"/>
      <family val="2"/>
    </font>
    <font>
      <b/>
      <sz val="8"/>
      <name val="Verdana"/>
      <family val="2"/>
    </font>
    <font>
      <sz val="10"/>
      <name val="MS Sans Serif"/>
      <family val="2"/>
    </font>
    <font>
      <sz val="10"/>
      <name val="Arial"/>
      <family val="2"/>
    </font>
    <font>
      <b/>
      <sz val="10"/>
      <name val="Arial"/>
      <family val="2"/>
    </font>
    <font>
      <sz val="8"/>
      <color theme="1"/>
      <name val="Calibri"/>
      <family val="2"/>
      <scheme val="minor"/>
    </font>
    <font>
      <sz val="8"/>
      <color theme="1"/>
      <name val="Verdana"/>
      <family val="2"/>
    </font>
    <font>
      <b/>
      <sz val="8"/>
      <color theme="1"/>
      <name val="Calibri"/>
      <family val="2"/>
      <scheme val="minor"/>
    </font>
    <font>
      <b/>
      <sz val="8"/>
      <color theme="1"/>
      <name val="Verdana"/>
      <family val="2"/>
    </font>
    <font>
      <i/>
      <sz val="8"/>
      <color theme="1"/>
      <name val="Verdana"/>
      <family val="2"/>
    </font>
    <font>
      <i/>
      <sz val="11"/>
      <color theme="1"/>
      <name val="Calibri"/>
      <family val="2"/>
      <scheme val="minor"/>
    </font>
    <font>
      <sz val="10"/>
      <name val="Arial"/>
      <family val="2"/>
    </font>
    <font>
      <sz val="12"/>
      <name val="Arial"/>
      <family val="2"/>
    </font>
    <font>
      <b/>
      <sz val="14"/>
      <color theme="1"/>
      <name val="Calibri"/>
      <family val="2"/>
      <scheme val="minor"/>
    </font>
    <font>
      <b/>
      <sz val="10"/>
      <color theme="1"/>
      <name val="Calibri"/>
      <family val="2"/>
      <scheme val="minor"/>
    </font>
    <font>
      <sz val="10"/>
      <color theme="1"/>
      <name val="Calibri"/>
      <family val="2"/>
      <scheme val="minor"/>
    </font>
    <font>
      <sz val="8"/>
      <name val="Calibri"/>
      <family val="2"/>
      <scheme val="minor"/>
    </font>
    <font>
      <b/>
      <sz val="8"/>
      <name val="Calibri"/>
      <family val="2"/>
      <scheme val="minor"/>
    </font>
    <font>
      <sz val="8"/>
      <name val="Tahoma"/>
      <family val="2"/>
    </font>
    <font>
      <sz val="10"/>
      <color rgb="FF000000"/>
      <name val="Verdana"/>
      <family val="2"/>
    </font>
    <font>
      <i/>
      <sz val="8"/>
      <color theme="1" tint="0.499984740745262"/>
      <name val="Calibri"/>
      <family val="2"/>
      <scheme val="minor"/>
    </font>
    <font>
      <sz val="9"/>
      <color theme="1"/>
      <name val="Calibri"/>
      <family val="2"/>
      <scheme val="minor"/>
    </font>
    <font>
      <sz val="7"/>
      <color theme="1"/>
      <name val="Calibri"/>
      <family val="2"/>
      <scheme val="minor"/>
    </font>
    <font>
      <b/>
      <sz val="7"/>
      <color theme="1"/>
      <name val="Calibri"/>
      <family val="2"/>
      <scheme val="minor"/>
    </font>
    <font>
      <i/>
      <sz val="7"/>
      <color theme="1"/>
      <name val="Calibri"/>
      <family val="2"/>
      <scheme val="minor"/>
    </font>
    <font>
      <i/>
      <sz val="8"/>
      <color theme="1"/>
      <name val="Calibri"/>
      <family val="2"/>
      <scheme val="minor"/>
    </font>
    <font>
      <sz val="10"/>
      <name val="Calibri"/>
      <family val="2"/>
      <scheme val="minor"/>
    </font>
    <font>
      <b/>
      <sz val="10"/>
      <name val="Calibri"/>
      <family val="2"/>
      <scheme val="minor"/>
    </font>
    <font>
      <sz val="11"/>
      <color rgb="FF006100"/>
      <name val="Calibri"/>
      <family val="2"/>
      <scheme val="minor"/>
    </font>
    <font>
      <b/>
      <sz val="11"/>
      <color rgb="FF3F3F3F"/>
      <name val="Calibri"/>
      <family val="2"/>
      <scheme val="minor"/>
    </font>
    <font>
      <b/>
      <sz val="11"/>
      <color rgb="FFFA7D00"/>
      <name val="Calibri"/>
      <family val="2"/>
      <scheme val="minor"/>
    </font>
    <font>
      <b/>
      <sz val="9"/>
      <color theme="1"/>
      <name val="Verdana"/>
      <family val="2"/>
    </font>
    <font>
      <sz val="9"/>
      <color theme="1"/>
      <name val="Verdana"/>
      <family val="2"/>
    </font>
    <font>
      <vertAlign val="superscript"/>
      <sz val="9"/>
      <color theme="1"/>
      <name val="Verdana"/>
      <family val="2"/>
    </font>
    <font>
      <b/>
      <sz val="9"/>
      <color rgb="FF3F3F3F"/>
      <name val="Calibri"/>
      <family val="2"/>
      <scheme val="minor"/>
    </font>
    <font>
      <sz val="10"/>
      <color theme="1"/>
      <name val="Verdana"/>
      <family val="2"/>
    </font>
    <font>
      <b/>
      <sz val="9"/>
      <color theme="1"/>
      <name val="Calibri"/>
      <family val="2"/>
      <scheme val="minor"/>
    </font>
    <font>
      <sz val="9"/>
      <name val="Calibri"/>
      <family val="2"/>
      <scheme val="minor"/>
    </font>
    <font>
      <i/>
      <sz val="9"/>
      <color theme="1"/>
      <name val="Calibri"/>
      <family val="2"/>
      <scheme val="minor"/>
    </font>
    <font>
      <i/>
      <sz val="9"/>
      <name val="Calibri"/>
      <family val="2"/>
      <scheme val="minor"/>
    </font>
    <font>
      <vertAlign val="superscript"/>
      <sz val="9"/>
      <name val="Calibri"/>
      <family val="2"/>
      <scheme val="minor"/>
    </font>
    <font>
      <b/>
      <sz val="9"/>
      <name val="Calibri"/>
      <family val="2"/>
      <scheme val="minor"/>
    </font>
    <font>
      <sz val="9"/>
      <color rgb="FF000000"/>
      <name val="Calibri"/>
      <family val="2"/>
      <scheme val="minor"/>
    </font>
    <font>
      <b/>
      <sz val="9"/>
      <color rgb="FF000000"/>
      <name val="Calibri"/>
      <family val="2"/>
      <scheme val="minor"/>
    </font>
    <font>
      <vertAlign val="superscript"/>
      <sz val="9"/>
      <color theme="1"/>
      <name val="Calibri"/>
      <family val="2"/>
      <scheme val="minor"/>
    </font>
    <font>
      <sz val="8"/>
      <color rgb="FF000000"/>
      <name val="Verdana"/>
      <family val="2"/>
    </font>
    <font>
      <vertAlign val="superscript"/>
      <sz val="8"/>
      <color rgb="FF000000"/>
      <name val="Verdana"/>
      <family val="2"/>
    </font>
    <font>
      <b/>
      <sz val="8"/>
      <color rgb="FF000000"/>
      <name val="Verdana"/>
      <family val="2"/>
    </font>
    <font>
      <vertAlign val="superscript"/>
      <sz val="8"/>
      <color theme="1"/>
      <name val="Verdana"/>
      <family val="2"/>
    </font>
    <font>
      <sz val="8"/>
      <color rgb="FFFFFFFF"/>
      <name val="Verdana"/>
      <family val="2"/>
    </font>
    <font>
      <i/>
      <sz val="8"/>
      <color rgb="FF000000"/>
      <name val="Verdana"/>
      <family val="2"/>
    </font>
    <font>
      <sz val="8"/>
      <color theme="1"/>
      <name val="Wingdings"/>
      <charset val="2"/>
    </font>
    <font>
      <sz val="9"/>
      <color rgb="FF000000"/>
      <name val="Verdana"/>
      <family val="2"/>
    </font>
    <font>
      <i/>
      <sz val="6"/>
      <color rgb="FF000000"/>
      <name val="Verdana"/>
      <family val="2"/>
    </font>
    <font>
      <u/>
      <sz val="8"/>
      <color theme="1"/>
      <name val="Verdana"/>
      <family val="2"/>
    </font>
    <font>
      <u/>
      <sz val="8"/>
      <color rgb="FF000000"/>
      <name val="Verdana"/>
      <family val="2"/>
    </font>
    <font>
      <sz val="8"/>
      <color theme="1"/>
      <name val="Tahoma"/>
      <family val="2"/>
    </font>
    <font>
      <b/>
      <sz val="8"/>
      <color theme="1"/>
      <name val="Tahoma"/>
      <family val="2"/>
    </font>
  </fonts>
  <fills count="61">
    <fill>
      <patternFill patternType="none"/>
    </fill>
    <fill>
      <patternFill patternType="gray125"/>
    </fill>
    <fill>
      <patternFill patternType="solid">
        <fgColor rgb="FFE3E3E3"/>
        <bgColor indexed="64"/>
      </patternFill>
    </fill>
    <fill>
      <patternFill patternType="solid">
        <fgColor theme="0" tint="-4.9989318521683403E-2"/>
        <bgColor indexed="64"/>
      </patternFill>
    </fill>
    <fill>
      <patternFill patternType="solid">
        <fgColor rgb="FFE0E0E0"/>
        <bgColor indexed="64"/>
      </patternFill>
    </fill>
    <fill>
      <patternFill patternType="solid">
        <fgColor theme="9" tint="0.79998168889431442"/>
        <bgColor indexed="64"/>
      </patternFill>
    </fill>
    <fill>
      <patternFill patternType="solid">
        <fgColor rgb="FF92D05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00"/>
        <bgColor indexed="64"/>
      </patternFill>
    </fill>
    <fill>
      <patternFill patternType="solid">
        <fgColor rgb="FFFFC000"/>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indexed="22"/>
        <bgColor indexed="64"/>
      </patternFill>
    </fill>
    <fill>
      <patternFill patternType="solid">
        <fgColor theme="2"/>
        <bgColor indexed="64"/>
      </patternFill>
    </fill>
    <fill>
      <patternFill patternType="solid">
        <fgColor theme="0" tint="0.79998168889431442"/>
        <bgColor indexed="64"/>
      </patternFill>
    </fill>
    <fill>
      <patternFill patternType="solid">
        <fgColor theme="6" tint="0.79998168889431442"/>
        <bgColor indexed="64"/>
      </patternFill>
    </fill>
    <fill>
      <patternFill patternType="solid">
        <fgColor rgb="FFEAF1DD"/>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59999389629810485"/>
        <bgColor indexed="64"/>
      </patternFill>
    </fill>
    <fill>
      <patternFill patternType="solid">
        <fgColor theme="2" tint="-9.9978637043366805E-2"/>
        <bgColor indexed="64"/>
      </patternFill>
    </fill>
    <fill>
      <patternFill patternType="solid">
        <fgColor theme="1"/>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rgb="FFC6EFCE"/>
      </patternFill>
    </fill>
    <fill>
      <patternFill patternType="solid">
        <fgColor rgb="FFF2F2F2"/>
      </patternFill>
    </fill>
    <fill>
      <patternFill patternType="solid">
        <fgColor theme="6" tint="0.59999389629810485"/>
        <bgColor indexed="64"/>
      </patternFill>
    </fill>
    <fill>
      <patternFill patternType="solid">
        <fgColor theme="2" tint="-0.249977111117893"/>
        <bgColor indexed="64"/>
      </patternFill>
    </fill>
    <fill>
      <patternFill patternType="solid">
        <fgColor theme="7" tint="0.79998168889431442"/>
        <bgColor indexed="64"/>
      </patternFill>
    </fill>
    <fill>
      <patternFill patternType="solid">
        <fgColor rgb="FFFFFF99"/>
        <bgColor indexed="64"/>
      </patternFill>
    </fill>
    <fill>
      <patternFill patternType="solid">
        <fgColor rgb="FFD9D9D9"/>
        <bgColor indexed="64"/>
      </patternFill>
    </fill>
    <fill>
      <patternFill patternType="solid">
        <fgColor rgb="FFF2F2F2"/>
        <bgColor indexed="64"/>
      </patternFill>
    </fill>
    <fill>
      <patternFill patternType="solid">
        <fgColor rgb="FFDDDDDD"/>
        <bgColor indexed="64"/>
      </patternFill>
    </fill>
    <fill>
      <patternFill patternType="solid">
        <fgColor rgb="FFFDE9D9"/>
        <bgColor indexed="64"/>
      </patternFill>
    </fill>
    <fill>
      <patternFill patternType="solid">
        <fgColor rgb="FFFFFFFF"/>
        <bgColor indexed="64"/>
      </patternFill>
    </fill>
    <fill>
      <patternFill patternType="solid">
        <fgColor theme="4" tint="0.79998168889431442"/>
        <bgColor indexed="64"/>
      </patternFill>
    </fill>
    <fill>
      <patternFill patternType="solid">
        <fgColor theme="0"/>
        <bgColor indexed="64"/>
      </patternFill>
    </fill>
    <fill>
      <patternFill patternType="gray125">
        <fgColor rgb="FF000000"/>
        <bgColor rgb="FFD9D9D9"/>
      </patternFill>
    </fill>
    <fill>
      <patternFill patternType="solid">
        <fgColor rgb="FFC0C0C0"/>
        <bgColor indexed="64"/>
      </patternFill>
    </fill>
    <fill>
      <patternFill patternType="solid">
        <fgColor rgb="FF76923C"/>
        <bgColor indexed="64"/>
      </patternFill>
    </fill>
    <fill>
      <patternFill patternType="solid">
        <fgColor rgb="FF00FF00"/>
        <bgColor indexed="64"/>
      </patternFill>
    </fill>
    <fill>
      <patternFill patternType="solid">
        <fgColor rgb="FF95B3D7"/>
        <bgColor indexed="64"/>
      </patternFill>
    </fill>
    <fill>
      <patternFill patternType="solid">
        <fgColor rgb="FF000000"/>
        <bgColor indexed="64"/>
      </patternFill>
    </fill>
    <fill>
      <patternFill patternType="solid">
        <fgColor rgb="FFFABF8F"/>
        <bgColor indexed="64"/>
      </patternFill>
    </fill>
    <fill>
      <patternFill patternType="solid">
        <fgColor rgb="FFE6E6E6"/>
        <bgColor indexed="64"/>
      </patternFill>
    </fill>
    <fill>
      <patternFill patternType="solid">
        <fgColor rgb="FFA6A6A6"/>
        <bgColor indexed="64"/>
      </patternFill>
    </fill>
    <fill>
      <patternFill patternType="solid">
        <fgColor rgb="FFD6E3BC"/>
        <bgColor indexed="64"/>
      </patternFill>
    </fill>
    <fill>
      <patternFill patternType="solid">
        <fgColor rgb="FFFBD4B4"/>
        <bgColor indexed="64"/>
      </patternFill>
    </fill>
    <fill>
      <patternFill patternType="solid">
        <fgColor rgb="FFB8CCE4"/>
        <bgColor indexed="64"/>
      </patternFill>
    </fill>
    <fill>
      <patternFill patternType="solid">
        <fgColor rgb="FFCCCCCC"/>
        <bgColor indexed="64"/>
      </patternFill>
    </fill>
    <fill>
      <patternFill patternType="solid">
        <fgColor rgb="FFDBE5F1"/>
        <bgColor indexed="64"/>
      </patternFill>
    </fill>
    <fill>
      <patternFill patternType="solid">
        <fgColor rgb="FF66FF66"/>
        <bgColor indexed="64"/>
      </patternFill>
    </fill>
    <fill>
      <patternFill patternType="solid">
        <fgColor rgb="FF8DB3E2"/>
        <bgColor indexed="64"/>
      </patternFill>
    </fill>
    <fill>
      <patternFill patternType="solid">
        <fgColor rgb="FFBFBFBF"/>
        <bgColor indexed="64"/>
      </patternFill>
    </fill>
    <fill>
      <patternFill patternType="solid">
        <fgColor rgb="FF00B050"/>
        <bgColor indexed="64"/>
      </patternFill>
    </fill>
    <fill>
      <patternFill patternType="solid">
        <fgColor rgb="FF999999"/>
        <bgColor indexed="64"/>
      </patternFill>
    </fill>
    <fill>
      <patternFill patternType="solid">
        <fgColor rgb="FFC4BC96"/>
        <bgColor indexed="64"/>
      </patternFill>
    </fill>
    <fill>
      <patternFill patternType="solid">
        <fgColor rgb="FFB3B3B3"/>
        <bgColor indexed="64"/>
      </patternFill>
    </fill>
  </fills>
  <borders count="139">
    <border>
      <left/>
      <right/>
      <top/>
      <bottom/>
      <diagonal/>
    </border>
    <border>
      <left/>
      <right/>
      <top style="hair">
        <color indexed="64"/>
      </top>
      <bottom style="medium">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medium">
        <color indexed="64"/>
      </top>
      <bottom style="hair">
        <color indexed="64"/>
      </bottom>
      <diagonal/>
    </border>
    <border>
      <left/>
      <right style="medium">
        <color indexed="64"/>
      </right>
      <top/>
      <bottom/>
      <diagonal/>
    </border>
    <border>
      <left style="medium">
        <color indexed="64"/>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style="thick">
        <color indexed="64"/>
      </bottom>
      <diagonal/>
    </border>
    <border>
      <left style="medium">
        <color indexed="64"/>
      </left>
      <right style="medium">
        <color indexed="64"/>
      </right>
      <top/>
      <bottom style="thick">
        <color indexed="64"/>
      </bottom>
      <diagonal/>
    </border>
    <border>
      <left style="medium">
        <color indexed="64"/>
      </left>
      <right/>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thin">
        <color indexed="64"/>
      </bottom>
      <diagonal/>
    </border>
    <border>
      <left/>
      <right/>
      <top style="hair">
        <color indexed="64"/>
      </top>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thin">
        <color indexed="64"/>
      </top>
      <bottom/>
      <diagonal/>
    </border>
    <border>
      <left/>
      <right style="medium">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rgb="FF000000"/>
      </left>
      <right style="medium">
        <color rgb="FF000000"/>
      </right>
      <top/>
      <bottom style="medium">
        <color rgb="FF000000"/>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medium">
        <color rgb="FF000000"/>
      </left>
      <right/>
      <top style="medium">
        <color rgb="FF000000"/>
      </top>
      <bottom style="medium">
        <color rgb="FF000000"/>
      </bottom>
      <diagonal/>
    </border>
    <border>
      <left style="thin">
        <color rgb="FF7F7F7F"/>
      </left>
      <right/>
      <top style="thin">
        <color rgb="FF7F7F7F"/>
      </top>
      <bottom style="thin">
        <color rgb="FF7F7F7F"/>
      </bottom>
      <diagonal/>
    </border>
    <border>
      <left style="thin">
        <color rgb="FF3F3F3F"/>
      </left>
      <right style="thin">
        <color rgb="FF3F3F3F"/>
      </right>
      <top style="thin">
        <color rgb="FF3F3F3F"/>
      </top>
      <bottom/>
      <diagonal/>
    </border>
    <border>
      <left style="medium">
        <color rgb="FF000000"/>
      </left>
      <right/>
      <top/>
      <bottom style="medium">
        <color rgb="FF000000"/>
      </bottom>
      <diagonal/>
    </border>
    <border>
      <left style="medium">
        <color indexed="64"/>
      </left>
      <right style="medium">
        <color indexed="64"/>
      </right>
      <top/>
      <bottom style="hair">
        <color indexed="64"/>
      </bottom>
      <diagonal/>
    </border>
    <border>
      <left/>
      <right/>
      <top/>
      <bottom style="hair">
        <color indexed="64"/>
      </bottom>
      <diagonal/>
    </border>
    <border>
      <left style="thin">
        <color indexed="64"/>
      </left>
      <right style="medium">
        <color indexed="64"/>
      </right>
      <top/>
      <bottom style="thin">
        <color indexed="64"/>
      </bottom>
      <diagonal/>
    </border>
    <border>
      <left style="medium">
        <color rgb="FF000000"/>
      </left>
      <right/>
      <top style="medium">
        <color rgb="FF000000"/>
      </top>
      <bottom/>
      <diagonal/>
    </border>
    <border>
      <left style="thick">
        <color indexed="64"/>
      </left>
      <right style="medium">
        <color indexed="64"/>
      </right>
      <top style="medium">
        <color indexed="64"/>
      </top>
      <bottom style="medium">
        <color indexed="64"/>
      </bottom>
      <diagonal/>
    </border>
    <border>
      <left style="thick">
        <color indexed="64"/>
      </left>
      <right style="medium">
        <color indexed="64"/>
      </right>
      <top style="thick">
        <color indexed="64"/>
      </top>
      <bottom/>
      <diagonal/>
    </border>
    <border>
      <left style="thick">
        <color indexed="64"/>
      </left>
      <right style="medium">
        <color indexed="64"/>
      </right>
      <top/>
      <bottom style="medium">
        <color indexed="64"/>
      </bottom>
      <diagonal/>
    </border>
    <border>
      <left/>
      <right style="medium">
        <color indexed="64"/>
      </right>
      <top style="thick">
        <color indexed="64"/>
      </top>
      <bottom/>
      <diagonal/>
    </border>
    <border>
      <left style="medium">
        <color indexed="64"/>
      </left>
      <right/>
      <top/>
      <bottom style="thin">
        <color indexed="64"/>
      </bottom>
      <diagonal/>
    </border>
    <border>
      <left/>
      <right/>
      <top style="thick">
        <color auto="1"/>
      </top>
      <bottom/>
      <diagonal/>
    </border>
    <border>
      <left/>
      <right style="thick">
        <color auto="1"/>
      </right>
      <top style="thick">
        <color auto="1"/>
      </top>
      <bottom/>
      <diagonal/>
    </border>
    <border>
      <left/>
      <right style="thick">
        <color auto="1"/>
      </right>
      <top/>
      <bottom/>
      <diagonal/>
    </border>
    <border>
      <left/>
      <right/>
      <top/>
      <bottom style="thick">
        <color auto="1"/>
      </bottom>
      <diagonal/>
    </border>
    <border>
      <left/>
      <right style="thick">
        <color auto="1"/>
      </right>
      <top/>
      <bottom style="thick">
        <color auto="1"/>
      </bottom>
      <diagonal/>
    </border>
    <border>
      <left/>
      <right style="thick">
        <color auto="1"/>
      </right>
      <top/>
      <bottom style="medium">
        <color indexed="64"/>
      </bottom>
      <diagonal/>
    </border>
    <border>
      <left/>
      <right style="thick">
        <color indexed="64"/>
      </right>
      <top style="medium">
        <color indexed="64"/>
      </top>
      <bottom style="medium">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style="medium">
        <color indexed="64"/>
      </right>
      <top style="thick">
        <color indexed="64"/>
      </top>
      <bottom style="medium">
        <color indexed="64"/>
      </bottom>
      <diagonal/>
    </border>
    <border>
      <left style="thick">
        <color indexed="64"/>
      </left>
      <right style="medium">
        <color indexed="64"/>
      </right>
      <top/>
      <bottom/>
      <diagonal/>
    </border>
    <border>
      <left style="thick">
        <color indexed="64"/>
      </left>
      <right/>
      <top style="medium">
        <color indexed="64"/>
      </top>
      <bottom/>
      <diagonal/>
    </border>
    <border>
      <left/>
      <right style="thick">
        <color indexed="64"/>
      </right>
      <top style="medium">
        <color indexed="64"/>
      </top>
      <bottom/>
      <diagonal/>
    </border>
    <border>
      <left style="thick">
        <color indexed="64"/>
      </left>
      <right/>
      <top/>
      <bottom style="medium">
        <color indexed="64"/>
      </bottom>
      <diagonal/>
    </border>
    <border>
      <left style="thick">
        <color indexed="64"/>
      </left>
      <right/>
      <top/>
      <bottom/>
      <diagonal/>
    </border>
    <border>
      <left style="thick">
        <color indexed="64"/>
      </left>
      <right/>
      <top style="medium">
        <color indexed="64"/>
      </top>
      <bottom style="medium">
        <color indexed="64"/>
      </bottom>
      <diagonal/>
    </border>
    <border>
      <left style="thick">
        <color indexed="64"/>
      </left>
      <right/>
      <top/>
      <bottom style="thick">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ck">
        <color indexed="64"/>
      </left>
      <right style="medium">
        <color indexed="64"/>
      </right>
      <top style="medium">
        <color indexed="64"/>
      </top>
      <bottom style="thick">
        <color indexed="64"/>
      </bottom>
      <diagonal/>
    </border>
    <border>
      <left style="medium">
        <color indexed="64"/>
      </left>
      <right style="thick">
        <color auto="1"/>
      </right>
      <top/>
      <bottom style="medium">
        <color indexed="64"/>
      </bottom>
      <diagonal/>
    </border>
    <border>
      <left style="medium">
        <color indexed="64"/>
      </left>
      <right style="thin">
        <color indexed="64"/>
      </right>
      <top style="medium">
        <color indexed="64"/>
      </top>
      <bottom/>
      <diagonal/>
    </border>
    <border>
      <left style="thick">
        <color indexed="64"/>
      </left>
      <right style="medium">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bottom style="double">
        <color indexed="64"/>
      </bottom>
      <diagonal/>
    </border>
    <border>
      <left/>
      <right style="medium">
        <color indexed="64"/>
      </right>
      <top/>
      <bottom style="double">
        <color indexed="64"/>
      </bottom>
      <diagonal/>
    </border>
    <border>
      <left/>
      <right style="thick">
        <color indexed="64"/>
      </right>
      <top/>
      <bottom style="double">
        <color indexed="64"/>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thick">
        <color indexed="64"/>
      </top>
      <bottom style="medium">
        <color indexed="64"/>
      </bottom>
      <diagonal/>
    </border>
    <border>
      <left style="thick">
        <color indexed="64"/>
      </left>
      <right/>
      <top style="thick">
        <color indexed="64"/>
      </top>
      <bottom/>
      <diagonal/>
    </border>
    <border>
      <left style="medium">
        <color indexed="64"/>
      </left>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style="medium">
        <color indexed="64"/>
      </left>
      <right/>
      <top style="thick">
        <color indexed="64"/>
      </top>
      <bottom/>
      <diagonal/>
    </border>
    <border>
      <left/>
      <right style="thick">
        <color indexed="64"/>
      </right>
      <top style="thin">
        <color indexed="64"/>
      </top>
      <bottom style="medium">
        <color indexed="64"/>
      </bottom>
      <diagonal/>
    </border>
    <border>
      <left style="thick">
        <color indexed="64"/>
      </left>
      <right style="medium">
        <color indexed="64"/>
      </right>
      <top style="medium">
        <color indexed="64"/>
      </top>
      <bottom/>
      <diagonal/>
    </border>
    <border>
      <left style="medium">
        <color indexed="64"/>
      </left>
      <right/>
      <top/>
      <bottom style="thick">
        <color indexed="64"/>
      </bottom>
      <diagonal/>
    </border>
  </borders>
  <cellStyleXfs count="11">
    <xf numFmtId="0" fontId="0" fillId="0" borderId="0"/>
    <xf numFmtId="9" fontId="1" fillId="0" borderId="0" applyFont="0" applyFill="0" applyBorder="0" applyAlignment="0" applyProtection="0"/>
    <xf numFmtId="0" fontId="3" fillId="0" borderId="0"/>
    <xf numFmtId="38" fontId="10" fillId="0" borderId="0" applyFont="0" applyFill="0" applyBorder="0" applyAlignment="0" applyProtection="0"/>
    <xf numFmtId="165" fontId="10" fillId="0" borderId="0" applyFont="0" applyFill="0" applyBorder="0" applyAlignment="0" applyProtection="0"/>
    <xf numFmtId="0" fontId="11" fillId="0" borderId="0"/>
    <xf numFmtId="0" fontId="19" fillId="0" borderId="0"/>
    <xf numFmtId="164" fontId="1" fillId="0" borderId="0" applyFont="0" applyFill="0" applyBorder="0" applyAlignment="0" applyProtection="0"/>
    <xf numFmtId="0" fontId="36" fillId="27" borderId="0" applyNumberFormat="0" applyBorder="0" applyAlignment="0" applyProtection="0"/>
    <xf numFmtId="0" fontId="37" fillId="28" borderId="82" applyNumberFormat="0" applyAlignment="0" applyProtection="0"/>
    <xf numFmtId="0" fontId="38" fillId="28" borderId="81" applyNumberFormat="0" applyAlignment="0" applyProtection="0"/>
  </cellStyleXfs>
  <cellXfs count="1779">
    <xf numFmtId="0" fontId="0" fillId="0" borderId="0" xfId="0"/>
    <xf numFmtId="0" fontId="3" fillId="0" borderId="0" xfId="2"/>
    <xf numFmtId="0" fontId="3" fillId="0" borderId="0" xfId="2" applyAlignment="1">
      <alignment horizontal="center"/>
    </xf>
    <xf numFmtId="0" fontId="4" fillId="0" borderId="0" xfId="2" applyFont="1" applyAlignment="1">
      <alignment horizontal="center"/>
    </xf>
    <xf numFmtId="0" fontId="5" fillId="0" borderId="0" xfId="2" applyFont="1"/>
    <xf numFmtId="0" fontId="5" fillId="0" borderId="0" xfId="2" applyFont="1" applyAlignment="1">
      <alignment horizontal="center"/>
    </xf>
    <xf numFmtId="0" fontId="6" fillId="2" borderId="7" xfId="2" applyFont="1" applyFill="1" applyBorder="1" applyAlignment="1">
      <alignment horizontal="center" vertical="center" wrapText="1"/>
    </xf>
    <xf numFmtId="0" fontId="6" fillId="2" borderId="7" xfId="2" applyFont="1" applyFill="1" applyBorder="1" applyAlignment="1">
      <alignment horizontal="center" vertical="center"/>
    </xf>
    <xf numFmtId="0" fontId="6" fillId="2" borderId="8" xfId="2" applyFont="1" applyFill="1" applyBorder="1" applyAlignment="1">
      <alignment horizontal="center" vertical="center"/>
    </xf>
    <xf numFmtId="0" fontId="8" fillId="0" borderId="7" xfId="2" applyFont="1" applyBorder="1" applyAlignment="1">
      <alignment horizontal="center" vertical="center" wrapText="1"/>
    </xf>
    <xf numFmtId="0" fontId="6" fillId="0" borderId="7" xfId="2" applyFont="1" applyBorder="1" applyAlignment="1">
      <alignment horizontal="center" vertical="center"/>
    </xf>
    <xf numFmtId="0" fontId="6" fillId="0" borderId="7" xfId="2" applyFont="1" applyBorder="1" applyAlignment="1">
      <alignment horizontal="center" vertical="center" wrapText="1"/>
    </xf>
    <xf numFmtId="0" fontId="6" fillId="0" borderId="8" xfId="2" applyFont="1" applyBorder="1" applyAlignment="1">
      <alignment horizontal="center" vertical="center"/>
    </xf>
    <xf numFmtId="0" fontId="8" fillId="2" borderId="7" xfId="2" applyFont="1" applyFill="1" applyBorder="1" applyAlignment="1">
      <alignment horizontal="center" vertical="center" wrapText="1"/>
    </xf>
    <xf numFmtId="0" fontId="8" fillId="2" borderId="7" xfId="2" applyFont="1" applyFill="1" applyBorder="1" applyAlignment="1">
      <alignment horizontal="center" vertical="center"/>
    </xf>
    <xf numFmtId="0" fontId="8" fillId="2" borderId="8" xfId="2" applyFont="1" applyFill="1" applyBorder="1" applyAlignment="1">
      <alignment horizontal="center" vertical="center"/>
    </xf>
    <xf numFmtId="0" fontId="8" fillId="0" borderId="7" xfId="2" applyFont="1" applyBorder="1" applyAlignment="1">
      <alignment horizontal="center" vertical="center"/>
    </xf>
    <xf numFmtId="0" fontId="8" fillId="0" borderId="8" xfId="2" applyFont="1" applyBorder="1" applyAlignment="1">
      <alignment horizontal="center" vertical="center"/>
    </xf>
    <xf numFmtId="0" fontId="8" fillId="2" borderId="9" xfId="2" applyFont="1" applyFill="1" applyBorder="1" applyAlignment="1">
      <alignment horizontal="center" vertical="center" wrapText="1"/>
    </xf>
    <xf numFmtId="0" fontId="8" fillId="2" borderId="9" xfId="2" applyFont="1" applyFill="1" applyBorder="1" applyAlignment="1">
      <alignment horizontal="center" vertical="center"/>
    </xf>
    <xf numFmtId="0" fontId="8" fillId="2" borderId="10" xfId="2" applyFont="1" applyFill="1" applyBorder="1" applyAlignment="1">
      <alignment horizontal="center" vertical="center"/>
    </xf>
    <xf numFmtId="0" fontId="8" fillId="2" borderId="0" xfId="2" quotePrefix="1" applyFont="1" applyFill="1" applyAlignment="1">
      <alignment horizontal="center" vertical="center" wrapText="1"/>
    </xf>
    <xf numFmtId="0" fontId="8" fillId="0" borderId="0" xfId="2" quotePrefix="1" applyFont="1" applyAlignment="1">
      <alignment horizontal="center" vertical="center" wrapText="1"/>
    </xf>
    <xf numFmtId="0" fontId="8" fillId="0" borderId="0" xfId="2" applyFont="1" applyAlignment="1">
      <alignment horizontal="center" vertical="center"/>
    </xf>
    <xf numFmtId="0" fontId="8" fillId="0" borderId="11" xfId="2" applyFont="1" applyBorder="1" applyAlignment="1">
      <alignment horizontal="center" vertical="center" wrapText="1"/>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9" fillId="0" borderId="7" xfId="2" applyFont="1" applyBorder="1" applyAlignment="1">
      <alignment horizontal="center" vertical="center" wrapText="1"/>
    </xf>
    <xf numFmtId="0" fontId="9" fillId="0" borderId="11" xfId="2" applyFont="1" applyBorder="1" applyAlignment="1">
      <alignment horizontal="center" vertical="center" wrapText="1"/>
    </xf>
    <xf numFmtId="0" fontId="9" fillId="0" borderId="11" xfId="2" applyFont="1" applyBorder="1" applyAlignment="1">
      <alignment horizontal="center" vertical="center"/>
    </xf>
    <xf numFmtId="0" fontId="9" fillId="0" borderId="12" xfId="2" applyFont="1" applyBorder="1" applyAlignment="1">
      <alignment horizontal="center" vertical="center"/>
    </xf>
    <xf numFmtId="1" fontId="3" fillId="0" borderId="0" xfId="2" applyNumberFormat="1"/>
    <xf numFmtId="0" fontId="3" fillId="0" borderId="13" xfId="2" quotePrefix="1" applyBorder="1"/>
    <xf numFmtId="0" fontId="3" fillId="0" borderId="14" xfId="2" quotePrefix="1" applyBorder="1"/>
    <xf numFmtId="0" fontId="3" fillId="0" borderId="13" xfId="2" applyBorder="1"/>
    <xf numFmtId="0" fontId="3" fillId="0" borderId="15" xfId="2" quotePrefix="1" applyBorder="1"/>
    <xf numFmtId="0" fontId="3" fillId="0" borderId="16" xfId="2" applyBorder="1"/>
    <xf numFmtId="0" fontId="12" fillId="0" borderId="13" xfId="2" applyFont="1" applyBorder="1"/>
    <xf numFmtId="0" fontId="3" fillId="0" borderId="17" xfId="2" applyBorder="1"/>
    <xf numFmtId="0" fontId="12" fillId="0" borderId="18" xfId="2" applyFont="1" applyBorder="1"/>
    <xf numFmtId="0" fontId="3" fillId="0" borderId="16" xfId="2" quotePrefix="1" applyBorder="1"/>
    <xf numFmtId="0" fontId="3" fillId="0" borderId="19" xfId="2" applyBorder="1"/>
    <xf numFmtId="0" fontId="3" fillId="0" borderId="0" xfId="2" quotePrefix="1"/>
    <xf numFmtId="0" fontId="12" fillId="0" borderId="0" xfId="2" applyFont="1"/>
    <xf numFmtId="0" fontId="12" fillId="0" borderId="19" xfId="2" applyFont="1" applyBorder="1"/>
    <xf numFmtId="0" fontId="3" fillId="0" borderId="20" xfId="2" applyBorder="1"/>
    <xf numFmtId="0" fontId="3" fillId="0" borderId="21" xfId="2" applyBorder="1"/>
    <xf numFmtId="0" fontId="3" fillId="0" borderId="22" xfId="2" applyBorder="1"/>
    <xf numFmtId="0" fontId="3" fillId="0" borderId="23" xfId="2" applyBorder="1"/>
    <xf numFmtId="0" fontId="3" fillId="0" borderId="24" xfId="2" quotePrefix="1" applyBorder="1"/>
    <xf numFmtId="0" fontId="3" fillId="0" borderId="25" xfId="2" quotePrefix="1" applyBorder="1"/>
    <xf numFmtId="0" fontId="3" fillId="0" borderId="26" xfId="2" applyBorder="1"/>
    <xf numFmtId="0" fontId="3" fillId="0" borderId="19" xfId="2" quotePrefix="1" applyBorder="1"/>
    <xf numFmtId="0" fontId="3" fillId="0" borderId="21" xfId="2" quotePrefix="1" applyBorder="1"/>
    <xf numFmtId="0" fontId="12" fillId="0" borderId="27" xfId="2" applyFont="1" applyBorder="1"/>
    <xf numFmtId="0" fontId="3" fillId="0" borderId="8" xfId="2" applyBorder="1"/>
    <xf numFmtId="0" fontId="3" fillId="0" borderId="13" xfId="2" applyBorder="1" applyAlignment="1">
      <alignment horizontal="center"/>
    </xf>
    <xf numFmtId="0" fontId="3" fillId="0" borderId="22" xfId="2" applyBorder="1" applyAlignment="1">
      <alignment horizontal="center"/>
    </xf>
    <xf numFmtId="0" fontId="3" fillId="0" borderId="23" xfId="2" quotePrefix="1" applyBorder="1"/>
    <xf numFmtId="0" fontId="3" fillId="0" borderId="28" xfId="2" applyBorder="1"/>
    <xf numFmtId="0" fontId="3" fillId="0" borderId="14" xfId="2" applyBorder="1"/>
    <xf numFmtId="0" fontId="3" fillId="0" borderId="16" xfId="2" applyBorder="1" applyAlignment="1">
      <alignment horizontal="center"/>
    </xf>
    <xf numFmtId="0" fontId="3" fillId="0" borderId="25" xfId="2" applyBorder="1" applyAlignment="1">
      <alignment horizontal="center"/>
    </xf>
    <xf numFmtId="0" fontId="3" fillId="0" borderId="26" xfId="2" quotePrefix="1" applyBorder="1"/>
    <xf numFmtId="0" fontId="12" fillId="0" borderId="21" xfId="2" applyFont="1" applyBorder="1"/>
    <xf numFmtId="1" fontId="12" fillId="0" borderId="0" xfId="2" applyNumberFormat="1" applyFont="1"/>
    <xf numFmtId="0" fontId="3" fillId="3" borderId="0" xfId="2" applyFill="1"/>
    <xf numFmtId="0" fontId="3" fillId="3" borderId="10" xfId="2" applyFill="1" applyBorder="1"/>
    <xf numFmtId="0" fontId="3" fillId="3" borderId="8" xfId="2" applyFill="1" applyBorder="1"/>
    <xf numFmtId="0" fontId="3" fillId="3" borderId="0" xfId="2" applyFill="1" applyAlignment="1">
      <alignment horizontal="center"/>
    </xf>
    <xf numFmtId="0" fontId="3" fillId="3" borderId="8" xfId="2" applyFill="1" applyBorder="1" applyAlignment="1">
      <alignment horizontal="right"/>
    </xf>
    <xf numFmtId="0" fontId="3" fillId="0" borderId="12" xfId="2" applyBorder="1"/>
    <xf numFmtId="0" fontId="8" fillId="4" borderId="9" xfId="2" applyFont="1" applyFill="1" applyBorder="1" applyAlignment="1">
      <alignment horizontal="center" vertical="center" wrapText="1"/>
    </xf>
    <xf numFmtId="0" fontId="8" fillId="0" borderId="9" xfId="2" applyFont="1" applyBorder="1" applyAlignment="1">
      <alignment horizontal="center" vertical="center" wrapText="1"/>
    </xf>
    <xf numFmtId="0" fontId="8" fillId="0" borderId="30" xfId="2" applyFont="1" applyBorder="1" applyAlignment="1">
      <alignment horizontal="center" vertical="center" wrapText="1"/>
    </xf>
    <xf numFmtId="0" fontId="8" fillId="4" borderId="10" xfId="2" applyFont="1" applyFill="1" applyBorder="1" applyAlignment="1">
      <alignment horizontal="center" vertical="center" wrapText="1"/>
    </xf>
    <xf numFmtId="0" fontId="8" fillId="0" borderId="10" xfId="2" applyFont="1" applyBorder="1" applyAlignment="1">
      <alignment horizontal="center" vertical="center" wrapText="1"/>
    </xf>
    <xf numFmtId="0" fontId="8" fillId="0" borderId="31" xfId="2" applyFont="1" applyBorder="1" applyAlignment="1">
      <alignment horizontal="center" vertical="center" wrapText="1"/>
    </xf>
    <xf numFmtId="0" fontId="13" fillId="0" borderId="0" xfId="0" applyFont="1"/>
    <xf numFmtId="0" fontId="13" fillId="5" borderId="32" xfId="0" applyFont="1" applyFill="1" applyBorder="1" applyAlignment="1">
      <alignment horizontal="left"/>
    </xf>
    <xf numFmtId="0" fontId="13" fillId="5" borderId="33" xfId="0" applyFont="1" applyFill="1" applyBorder="1" applyAlignment="1">
      <alignment horizontal="left"/>
    </xf>
    <xf numFmtId="0" fontId="13" fillId="5" borderId="33" xfId="0" applyFont="1" applyFill="1" applyBorder="1"/>
    <xf numFmtId="0" fontId="13" fillId="5" borderId="33" xfId="0" applyFont="1" applyFill="1" applyBorder="1" applyAlignment="1">
      <alignment horizontal="center"/>
    </xf>
    <xf numFmtId="1" fontId="13" fillId="5" borderId="33" xfId="0" applyNumberFormat="1" applyFont="1" applyFill="1" applyBorder="1"/>
    <xf numFmtId="0" fontId="14" fillId="5" borderId="33" xfId="0" applyFont="1" applyFill="1" applyBorder="1" applyAlignment="1">
      <alignment horizontal="center" vertical="center" wrapText="1"/>
    </xf>
    <xf numFmtId="0" fontId="13" fillId="5" borderId="35" xfId="0" applyFont="1" applyFill="1" applyBorder="1" applyAlignment="1">
      <alignment horizontal="left"/>
    </xf>
    <xf numFmtId="0" fontId="13" fillId="5" borderId="13" xfId="0" applyFont="1" applyFill="1" applyBorder="1" applyAlignment="1">
      <alignment horizontal="left"/>
    </xf>
    <xf numFmtId="0" fontId="13" fillId="5" borderId="13" xfId="0" applyFont="1" applyFill="1" applyBorder="1"/>
    <xf numFmtId="0" fontId="13" fillId="5" borderId="13" xfId="0" applyFont="1" applyFill="1" applyBorder="1" applyAlignment="1">
      <alignment horizontal="center"/>
    </xf>
    <xf numFmtId="1" fontId="13" fillId="5" borderId="13" xfId="0" applyNumberFormat="1" applyFont="1" applyFill="1" applyBorder="1"/>
    <xf numFmtId="0" fontId="14" fillId="5" borderId="13" xfId="0" applyFont="1" applyFill="1" applyBorder="1" applyAlignment="1">
      <alignment horizontal="center" vertical="center" wrapText="1"/>
    </xf>
    <xf numFmtId="0" fontId="14" fillId="5" borderId="36" xfId="0" applyFont="1" applyFill="1" applyBorder="1" applyAlignment="1">
      <alignment horizontal="left" vertical="center" wrapText="1"/>
    </xf>
    <xf numFmtId="0" fontId="13" fillId="0" borderId="35" xfId="0" applyFont="1" applyBorder="1" applyAlignment="1">
      <alignment horizontal="left"/>
    </xf>
    <xf numFmtId="0" fontId="13" fillId="0" borderId="13" xfId="0" applyFont="1" applyBorder="1" applyAlignment="1">
      <alignment horizontal="left"/>
    </xf>
    <xf numFmtId="0" fontId="13" fillId="0" borderId="13" xfId="0" applyFont="1" applyBorder="1"/>
    <xf numFmtId="0" fontId="13" fillId="0" borderId="13" xfId="0" applyFont="1" applyBorder="1" applyAlignment="1">
      <alignment horizontal="center"/>
    </xf>
    <xf numFmtId="1" fontId="13" fillId="0" borderId="13" xfId="0" applyNumberFormat="1" applyFont="1" applyBorder="1"/>
    <xf numFmtId="0" fontId="14" fillId="0" borderId="13" xfId="0" applyFont="1" applyBorder="1" applyAlignment="1">
      <alignment horizontal="center" vertical="center" wrapText="1"/>
    </xf>
    <xf numFmtId="0" fontId="14" fillId="0" borderId="36" xfId="0" applyFont="1" applyBorder="1" applyAlignment="1">
      <alignment horizontal="left" vertical="center" wrapText="1"/>
    </xf>
    <xf numFmtId="0" fontId="13" fillId="0" borderId="37" xfId="0" applyFont="1" applyBorder="1" applyAlignment="1">
      <alignment horizontal="left"/>
    </xf>
    <xf numFmtId="0" fontId="13" fillId="0" borderId="38" xfId="0" applyFont="1" applyBorder="1" applyAlignment="1">
      <alignment horizontal="left"/>
    </xf>
    <xf numFmtId="0" fontId="13" fillId="0" borderId="38" xfId="0" applyFont="1" applyBorder="1"/>
    <xf numFmtId="0" fontId="13" fillId="0" borderId="38" xfId="0" applyFont="1" applyBorder="1" applyAlignment="1">
      <alignment horizontal="center"/>
    </xf>
    <xf numFmtId="1" fontId="13" fillId="0" borderId="38" xfId="0" applyNumberFormat="1" applyFont="1" applyBorder="1"/>
    <xf numFmtId="0" fontId="14" fillId="0" borderId="38" xfId="0" applyFont="1" applyBorder="1" applyAlignment="1">
      <alignment horizontal="center" vertical="center" wrapText="1"/>
    </xf>
    <xf numFmtId="0" fontId="14" fillId="0" borderId="39" xfId="0" applyFont="1" applyBorder="1" applyAlignment="1">
      <alignment horizontal="left" vertical="center" wrapText="1"/>
    </xf>
    <xf numFmtId="0" fontId="15" fillId="0" borderId="0" xfId="0" applyFont="1"/>
    <xf numFmtId="0" fontId="15" fillId="0" borderId="40" xfId="0" applyFont="1" applyBorder="1"/>
    <xf numFmtId="0" fontId="15" fillId="0" borderId="41" xfId="0" applyFont="1" applyBorder="1"/>
    <xf numFmtId="0" fontId="13" fillId="0" borderId="0" xfId="0" quotePrefix="1" applyFont="1"/>
    <xf numFmtId="0" fontId="0" fillId="0" borderId="0" xfId="0" applyAlignment="1">
      <alignment horizontal="center"/>
    </xf>
    <xf numFmtId="0" fontId="0" fillId="0" borderId="0" xfId="0" quotePrefix="1" applyAlignment="1">
      <alignment horizontal="center"/>
    </xf>
    <xf numFmtId="0" fontId="2" fillId="0" borderId="0" xfId="0" applyFont="1"/>
    <xf numFmtId="0" fontId="14" fillId="0" borderId="10" xfId="0" applyFont="1" applyBorder="1" applyAlignment="1">
      <alignment horizontal="left" vertical="center" wrapText="1"/>
    </xf>
    <xf numFmtId="0" fontId="14" fillId="0" borderId="10" xfId="0" applyFont="1" applyBorder="1" applyAlignment="1">
      <alignment horizontal="right" vertical="center" wrapText="1"/>
    </xf>
    <xf numFmtId="0" fontId="14" fillId="4" borderId="43" xfId="0" applyFont="1" applyFill="1" applyBorder="1" applyAlignment="1">
      <alignment horizontal="left" vertical="center" wrapText="1"/>
    </xf>
    <xf numFmtId="0" fontId="14" fillId="4" borderId="10" xfId="0" applyFont="1" applyFill="1" applyBorder="1" applyAlignment="1">
      <alignment horizontal="left" vertical="center" wrapText="1"/>
    </xf>
    <xf numFmtId="0" fontId="14" fillId="4" borderId="10" xfId="0" applyFont="1" applyFill="1" applyBorder="1" applyAlignment="1">
      <alignment horizontal="right" vertical="center" wrapText="1"/>
    </xf>
    <xf numFmtId="0" fontId="14" fillId="0" borderId="43" xfId="0" applyFont="1" applyBorder="1" applyAlignment="1">
      <alignment horizontal="left" vertical="center" wrapText="1"/>
    </xf>
    <xf numFmtId="0" fontId="0" fillId="9" borderId="9" xfId="0" applyFill="1" applyBorder="1"/>
    <xf numFmtId="0" fontId="0" fillId="0" borderId="29" xfId="0" applyBorder="1" applyAlignment="1">
      <alignment horizontal="center"/>
    </xf>
    <xf numFmtId="0" fontId="0" fillId="0" borderId="29" xfId="0" applyBorder="1"/>
    <xf numFmtId="0" fontId="0" fillId="9" borderId="7" xfId="0" applyFill="1" applyBorder="1"/>
    <xf numFmtId="0" fontId="0" fillId="0" borderId="11" xfId="0" applyBorder="1"/>
    <xf numFmtId="0" fontId="0" fillId="0" borderId="9" xfId="0" applyBorder="1"/>
    <xf numFmtId="0" fontId="0" fillId="0" borderId="44" xfId="0" applyBorder="1"/>
    <xf numFmtId="0" fontId="14" fillId="0" borderId="9" xfId="0" applyFont="1" applyBorder="1" applyAlignment="1">
      <alignment horizontal="center" vertical="center" wrapText="1"/>
    </xf>
    <xf numFmtId="0" fontId="0" fillId="0" borderId="7" xfId="0" applyBorder="1"/>
    <xf numFmtId="0" fontId="0" fillId="0" borderId="45" xfId="0" applyBorder="1"/>
    <xf numFmtId="0" fontId="0" fillId="0" borderId="20" xfId="0" applyBorder="1"/>
    <xf numFmtId="0" fontId="0" fillId="0" borderId="46" xfId="0" applyBorder="1"/>
    <xf numFmtId="0" fontId="2" fillId="0" borderId="30" xfId="0" applyFont="1" applyBorder="1"/>
    <xf numFmtId="0" fontId="2" fillId="0" borderId="40" xfId="0" applyFont="1" applyBorder="1"/>
    <xf numFmtId="0" fontId="2" fillId="0" borderId="41" xfId="0" applyFont="1" applyBorder="1"/>
    <xf numFmtId="0" fontId="16" fillId="0" borderId="9" xfId="0" applyFont="1" applyBorder="1" applyAlignment="1">
      <alignment horizontal="center" vertical="center" wrapText="1"/>
    </xf>
    <xf numFmtId="0" fontId="14" fillId="4" borderId="42" xfId="0" applyFont="1" applyFill="1" applyBorder="1" applyAlignment="1">
      <alignment horizontal="center" vertical="center" wrapText="1"/>
    </xf>
    <xf numFmtId="0" fontId="14" fillId="4" borderId="9" xfId="0" applyFont="1" applyFill="1" applyBorder="1" applyAlignment="1">
      <alignment horizontal="center" vertical="center" wrapText="1"/>
    </xf>
    <xf numFmtId="0" fontId="16" fillId="4" borderId="9" xfId="0" applyFont="1" applyFill="1" applyBorder="1" applyAlignment="1">
      <alignment horizontal="center" vertical="center" wrapText="1"/>
    </xf>
    <xf numFmtId="0" fontId="14" fillId="0" borderId="42" xfId="0" applyFont="1" applyBorder="1" applyAlignment="1">
      <alignment horizontal="center" vertical="center" wrapText="1"/>
    </xf>
    <xf numFmtId="0" fontId="14" fillId="0" borderId="0" xfId="0" applyFont="1" applyAlignment="1">
      <alignment horizontal="center" vertical="center" wrapText="1"/>
    </xf>
    <xf numFmtId="0" fontId="16" fillId="0" borderId="0" xfId="0" applyFont="1" applyAlignment="1">
      <alignment horizontal="center" vertical="center"/>
    </xf>
    <xf numFmtId="0" fontId="0" fillId="9" borderId="0" xfId="0" applyFill="1"/>
    <xf numFmtId="0" fontId="16" fillId="0" borderId="11" xfId="0" applyFont="1" applyBorder="1" applyAlignment="1">
      <alignment horizontal="center" vertical="center" wrapText="1"/>
    </xf>
    <xf numFmtId="0" fontId="19" fillId="0" borderId="0" xfId="6"/>
    <xf numFmtId="0" fontId="19" fillId="0" borderId="13" xfId="6" applyBorder="1" applyAlignment="1">
      <alignment horizontal="center"/>
    </xf>
    <xf numFmtId="0" fontId="19" fillId="0" borderId="13" xfId="6" applyBorder="1"/>
    <xf numFmtId="0" fontId="19" fillId="11" borderId="13" xfId="6" applyFill="1" applyBorder="1"/>
    <xf numFmtId="0" fontId="19" fillId="12" borderId="13" xfId="6" applyFill="1" applyBorder="1" applyAlignment="1">
      <alignment horizontal="center"/>
    </xf>
    <xf numFmtId="0" fontId="19" fillId="12" borderId="36" xfId="6" applyFill="1" applyBorder="1" applyAlignment="1">
      <alignment horizontal="center"/>
    </xf>
    <xf numFmtId="0" fontId="19" fillId="0" borderId="0" xfId="6" applyAlignment="1">
      <alignment horizontal="center"/>
    </xf>
    <xf numFmtId="0" fontId="4" fillId="9" borderId="31" xfId="2" applyFont="1" applyFill="1" applyBorder="1" applyAlignment="1">
      <alignment horizontal="center"/>
    </xf>
    <xf numFmtId="0" fontId="3" fillId="0" borderId="31" xfId="2" applyBorder="1" applyAlignment="1">
      <alignment horizontal="center"/>
    </xf>
    <xf numFmtId="2" fontId="3" fillId="0" borderId="0" xfId="2" applyNumberFormat="1"/>
    <xf numFmtId="0" fontId="20" fillId="0" borderId="0" xfId="5" applyFont="1"/>
    <xf numFmtId="0" fontId="11" fillId="0" borderId="0" xfId="5"/>
    <xf numFmtId="0" fontId="20" fillId="0" borderId="0" xfId="5" quotePrefix="1" applyFont="1"/>
    <xf numFmtId="0" fontId="11" fillId="0" borderId="32" xfId="5" applyBorder="1"/>
    <xf numFmtId="0" fontId="11" fillId="0" borderId="23" xfId="5" applyBorder="1"/>
    <xf numFmtId="0" fontId="20" fillId="0" borderId="34" xfId="5" quotePrefix="1" applyFont="1" applyBorder="1"/>
    <xf numFmtId="0" fontId="11" fillId="13" borderId="35" xfId="5" applyFill="1" applyBorder="1"/>
    <xf numFmtId="0" fontId="11" fillId="13" borderId="24" xfId="5" applyFill="1" applyBorder="1"/>
    <xf numFmtId="0" fontId="20" fillId="13" borderId="36" xfId="5" quotePrefix="1" applyFont="1" applyFill="1" applyBorder="1"/>
    <xf numFmtId="0" fontId="11" fillId="0" borderId="35" xfId="5" applyBorder="1"/>
    <xf numFmtId="0" fontId="11" fillId="0" borderId="24" xfId="5" applyBorder="1"/>
    <xf numFmtId="0" fontId="20" fillId="0" borderId="36" xfId="5" quotePrefix="1" applyFont="1" applyBorder="1"/>
    <xf numFmtId="16" fontId="20" fillId="13" borderId="36" xfId="5" quotePrefix="1" applyNumberFormat="1" applyFont="1" applyFill="1" applyBorder="1"/>
    <xf numFmtId="0" fontId="11" fillId="0" borderId="37" xfId="5" applyBorder="1"/>
    <xf numFmtId="0" fontId="20" fillId="0" borderId="39" xfId="5" quotePrefix="1" applyFont="1" applyBorder="1"/>
    <xf numFmtId="0" fontId="12" fillId="0" borderId="32" xfId="5" applyFont="1" applyBorder="1" applyAlignment="1">
      <alignment horizontal="center"/>
    </xf>
    <xf numFmtId="0" fontId="12" fillId="0" borderId="33" xfId="5" applyFont="1" applyBorder="1" applyAlignment="1">
      <alignment horizontal="center"/>
    </xf>
    <xf numFmtId="0" fontId="12" fillId="0" borderId="34" xfId="5" applyFont="1" applyBorder="1" applyAlignment="1">
      <alignment horizontal="center"/>
    </xf>
    <xf numFmtId="0" fontId="12" fillId="0" borderId="37" xfId="5" applyFont="1" applyBorder="1" applyAlignment="1">
      <alignment horizontal="center"/>
    </xf>
    <xf numFmtId="0" fontId="12" fillId="0" borderId="38" xfId="5" applyFont="1" applyBorder="1" applyAlignment="1">
      <alignment horizontal="center"/>
    </xf>
    <xf numFmtId="0" fontId="12" fillId="0" borderId="39" xfId="5" applyFont="1" applyBorder="1" applyAlignment="1">
      <alignment horizontal="center"/>
    </xf>
    <xf numFmtId="0" fontId="20" fillId="0" borderId="23" xfId="5" quotePrefix="1" applyFont="1" applyBorder="1"/>
    <xf numFmtId="0" fontId="20" fillId="13" borderId="24" xfId="5" quotePrefix="1" applyFont="1" applyFill="1" applyBorder="1"/>
    <xf numFmtId="0" fontId="20" fillId="0" borderId="24" xfId="5" quotePrefix="1" applyFont="1" applyBorder="1"/>
    <xf numFmtId="16" fontId="20" fillId="13" borderId="24" xfId="5" quotePrefix="1" applyNumberFormat="1" applyFont="1" applyFill="1" applyBorder="1"/>
    <xf numFmtId="0" fontId="20" fillId="0" borderId="48" xfId="5" quotePrefix="1" applyFont="1" applyBorder="1"/>
    <xf numFmtId="0" fontId="13" fillId="0" borderId="12" xfId="0" applyFont="1" applyBorder="1"/>
    <xf numFmtId="0" fontId="13" fillId="0" borderId="11" xfId="0" applyFont="1" applyBorder="1"/>
    <xf numFmtId="0" fontId="13" fillId="0" borderId="12" xfId="0" quotePrefix="1" applyFont="1" applyBorder="1"/>
    <xf numFmtId="0" fontId="13" fillId="0" borderId="12" xfId="0" applyFont="1" applyBorder="1" applyAlignment="1">
      <alignment horizontal="left"/>
    </xf>
    <xf numFmtId="0" fontId="13" fillId="0" borderId="46" xfId="0" applyFont="1" applyBorder="1"/>
    <xf numFmtId="0" fontId="13" fillId="0" borderId="12" xfId="0" quotePrefix="1" applyFont="1" applyBorder="1" applyAlignment="1">
      <alignment horizontal="left"/>
    </xf>
    <xf numFmtId="0" fontId="13" fillId="0" borderId="11" xfId="0" applyFont="1" applyBorder="1" applyAlignment="1">
      <alignment horizontal="left"/>
    </xf>
    <xf numFmtId="0" fontId="13" fillId="0" borderId="0" xfId="0" applyFont="1" applyAlignment="1">
      <alignment horizontal="left"/>
    </xf>
    <xf numFmtId="0" fontId="13" fillId="0" borderId="0" xfId="0" applyFont="1" applyAlignment="1">
      <alignment horizontal="center"/>
    </xf>
    <xf numFmtId="0" fontId="13" fillId="0" borderId="8" xfId="0" applyFont="1" applyBorder="1"/>
    <xf numFmtId="0" fontId="13" fillId="0" borderId="7" xfId="0" applyFont="1" applyBorder="1"/>
    <xf numFmtId="0" fontId="13" fillId="0" borderId="8" xfId="0" quotePrefix="1" applyFont="1" applyBorder="1"/>
    <xf numFmtId="0" fontId="13" fillId="0" borderId="45" xfId="0" applyFont="1" applyBorder="1"/>
    <xf numFmtId="0" fontId="13" fillId="0" borderId="8" xfId="0" quotePrefix="1" applyFont="1" applyBorder="1" applyAlignment="1">
      <alignment horizontal="left"/>
    </xf>
    <xf numFmtId="0" fontId="13" fillId="0" borderId="8" xfId="0" applyFont="1" applyBorder="1" applyAlignment="1">
      <alignment horizontal="left"/>
    </xf>
    <xf numFmtId="0" fontId="13" fillId="0" borderId="10" xfId="0" applyFont="1" applyBorder="1"/>
    <xf numFmtId="0" fontId="13" fillId="0" borderId="7" xfId="0" applyFont="1" applyBorder="1" applyAlignment="1">
      <alignment horizontal="left"/>
    </xf>
    <xf numFmtId="0" fontId="15" fillId="0" borderId="31" xfId="0" applyFont="1" applyBorder="1"/>
    <xf numFmtId="0" fontId="13" fillId="0" borderId="44" xfId="0" applyFont="1" applyBorder="1"/>
    <xf numFmtId="0" fontId="13" fillId="0" borderId="9" xfId="0" applyFont="1" applyBorder="1"/>
    <xf numFmtId="0" fontId="13" fillId="0" borderId="10" xfId="0" quotePrefix="1" applyFont="1" applyBorder="1"/>
    <xf numFmtId="0" fontId="13" fillId="0" borderId="9" xfId="0" applyFont="1" applyBorder="1" applyAlignment="1">
      <alignment horizontal="left"/>
    </xf>
    <xf numFmtId="0" fontId="15" fillId="0" borderId="30" xfId="0" applyFont="1" applyBorder="1"/>
    <xf numFmtId="0" fontId="15" fillId="0" borderId="31" xfId="0" applyFont="1" applyBorder="1" applyAlignment="1">
      <alignment horizontal="left"/>
    </xf>
    <xf numFmtId="0" fontId="15" fillId="0" borderId="30" xfId="0" applyFont="1" applyBorder="1" applyAlignment="1">
      <alignment horizontal="center"/>
    </xf>
    <xf numFmtId="0" fontId="13" fillId="0" borderId="10" xfId="0" applyFont="1" applyBorder="1" applyAlignment="1">
      <alignment horizontal="left"/>
    </xf>
    <xf numFmtId="0" fontId="13" fillId="0" borderId="31" xfId="0" applyFont="1" applyBorder="1"/>
    <xf numFmtId="0" fontId="15" fillId="0" borderId="31" xfId="0" applyFont="1" applyBorder="1" applyAlignment="1">
      <alignment horizontal="center"/>
    </xf>
    <xf numFmtId="0" fontId="13" fillId="14" borderId="0" xfId="0" applyFont="1" applyFill="1"/>
    <xf numFmtId="0" fontId="13" fillId="0" borderId="49" xfId="0" applyFont="1" applyBorder="1"/>
    <xf numFmtId="0" fontId="15" fillId="0" borderId="12" xfId="0" applyFont="1" applyBorder="1"/>
    <xf numFmtId="0" fontId="15" fillId="0" borderId="50" xfId="0" applyFont="1" applyBorder="1"/>
    <xf numFmtId="0" fontId="15" fillId="0" borderId="28" xfId="0" applyFont="1" applyBorder="1"/>
    <xf numFmtId="0" fontId="15" fillId="0" borderId="27" xfId="0" applyFont="1" applyBorder="1"/>
    <xf numFmtId="0" fontId="15" fillId="0" borderId="51" xfId="0" applyFont="1" applyBorder="1"/>
    <xf numFmtId="0" fontId="15" fillId="0" borderId="51" xfId="0" applyFont="1" applyBorder="1" applyAlignment="1">
      <alignment horizontal="center"/>
    </xf>
    <xf numFmtId="0" fontId="15" fillId="0" borderId="51" xfId="0" applyFont="1" applyBorder="1" applyAlignment="1">
      <alignment horizontal="left"/>
    </xf>
    <xf numFmtId="0" fontId="15" fillId="0" borderId="28" xfId="0" applyFont="1" applyBorder="1" applyAlignment="1">
      <alignment horizontal="center"/>
    </xf>
    <xf numFmtId="0" fontId="15" fillId="0" borderId="8" xfId="0" applyFont="1" applyBorder="1"/>
    <xf numFmtId="0" fontId="21" fillId="0" borderId="0" xfId="0" applyFont="1"/>
    <xf numFmtId="0" fontId="22" fillId="0" borderId="31" xfId="0" applyFont="1" applyBorder="1"/>
    <xf numFmtId="0" fontId="13" fillId="0" borderId="0" xfId="0" applyFont="1" applyAlignment="1">
      <alignment horizontal="right"/>
    </xf>
    <xf numFmtId="0" fontId="22" fillId="0" borderId="46" xfId="0" applyFont="1" applyBorder="1"/>
    <xf numFmtId="0" fontId="22" fillId="0" borderId="20" xfId="0" applyFont="1" applyBorder="1"/>
    <xf numFmtId="0" fontId="22" fillId="15" borderId="52" xfId="0" applyFont="1" applyFill="1" applyBorder="1"/>
    <xf numFmtId="0" fontId="22" fillId="15" borderId="20" xfId="0" applyFont="1" applyFill="1" applyBorder="1" applyAlignment="1">
      <alignment horizontal="center"/>
    </xf>
    <xf numFmtId="0" fontId="22" fillId="15" borderId="53" xfId="0" applyFont="1" applyFill="1" applyBorder="1"/>
    <xf numFmtId="0" fontId="22" fillId="16" borderId="20" xfId="0" applyFont="1" applyFill="1" applyBorder="1"/>
    <xf numFmtId="0" fontId="22" fillId="0" borderId="52" xfId="0" applyFont="1" applyBorder="1" applyAlignment="1">
      <alignment horizontal="center"/>
    </xf>
    <xf numFmtId="0" fontId="22" fillId="0" borderId="20" xfId="0" applyFont="1" applyBorder="1" applyAlignment="1">
      <alignment horizontal="center"/>
    </xf>
    <xf numFmtId="0" fontId="23" fillId="0" borderId="11" xfId="0" applyFont="1" applyBorder="1"/>
    <xf numFmtId="0" fontId="23" fillId="0" borderId="0" xfId="0" applyFont="1"/>
    <xf numFmtId="0" fontId="23" fillId="0" borderId="0" xfId="0" applyFont="1" applyAlignment="1">
      <alignment horizontal="center"/>
    </xf>
    <xf numFmtId="0" fontId="23" fillId="0" borderId="0" xfId="0" applyFont="1" applyAlignment="1">
      <alignment horizontal="left"/>
    </xf>
    <xf numFmtId="1" fontId="23" fillId="0" borderId="0" xfId="0" applyNumberFormat="1" applyFont="1"/>
    <xf numFmtId="0" fontId="23" fillId="0" borderId="45" xfId="0" applyFont="1" applyBorder="1" applyAlignment="1">
      <alignment horizontal="left"/>
    </xf>
    <xf numFmtId="0" fontId="23" fillId="15" borderId="15" xfId="0" applyFont="1" applyFill="1" applyBorder="1" applyAlignment="1">
      <alignment horizontal="left"/>
    </xf>
    <xf numFmtId="0" fontId="23" fillId="15" borderId="49" xfId="0" applyFont="1" applyFill="1" applyBorder="1" applyAlignment="1">
      <alignment horizontal="center"/>
    </xf>
    <xf numFmtId="0" fontId="23" fillId="15" borderId="25" xfId="0" applyFont="1" applyFill="1" applyBorder="1" applyAlignment="1">
      <alignment horizontal="left"/>
    </xf>
    <xf numFmtId="0" fontId="23" fillId="16" borderId="0" xfId="0" applyFont="1" applyFill="1" applyAlignment="1">
      <alignment horizontal="left"/>
    </xf>
    <xf numFmtId="0" fontId="23" fillId="0" borderId="15" xfId="0" applyFont="1" applyBorder="1" applyAlignment="1">
      <alignment horizontal="center"/>
    </xf>
    <xf numFmtId="0" fontId="23" fillId="0" borderId="49" xfId="0" applyFont="1" applyBorder="1" applyAlignment="1">
      <alignment horizontal="center"/>
    </xf>
    <xf numFmtId="0" fontId="23" fillId="0" borderId="54" xfId="0" applyFont="1" applyBorder="1"/>
    <xf numFmtId="0" fontId="23" fillId="0" borderId="0" xfId="0" applyFont="1" applyAlignment="1">
      <alignment horizontal="left" vertical="top"/>
    </xf>
    <xf numFmtId="0" fontId="23" fillId="0" borderId="44" xfId="0" applyFont="1" applyBorder="1"/>
    <xf numFmtId="0" fontId="23" fillId="0" borderId="29" xfId="0" applyFont="1" applyBorder="1"/>
    <xf numFmtId="0" fontId="22" fillId="0" borderId="55" xfId="0" applyFont="1" applyBorder="1"/>
    <xf numFmtId="0" fontId="23" fillId="0" borderId="56" xfId="0" applyFont="1" applyBorder="1"/>
    <xf numFmtId="0" fontId="23" fillId="0" borderId="57" xfId="0" applyFont="1" applyBorder="1"/>
    <xf numFmtId="0" fontId="23" fillId="0" borderId="55" xfId="0" applyFont="1" applyBorder="1"/>
    <xf numFmtId="0" fontId="22" fillId="5" borderId="56" xfId="0" applyFont="1" applyFill="1" applyBorder="1"/>
    <xf numFmtId="0" fontId="23" fillId="5" borderId="56" xfId="0" applyFont="1" applyFill="1" applyBorder="1"/>
    <xf numFmtId="0" fontId="23" fillId="5" borderId="58" xfId="0" applyFont="1" applyFill="1" applyBorder="1"/>
    <xf numFmtId="0" fontId="22" fillId="17" borderId="0" xfId="0" applyFont="1" applyFill="1" applyAlignment="1">
      <alignment horizontal="left" vertical="top"/>
    </xf>
    <xf numFmtId="0" fontId="23" fillId="17" borderId="0" xfId="0" applyFont="1" applyFill="1" applyAlignment="1">
      <alignment horizontal="left" vertical="top"/>
    </xf>
    <xf numFmtId="0" fontId="13" fillId="17" borderId="0" xfId="0" applyFont="1" applyFill="1" applyAlignment="1">
      <alignment horizontal="left" vertical="top"/>
    </xf>
    <xf numFmtId="0" fontId="15" fillId="0" borderId="0" xfId="0" applyFont="1" applyAlignment="1">
      <alignment horizontal="left" vertical="top"/>
    </xf>
    <xf numFmtId="0" fontId="13" fillId="0" borderId="0" xfId="0" applyFont="1" applyAlignment="1">
      <alignment horizontal="left" vertical="top"/>
    </xf>
    <xf numFmtId="0" fontId="15" fillId="17" borderId="0" xfId="0" applyFont="1" applyFill="1" applyAlignment="1">
      <alignment horizontal="left" vertical="top"/>
    </xf>
    <xf numFmtId="0" fontId="13" fillId="16" borderId="0" xfId="0" applyFont="1" applyFill="1" applyAlignment="1">
      <alignment horizontal="right"/>
    </xf>
    <xf numFmtId="0" fontId="13" fillId="16" borderId="12" xfId="0" applyFont="1" applyFill="1" applyBorder="1" applyAlignment="1">
      <alignment horizontal="center"/>
    </xf>
    <xf numFmtId="0" fontId="13" fillId="14" borderId="10" xfId="0" applyFont="1" applyFill="1" applyBorder="1" applyAlignment="1">
      <alignment horizontal="center"/>
    </xf>
    <xf numFmtId="0" fontId="0" fillId="0" borderId="0" xfId="0" applyAlignment="1">
      <alignment horizontal="right"/>
    </xf>
    <xf numFmtId="0" fontId="13" fillId="14" borderId="0" xfId="0" applyFont="1" applyFill="1" applyAlignment="1">
      <alignment horizontal="right"/>
    </xf>
    <xf numFmtId="0" fontId="13" fillId="14" borderId="12" xfId="0" applyFont="1" applyFill="1" applyBorder="1" applyAlignment="1">
      <alignment horizontal="center"/>
    </xf>
    <xf numFmtId="0" fontId="13" fillId="14" borderId="8" xfId="0" applyFont="1" applyFill="1" applyBorder="1" applyAlignment="1">
      <alignment horizontal="center"/>
    </xf>
    <xf numFmtId="0" fontId="13" fillId="16" borderId="28" xfId="0" applyFont="1" applyFill="1" applyBorder="1" applyAlignment="1">
      <alignment horizontal="right"/>
    </xf>
    <xf numFmtId="0" fontId="13" fillId="14" borderId="31" xfId="0" applyFont="1" applyFill="1" applyBorder="1" applyAlignment="1">
      <alignment horizontal="center"/>
    </xf>
    <xf numFmtId="0" fontId="24" fillId="0" borderId="0" xfId="2" applyFont="1"/>
    <xf numFmtId="0" fontId="24" fillId="0" borderId="45" xfId="2" applyFont="1" applyBorder="1" applyAlignment="1">
      <alignment horizontal="center" vertical="top"/>
    </xf>
    <xf numFmtId="0" fontId="24" fillId="0" borderId="7" xfId="2" applyFont="1" applyBorder="1" applyAlignment="1">
      <alignment vertical="top"/>
    </xf>
    <xf numFmtId="0" fontId="24" fillId="0" borderId="45" xfId="2" applyFont="1" applyBorder="1" applyAlignment="1">
      <alignment vertical="top"/>
    </xf>
    <xf numFmtId="1" fontId="24" fillId="0" borderId="22" xfId="2" applyNumberFormat="1" applyFont="1" applyBorder="1" applyAlignment="1">
      <alignment horizontal="center" vertical="top"/>
    </xf>
    <xf numFmtId="0" fontId="24" fillId="0" borderId="59" xfId="2" applyFont="1" applyBorder="1" applyAlignment="1">
      <alignment horizontal="center" vertical="top"/>
    </xf>
    <xf numFmtId="0" fontId="24" fillId="0" borderId="14" xfId="2" applyFont="1" applyBorder="1" applyAlignment="1">
      <alignment horizontal="center" vertical="top"/>
    </xf>
    <xf numFmtId="0" fontId="24" fillId="0" borderId="20" xfId="2" applyFont="1" applyBorder="1" applyAlignment="1">
      <alignment vertical="top"/>
    </xf>
    <xf numFmtId="0" fontId="24" fillId="0" borderId="46" xfId="2" applyFont="1" applyBorder="1" applyAlignment="1">
      <alignment vertical="top"/>
    </xf>
    <xf numFmtId="0" fontId="26" fillId="0" borderId="0" xfId="2" applyFont="1" applyAlignment="1">
      <alignment vertical="center"/>
    </xf>
    <xf numFmtId="0" fontId="26" fillId="0" borderId="0" xfId="2" applyFont="1"/>
    <xf numFmtId="1" fontId="26" fillId="0" borderId="56" xfId="2" applyNumberFormat="1" applyFont="1" applyBorder="1" applyAlignment="1">
      <alignment horizontal="center" vertical="center"/>
    </xf>
    <xf numFmtId="1" fontId="26" fillId="19" borderId="55" xfId="2" applyNumberFormat="1" applyFont="1" applyFill="1" applyBorder="1" applyAlignment="1">
      <alignment horizontal="center" vertical="center"/>
    </xf>
    <xf numFmtId="169" fontId="26" fillId="20" borderId="1" xfId="2" applyNumberFormat="1" applyFont="1" applyFill="1" applyBorder="1" applyAlignment="1">
      <alignment horizontal="center" vertical="center"/>
    </xf>
    <xf numFmtId="1" fontId="26" fillId="20" borderId="1" xfId="2" applyNumberFormat="1" applyFont="1" applyFill="1" applyBorder="1" applyAlignment="1">
      <alignment horizontal="center" vertical="center"/>
    </xf>
    <xf numFmtId="1" fontId="26" fillId="20" borderId="30" xfId="2" applyNumberFormat="1" applyFont="1" applyFill="1" applyBorder="1" applyAlignment="1">
      <alignment horizontal="center" vertical="center"/>
    </xf>
    <xf numFmtId="1" fontId="26" fillId="20" borderId="41" xfId="2" applyNumberFormat="1" applyFont="1" applyFill="1" applyBorder="1" applyAlignment="1">
      <alignment horizontal="center" vertical="center"/>
    </xf>
    <xf numFmtId="1" fontId="26" fillId="19" borderId="11" xfId="2" applyNumberFormat="1" applyFont="1" applyFill="1" applyBorder="1" applyAlignment="1">
      <alignment horizontal="center" vertical="center"/>
    </xf>
    <xf numFmtId="1" fontId="26" fillId="19" borderId="46" xfId="2" applyNumberFormat="1" applyFont="1" applyFill="1" applyBorder="1" applyAlignment="1">
      <alignment horizontal="center" vertical="center"/>
    </xf>
    <xf numFmtId="0" fontId="26" fillId="0" borderId="61" xfId="2" applyFont="1" applyBorder="1" applyAlignment="1">
      <alignment horizontal="center" vertical="center"/>
    </xf>
    <xf numFmtId="0" fontId="26" fillId="19" borderId="29" xfId="2" applyFont="1" applyFill="1" applyBorder="1" applyAlignment="1">
      <alignment horizontal="center" vertical="center"/>
    </xf>
    <xf numFmtId="0" fontId="26" fillId="0" borderId="62" xfId="2" applyFont="1" applyBorder="1" applyAlignment="1">
      <alignment horizontal="center" vertical="center"/>
    </xf>
    <xf numFmtId="0" fontId="26" fillId="0" borderId="44" xfId="2" applyFont="1" applyBorder="1" applyAlignment="1">
      <alignment horizontal="center" vertical="center"/>
    </xf>
    <xf numFmtId="0" fontId="26" fillId="0" borderId="67" xfId="2" applyFont="1" applyBorder="1" applyAlignment="1">
      <alignment horizontal="center"/>
    </xf>
    <xf numFmtId="0" fontId="26" fillId="0" borderId="68" xfId="2" applyFont="1" applyBorder="1" applyAlignment="1">
      <alignment horizontal="center"/>
    </xf>
    <xf numFmtId="0" fontId="26" fillId="19" borderId="69" xfId="2" applyFont="1" applyFill="1" applyBorder="1" applyAlignment="1">
      <alignment horizontal="center"/>
    </xf>
    <xf numFmtId="0" fontId="26" fillId="20" borderId="68" xfId="2" applyFont="1" applyFill="1" applyBorder="1" applyAlignment="1">
      <alignment horizontal="center"/>
    </xf>
    <xf numFmtId="1" fontId="26" fillId="20" borderId="69" xfId="2" applyNumberFormat="1" applyFont="1" applyFill="1" applyBorder="1" applyAlignment="1">
      <alignment horizontal="center"/>
    </xf>
    <xf numFmtId="1" fontId="26" fillId="20" borderId="68" xfId="2" applyNumberFormat="1" applyFont="1" applyFill="1" applyBorder="1" applyAlignment="1">
      <alignment horizontal="center"/>
    </xf>
    <xf numFmtId="1" fontId="26" fillId="0" borderId="68" xfId="2" applyNumberFormat="1" applyFont="1" applyBorder="1" applyAlignment="1">
      <alignment horizontal="center"/>
    </xf>
    <xf numFmtId="1" fontId="26" fillId="19" borderId="66" xfId="2" applyNumberFormat="1" applyFont="1" applyFill="1" applyBorder="1" applyAlignment="1">
      <alignment horizontal="center"/>
    </xf>
    <xf numFmtId="1" fontId="26" fillId="19" borderId="69" xfId="2" applyNumberFormat="1" applyFont="1" applyFill="1" applyBorder="1" applyAlignment="1">
      <alignment horizontal="center"/>
    </xf>
    <xf numFmtId="0" fontId="26" fillId="0" borderId="0" xfId="2" applyFont="1" applyAlignment="1">
      <alignment horizontal="center"/>
    </xf>
    <xf numFmtId="0" fontId="26" fillId="0" borderId="50" xfId="2" applyFont="1" applyBorder="1" applyAlignment="1">
      <alignment horizontal="center"/>
    </xf>
    <xf numFmtId="0" fontId="26" fillId="0" borderId="45" xfId="2" applyFont="1" applyBorder="1"/>
    <xf numFmtId="0" fontId="26" fillId="18" borderId="70" xfId="2" applyFont="1" applyFill="1" applyBorder="1" applyAlignment="1">
      <alignment horizontal="center"/>
    </xf>
    <xf numFmtId="0" fontId="26" fillId="8" borderId="71" xfId="2" applyFont="1" applyFill="1" applyBorder="1" applyAlignment="1">
      <alignment horizontal="center"/>
    </xf>
    <xf numFmtId="0" fontId="26" fillId="18" borderId="71" xfId="2" applyFont="1" applyFill="1" applyBorder="1" applyAlignment="1">
      <alignment horizontal="center"/>
    </xf>
    <xf numFmtId="0" fontId="26" fillId="8" borderId="38" xfId="2" applyFont="1" applyFill="1" applyBorder="1" applyAlignment="1">
      <alignment horizontal="center"/>
    </xf>
    <xf numFmtId="0" fontId="26" fillId="0" borderId="20" xfId="2" applyFont="1" applyBorder="1" applyAlignment="1">
      <alignment horizontal="center"/>
    </xf>
    <xf numFmtId="0" fontId="26" fillId="0" borderId="46" xfId="2" applyFont="1" applyBorder="1"/>
    <xf numFmtId="0" fontId="24" fillId="0" borderId="0" xfId="2" applyFont="1" applyAlignment="1">
      <alignment horizontal="left" vertical="top" wrapText="1"/>
    </xf>
    <xf numFmtId="1" fontId="26" fillId="0" borderId="0" xfId="2" applyNumberFormat="1" applyFont="1" applyAlignment="1">
      <alignment horizontal="center"/>
    </xf>
    <xf numFmtId="1" fontId="26" fillId="0" borderId="7" xfId="2" applyNumberFormat="1" applyFont="1" applyBorder="1" applyAlignment="1">
      <alignment horizontal="center"/>
    </xf>
    <xf numFmtId="1" fontId="26" fillId="0" borderId="28" xfId="2" applyNumberFormat="1" applyFont="1" applyBorder="1" applyAlignment="1">
      <alignment horizontal="center"/>
    </xf>
    <xf numFmtId="0" fontId="26" fillId="18" borderId="50" xfId="2" applyFont="1" applyFill="1" applyBorder="1" applyAlignment="1">
      <alignment horizontal="center"/>
    </xf>
    <xf numFmtId="0" fontId="26" fillId="0" borderId="0" xfId="2" applyFont="1" applyAlignment="1">
      <alignment horizontal="justify" vertical="top" wrapText="1"/>
    </xf>
    <xf numFmtId="0" fontId="24" fillId="0" borderId="9" xfId="2" applyFont="1" applyBorder="1" applyAlignment="1">
      <alignment horizontal="left" vertical="top" wrapText="1"/>
    </xf>
    <xf numFmtId="0" fontId="24" fillId="0" borderId="29" xfId="2" applyFont="1" applyBorder="1" applyAlignment="1">
      <alignment horizontal="left" vertical="top" wrapText="1"/>
    </xf>
    <xf numFmtId="0" fontId="24" fillId="0" borderId="44" xfId="2" applyFont="1" applyBorder="1" applyAlignment="1">
      <alignment horizontal="left" vertical="top" wrapText="1"/>
    </xf>
    <xf numFmtId="0" fontId="26" fillId="0" borderId="29" xfId="2" applyFont="1" applyBorder="1"/>
    <xf numFmtId="0" fontId="26" fillId="0" borderId="10" xfId="2" applyFont="1" applyBorder="1" applyAlignment="1">
      <alignment horizontal="justify" vertical="top" wrapText="1"/>
    </xf>
    <xf numFmtId="0" fontId="24" fillId="0" borderId="7" xfId="2" applyFont="1" applyBorder="1" applyAlignment="1">
      <alignment horizontal="left" vertical="top" wrapText="1"/>
    </xf>
    <xf numFmtId="0" fontId="24" fillId="0" borderId="45" xfId="2" applyFont="1" applyBorder="1" applyAlignment="1">
      <alignment horizontal="left" vertical="top" wrapText="1"/>
    </xf>
    <xf numFmtId="0" fontId="26" fillId="0" borderId="44" xfId="2" applyFont="1" applyBorder="1"/>
    <xf numFmtId="0" fontId="26" fillId="0" borderId="9" xfId="2" applyFont="1" applyBorder="1"/>
    <xf numFmtId="0" fontId="24" fillId="0" borderId="10" xfId="2" applyFont="1" applyBorder="1" applyAlignment="1">
      <alignment horizontal="justify" vertical="center" wrapText="1"/>
    </xf>
    <xf numFmtId="0" fontId="26" fillId="0" borderId="7" xfId="2" applyFont="1" applyBorder="1"/>
    <xf numFmtId="1" fontId="26" fillId="0" borderId="0" xfId="2" applyNumberFormat="1" applyFont="1" applyAlignment="1">
      <alignment horizontal="left"/>
    </xf>
    <xf numFmtId="0" fontId="26" fillId="0" borderId="0" xfId="2" quotePrefix="1" applyFont="1"/>
    <xf numFmtId="0" fontId="26" fillId="0" borderId="11" xfId="2" applyFont="1" applyBorder="1"/>
    <xf numFmtId="1" fontId="26" fillId="0" borderId="29" xfId="2" applyNumberFormat="1" applyFont="1" applyBorder="1" applyAlignment="1">
      <alignment horizontal="center"/>
    </xf>
    <xf numFmtId="0" fontId="26" fillId="0" borderId="72" xfId="2" applyFont="1" applyBorder="1" applyAlignment="1">
      <alignment horizontal="center"/>
    </xf>
    <xf numFmtId="0" fontId="26" fillId="0" borderId="73" xfId="2" applyFont="1" applyBorder="1" applyAlignment="1">
      <alignment horizontal="center"/>
    </xf>
    <xf numFmtId="0" fontId="26" fillId="0" borderId="29" xfId="2" applyFont="1" applyBorder="1" applyAlignment="1">
      <alignment horizontal="center"/>
    </xf>
    <xf numFmtId="0" fontId="26" fillId="0" borderId="44" xfId="2" applyFont="1" applyBorder="1" applyAlignment="1">
      <alignment horizontal="center"/>
    </xf>
    <xf numFmtId="1" fontId="26" fillId="0" borderId="9" xfId="2" applyNumberFormat="1" applyFont="1" applyBorder="1" applyAlignment="1">
      <alignment horizontal="center"/>
    </xf>
    <xf numFmtId="1" fontId="26" fillId="0" borderId="61" xfId="2" applyNumberFormat="1" applyFont="1" applyBorder="1" applyAlignment="1">
      <alignment horizontal="center"/>
    </xf>
    <xf numFmtId="0" fontId="26" fillId="18" borderId="73" xfId="2" applyFont="1" applyFill="1" applyBorder="1" applyAlignment="1">
      <alignment horizontal="center"/>
    </xf>
    <xf numFmtId="0" fontId="26" fillId="0" borderId="51" xfId="2" applyFont="1" applyBorder="1" applyAlignment="1">
      <alignment horizontal="center"/>
    </xf>
    <xf numFmtId="0" fontId="26" fillId="0" borderId="45" xfId="2" applyFont="1" applyBorder="1" applyAlignment="1">
      <alignment horizontal="center"/>
    </xf>
    <xf numFmtId="0" fontId="26" fillId="18" borderId="50" xfId="2" quotePrefix="1" applyFont="1" applyFill="1" applyBorder="1" applyAlignment="1">
      <alignment horizontal="center"/>
    </xf>
    <xf numFmtId="0" fontId="26" fillId="0" borderId="31" xfId="2" applyFont="1" applyBorder="1" applyAlignment="1">
      <alignment horizontal="justify" vertical="top" wrapText="1"/>
    </xf>
    <xf numFmtId="0" fontId="26" fillId="0" borderId="7" xfId="2" quotePrefix="1" applyFont="1" applyBorder="1"/>
    <xf numFmtId="0" fontId="24" fillId="0" borderId="11" xfId="2" applyFont="1" applyBorder="1" applyAlignment="1">
      <alignment horizontal="left" vertical="top" wrapText="1"/>
    </xf>
    <xf numFmtId="0" fontId="24" fillId="0" borderId="20" xfId="2" applyFont="1" applyBorder="1" applyAlignment="1">
      <alignment horizontal="left" vertical="top" wrapText="1"/>
    </xf>
    <xf numFmtId="0" fontId="24" fillId="0" borderId="31" xfId="2" applyFont="1" applyBorder="1" applyAlignment="1">
      <alignment horizontal="justify" vertical="center" wrapText="1"/>
    </xf>
    <xf numFmtId="0" fontId="26" fillId="0" borderId="11" xfId="2" quotePrefix="1" applyFont="1" applyBorder="1"/>
    <xf numFmtId="0" fontId="26" fillId="0" borderId="20" xfId="2" quotePrefix="1" applyFont="1" applyBorder="1"/>
    <xf numFmtId="1" fontId="26" fillId="0" borderId="11" xfId="2" applyNumberFormat="1" applyFont="1" applyBorder="1" applyAlignment="1">
      <alignment horizontal="center"/>
    </xf>
    <xf numFmtId="1" fontId="26" fillId="0" borderId="20" xfId="2" applyNumberFormat="1" applyFont="1" applyBorder="1" applyAlignment="1">
      <alignment horizontal="center"/>
    </xf>
    <xf numFmtId="1" fontId="26" fillId="0" borderId="52" xfId="2" applyNumberFormat="1" applyFont="1" applyBorder="1" applyAlignment="1">
      <alignment horizontal="center"/>
    </xf>
    <xf numFmtId="0" fontId="26" fillId="18" borderId="53" xfId="2" quotePrefix="1" applyFont="1" applyFill="1" applyBorder="1" applyAlignment="1">
      <alignment horizontal="center"/>
    </xf>
    <xf numFmtId="0" fontId="26" fillId="0" borderId="46" xfId="2" applyFont="1" applyBorder="1" applyAlignment="1">
      <alignment horizontal="center"/>
    </xf>
    <xf numFmtId="0" fontId="26" fillId="0" borderId="19" xfId="2" applyFont="1" applyBorder="1" applyAlignment="1">
      <alignment horizontal="center"/>
    </xf>
    <xf numFmtId="0" fontId="26" fillId="0" borderId="21" xfId="2" applyFont="1" applyBorder="1" applyAlignment="1">
      <alignment horizontal="center"/>
    </xf>
    <xf numFmtId="1" fontId="26" fillId="0" borderId="21" xfId="2" applyNumberFormat="1" applyFont="1" applyBorder="1" applyAlignment="1">
      <alignment horizontal="center"/>
    </xf>
    <xf numFmtId="0" fontId="26" fillId="0" borderId="40" xfId="2" applyFont="1" applyBorder="1" applyAlignment="1">
      <alignment horizontal="center"/>
    </xf>
    <xf numFmtId="0" fontId="26" fillId="0" borderId="40" xfId="2" applyFont="1" applyBorder="1"/>
    <xf numFmtId="0" fontId="26" fillId="0" borderId="41" xfId="2" applyFont="1" applyBorder="1" applyAlignment="1">
      <alignment horizontal="center"/>
    </xf>
    <xf numFmtId="0" fontId="14" fillId="0" borderId="0" xfId="0" applyFont="1"/>
    <xf numFmtId="0" fontId="14" fillId="0" borderId="46" xfId="0" applyFont="1" applyBorder="1" applyAlignment="1">
      <alignment horizontal="left" vertical="center"/>
    </xf>
    <xf numFmtId="0" fontId="14" fillId="0" borderId="20" xfId="0" applyFont="1" applyBorder="1" applyAlignment="1">
      <alignment horizontal="left" vertical="center"/>
    </xf>
    <xf numFmtId="0" fontId="14" fillId="0" borderId="11" xfId="0" applyFont="1" applyBorder="1" applyAlignment="1">
      <alignment horizontal="left" vertical="center"/>
    </xf>
    <xf numFmtId="0" fontId="14" fillId="0" borderId="0" xfId="0" applyFont="1" applyAlignment="1">
      <alignment vertical="center"/>
    </xf>
    <xf numFmtId="0" fontId="14" fillId="16" borderId="0" xfId="0" applyFont="1" applyFill="1" applyAlignment="1">
      <alignment horizontal="left" vertical="center"/>
    </xf>
    <xf numFmtId="0" fontId="14" fillId="16" borderId="7" xfId="0" applyFont="1" applyFill="1" applyBorder="1" applyAlignment="1">
      <alignment horizontal="justify" vertical="center"/>
    </xf>
    <xf numFmtId="0" fontId="14" fillId="0" borderId="45" xfId="0" applyFont="1" applyBorder="1" applyAlignment="1">
      <alignment horizontal="left" vertical="center"/>
    </xf>
    <xf numFmtId="0" fontId="14" fillId="0" borderId="0" xfId="0" applyFont="1" applyAlignment="1" applyProtection="1">
      <alignment horizontal="left" vertical="center"/>
      <protection locked="0"/>
    </xf>
    <xf numFmtId="0" fontId="14" fillId="0" borderId="0" xfId="0" applyFont="1" applyAlignment="1">
      <alignment horizontal="left" vertical="center"/>
    </xf>
    <xf numFmtId="0" fontId="14" fillId="0" borderId="7" xfId="0" applyFont="1" applyBorder="1" applyAlignment="1">
      <alignment vertical="center"/>
    </xf>
    <xf numFmtId="0" fontId="14" fillId="21" borderId="44" xfId="0" applyFont="1" applyFill="1" applyBorder="1" applyAlignment="1">
      <alignment horizontal="justify" vertical="center"/>
    </xf>
    <xf numFmtId="0" fontId="14" fillId="21" borderId="29" xfId="0" applyFont="1" applyFill="1" applyBorder="1" applyAlignment="1">
      <alignment horizontal="justify" vertical="center"/>
    </xf>
    <xf numFmtId="0" fontId="14" fillId="21" borderId="29" xfId="0" applyFont="1" applyFill="1" applyBorder="1" applyAlignment="1">
      <alignment vertical="center"/>
    </xf>
    <xf numFmtId="0" fontId="16" fillId="21" borderId="29" xfId="0" applyFont="1" applyFill="1" applyBorder="1" applyAlignment="1">
      <alignment horizontal="justify" vertical="center"/>
    </xf>
    <xf numFmtId="0" fontId="14" fillId="21" borderId="9" xfId="0" applyFont="1" applyFill="1" applyBorder="1" applyAlignment="1">
      <alignment vertical="center"/>
    </xf>
    <xf numFmtId="0" fontId="16" fillId="18" borderId="44" xfId="0" applyFont="1" applyFill="1" applyBorder="1" applyAlignment="1">
      <alignment horizontal="left" vertical="center"/>
    </xf>
    <xf numFmtId="0" fontId="14" fillId="18" borderId="29" xfId="0" applyFont="1" applyFill="1" applyBorder="1" applyAlignment="1">
      <alignment horizontal="left" vertical="center"/>
    </xf>
    <xf numFmtId="0" fontId="14" fillId="18" borderId="29" xfId="0" applyFont="1" applyFill="1" applyBorder="1" applyAlignment="1">
      <alignment vertical="center"/>
    </xf>
    <xf numFmtId="0" fontId="14" fillId="18" borderId="9" xfId="0" applyFont="1" applyFill="1" applyBorder="1" applyAlignment="1">
      <alignment vertical="center"/>
    </xf>
    <xf numFmtId="0" fontId="17" fillId="0" borderId="46" xfId="0" applyFont="1" applyBorder="1" applyAlignment="1">
      <alignment vertical="center"/>
    </xf>
    <xf numFmtId="0" fontId="17" fillId="0" borderId="45" xfId="0" applyFont="1" applyBorder="1" applyAlignment="1">
      <alignment horizontal="left" vertical="center"/>
    </xf>
    <xf numFmtId="0" fontId="17" fillId="0" borderId="7" xfId="0" applyFont="1" applyBorder="1" applyAlignment="1">
      <alignment horizontal="left" vertical="center"/>
    </xf>
    <xf numFmtId="0" fontId="17" fillId="0" borderId="44" xfId="0" applyFont="1" applyBorder="1" applyAlignment="1">
      <alignment horizontal="justify" vertical="center"/>
    </xf>
    <xf numFmtId="0" fontId="14" fillId="0" borderId="46" xfId="0" applyFont="1" applyBorder="1"/>
    <xf numFmtId="0" fontId="14" fillId="0" borderId="45" xfId="0" applyFont="1" applyBorder="1"/>
    <xf numFmtId="0" fontId="14" fillId="0" borderId="44" xfId="0" applyFont="1" applyBorder="1"/>
    <xf numFmtId="0" fontId="14" fillId="0" borderId="41" xfId="0" applyFont="1" applyBorder="1"/>
    <xf numFmtId="0" fontId="14" fillId="0" borderId="0" xfId="0" applyFont="1" applyAlignment="1">
      <alignment horizontal="center"/>
    </xf>
    <xf numFmtId="0" fontId="15" fillId="0" borderId="13" xfId="0" applyFont="1" applyBorder="1"/>
    <xf numFmtId="0" fontId="15" fillId="0" borderId="0" xfId="0" applyFont="1" applyAlignment="1">
      <alignment horizontal="center"/>
    </xf>
    <xf numFmtId="0" fontId="21" fillId="0" borderId="46" xfId="0" applyFont="1" applyBorder="1"/>
    <xf numFmtId="0" fontId="21" fillId="0" borderId="20" xfId="0" applyFont="1" applyBorder="1"/>
    <xf numFmtId="0" fontId="13" fillId="0" borderId="20" xfId="0" applyFont="1" applyBorder="1"/>
    <xf numFmtId="0" fontId="13" fillId="0" borderId="20" xfId="0" applyFont="1" applyBorder="1" applyAlignment="1">
      <alignment horizontal="center"/>
    </xf>
    <xf numFmtId="0" fontId="13" fillId="0" borderId="20" xfId="0" applyFont="1" applyBorder="1" applyAlignment="1">
      <alignment horizontal="left"/>
    </xf>
    <xf numFmtId="0" fontId="15" fillId="0" borderId="46" xfId="0" applyFont="1" applyBorder="1" applyAlignment="1">
      <alignment horizontal="center"/>
    </xf>
    <xf numFmtId="0" fontId="15" fillId="0" borderId="20" xfId="0" applyFont="1" applyBorder="1" applyAlignment="1">
      <alignment horizontal="center"/>
    </xf>
    <xf numFmtId="0" fontId="15" fillId="0" borderId="20" xfId="0" applyFont="1" applyBorder="1" applyAlignment="1">
      <alignment horizontal="left"/>
    </xf>
    <xf numFmtId="0" fontId="15" fillId="0" borderId="52" xfId="0" applyFont="1" applyBorder="1" applyAlignment="1">
      <alignment horizontal="left"/>
    </xf>
    <xf numFmtId="0" fontId="13" fillId="22" borderId="20" xfId="0" applyFont="1" applyFill="1" applyBorder="1"/>
    <xf numFmtId="0" fontId="13" fillId="22" borderId="11" xfId="0" applyFont="1" applyFill="1" applyBorder="1"/>
    <xf numFmtId="0" fontId="28" fillId="0" borderId="0" xfId="0" quotePrefix="1" applyFont="1" applyAlignment="1">
      <alignment horizontal="left"/>
    </xf>
    <xf numFmtId="0" fontId="15" fillId="23" borderId="0" xfId="0" applyFont="1" applyFill="1" applyAlignment="1">
      <alignment horizontal="left" vertical="top" wrapText="1"/>
    </xf>
    <xf numFmtId="0" fontId="13" fillId="0" borderId="45" xfId="0" applyFont="1" applyBorder="1" applyAlignment="1">
      <alignment horizontal="center"/>
    </xf>
    <xf numFmtId="0" fontId="13" fillId="0" borderId="27" xfId="0" applyFont="1" applyBorder="1"/>
    <xf numFmtId="0" fontId="13" fillId="0" borderId="15" xfId="0" applyFont="1" applyBorder="1"/>
    <xf numFmtId="0" fontId="15" fillId="0" borderId="0" xfId="0" applyFont="1" applyAlignment="1">
      <alignment horizontal="left"/>
    </xf>
    <xf numFmtId="0" fontId="13" fillId="0" borderId="0" xfId="0" applyFont="1" applyAlignment="1">
      <alignment horizontal="left" vertical="top" wrapText="1"/>
    </xf>
    <xf numFmtId="0" fontId="13" fillId="17" borderId="0" xfId="0" applyFont="1" applyFill="1" applyAlignment="1">
      <alignment horizontal="left" vertical="top" wrapText="1"/>
    </xf>
    <xf numFmtId="0" fontId="15" fillId="0" borderId="77" xfId="0" applyFont="1" applyBorder="1" applyAlignment="1">
      <alignment horizontal="left"/>
    </xf>
    <xf numFmtId="0" fontId="13" fillId="0" borderId="66" xfId="0" applyFont="1" applyBorder="1"/>
    <xf numFmtId="0" fontId="15" fillId="0" borderId="27" xfId="0" applyFont="1" applyBorder="1" applyAlignment="1">
      <alignment horizontal="left"/>
    </xf>
    <xf numFmtId="0" fontId="29" fillId="0" borderId="15" xfId="0" applyFont="1" applyBorder="1"/>
    <xf numFmtId="0" fontId="13" fillId="0" borderId="25" xfId="0" applyFont="1" applyBorder="1"/>
    <xf numFmtId="0" fontId="15" fillId="0" borderId="69" xfId="0" applyFont="1" applyBorder="1" applyAlignment="1">
      <alignment horizontal="left"/>
    </xf>
    <xf numFmtId="0" fontId="13" fillId="0" borderId="68" xfId="0" applyFont="1" applyBorder="1" applyAlignment="1">
      <alignment horizontal="left"/>
    </xf>
    <xf numFmtId="0" fontId="13" fillId="0" borderId="67" xfId="0" applyFont="1" applyBorder="1" applyAlignment="1">
      <alignment horizontal="left"/>
    </xf>
    <xf numFmtId="1" fontId="13" fillId="0" borderId="0" xfId="0" applyNumberFormat="1" applyFont="1" applyAlignment="1">
      <alignment horizontal="left"/>
    </xf>
    <xf numFmtId="1" fontId="13" fillId="0" borderId="0" xfId="0" applyNumberFormat="1" applyFont="1" applyAlignment="1">
      <alignment horizontal="center"/>
    </xf>
    <xf numFmtId="0" fontId="13" fillId="0" borderId="73" xfId="0" applyFont="1" applyBorder="1"/>
    <xf numFmtId="0" fontId="13" fillId="0" borderId="29" xfId="0" applyFont="1" applyBorder="1"/>
    <xf numFmtId="0" fontId="13" fillId="0" borderId="57" xfId="0" applyFont="1" applyBorder="1"/>
    <xf numFmtId="170" fontId="13" fillId="0" borderId="72" xfId="0" applyNumberFormat="1" applyFont="1" applyBorder="1" applyAlignment="1">
      <alignment horizontal="left"/>
    </xf>
    <xf numFmtId="171" fontId="13" fillId="5" borderId="61" xfId="0" applyNumberFormat="1" applyFont="1" applyFill="1" applyBorder="1" applyAlignment="1">
      <alignment horizontal="left"/>
    </xf>
    <xf numFmtId="171" fontId="13" fillId="5" borderId="29" xfId="0" applyNumberFormat="1" applyFont="1" applyFill="1" applyBorder="1" applyAlignment="1">
      <alignment horizontal="left"/>
    </xf>
    <xf numFmtId="171" fontId="13" fillId="5" borderId="9" xfId="0" applyNumberFormat="1" applyFont="1" applyFill="1" applyBorder="1" applyAlignment="1">
      <alignment horizontal="left"/>
    </xf>
    <xf numFmtId="172" fontId="13" fillId="0" borderId="0" xfId="0" applyNumberFormat="1" applyFont="1"/>
    <xf numFmtId="2" fontId="13" fillId="0" borderId="0" xfId="0" applyNumberFormat="1" applyFont="1" applyAlignment="1">
      <alignment horizontal="center"/>
    </xf>
    <xf numFmtId="0" fontId="13" fillId="23" borderId="0" xfId="0" applyFont="1" applyFill="1" applyAlignment="1">
      <alignment horizontal="left" vertical="top" wrapText="1"/>
    </xf>
    <xf numFmtId="168" fontId="13" fillId="0" borderId="0" xfId="0" applyNumberFormat="1" applyFont="1" applyAlignment="1">
      <alignment horizontal="left"/>
    </xf>
    <xf numFmtId="1" fontId="13" fillId="0" borderId="0" xfId="0" applyNumberFormat="1" applyFont="1"/>
    <xf numFmtId="0" fontId="23" fillId="0" borderId="22" xfId="0" applyFont="1" applyBorder="1"/>
    <xf numFmtId="0" fontId="23" fillId="0" borderId="59" xfId="0" applyFont="1" applyBorder="1"/>
    <xf numFmtId="0" fontId="23" fillId="0" borderId="14" xfId="0" applyFont="1" applyBorder="1"/>
    <xf numFmtId="0" fontId="22" fillId="0" borderId="0" xfId="0" applyFont="1"/>
    <xf numFmtId="0" fontId="30" fillId="0" borderId="0" xfId="0" applyFont="1"/>
    <xf numFmtId="0" fontId="30" fillId="0" borderId="0" xfId="0" applyFont="1" applyAlignment="1">
      <alignment horizontal="center"/>
    </xf>
    <xf numFmtId="0" fontId="30" fillId="6" borderId="0" xfId="0" applyFont="1" applyFill="1"/>
    <xf numFmtId="0" fontId="30" fillId="6" borderId="0" xfId="0" applyFont="1" applyFill="1" applyAlignment="1">
      <alignment horizontal="right"/>
    </xf>
    <xf numFmtId="0" fontId="30" fillId="0" borderId="9" xfId="0" applyFont="1" applyBorder="1" applyAlignment="1">
      <alignment horizontal="center"/>
    </xf>
    <xf numFmtId="0" fontId="30" fillId="0" borderId="29" xfId="0" applyFont="1" applyBorder="1" applyAlignment="1">
      <alignment horizontal="center"/>
    </xf>
    <xf numFmtId="0" fontId="30" fillId="5" borderId="10" xfId="0" applyFont="1" applyFill="1" applyBorder="1" applyAlignment="1">
      <alignment horizontal="center"/>
    </xf>
    <xf numFmtId="0" fontId="30" fillId="0" borderId="0" xfId="0" applyFont="1" applyAlignment="1">
      <alignment horizontal="right"/>
    </xf>
    <xf numFmtId="0" fontId="30" fillId="0" borderId="7" xfId="0" applyFont="1" applyBorder="1" applyAlignment="1">
      <alignment horizontal="center"/>
    </xf>
    <xf numFmtId="0" fontId="30" fillId="5" borderId="8" xfId="0" applyFont="1" applyFill="1" applyBorder="1" applyAlignment="1">
      <alignment horizontal="center"/>
    </xf>
    <xf numFmtId="0" fontId="30" fillId="0" borderId="10" xfId="0" applyFont="1" applyBorder="1" applyAlignment="1">
      <alignment horizontal="center"/>
    </xf>
    <xf numFmtId="0" fontId="30" fillId="0" borderId="12" xfId="0" applyFont="1" applyBorder="1" applyAlignment="1">
      <alignment horizontal="center"/>
    </xf>
    <xf numFmtId="0" fontId="30" fillId="24" borderId="31" xfId="0" applyFont="1" applyFill="1" applyBorder="1" applyAlignment="1">
      <alignment horizontal="center"/>
    </xf>
    <xf numFmtId="0" fontId="30" fillId="0" borderId="40" xfId="0" applyFont="1" applyBorder="1"/>
    <xf numFmtId="0" fontId="30" fillId="5" borderId="31" xfId="0" applyFont="1" applyFill="1" applyBorder="1"/>
    <xf numFmtId="0" fontId="31" fillId="5" borderId="0" xfId="0" applyFont="1" applyFill="1" applyAlignment="1">
      <alignment horizontal="right"/>
    </xf>
    <xf numFmtId="0" fontId="32" fillId="0" borderId="10" xfId="0" applyFont="1" applyBorder="1" applyAlignment="1">
      <alignment horizontal="center"/>
    </xf>
    <xf numFmtId="0" fontId="32" fillId="21" borderId="10" xfId="0" applyFont="1" applyFill="1" applyBorder="1"/>
    <xf numFmtId="0" fontId="30" fillId="0" borderId="8" xfId="0" applyFont="1" applyBorder="1" applyAlignment="1">
      <alignment horizontal="center"/>
    </xf>
    <xf numFmtId="0" fontId="30" fillId="21" borderId="8" xfId="0" applyFont="1" applyFill="1" applyBorder="1" applyAlignment="1">
      <alignment horizontal="center"/>
    </xf>
    <xf numFmtId="0" fontId="30" fillId="10" borderId="0" xfId="0" applyFont="1" applyFill="1" applyAlignment="1">
      <alignment horizontal="center"/>
    </xf>
    <xf numFmtId="0" fontId="30" fillId="0" borderId="12" xfId="0" applyFont="1" applyBorder="1"/>
    <xf numFmtId="0" fontId="30" fillId="21" borderId="12" xfId="0" applyFont="1" applyFill="1" applyBorder="1"/>
    <xf numFmtId="0" fontId="30" fillId="24" borderId="12" xfId="0" applyFont="1" applyFill="1" applyBorder="1" applyAlignment="1">
      <alignment horizontal="center"/>
    </xf>
    <xf numFmtId="0" fontId="30" fillId="0" borderId="30" xfId="0" applyFont="1" applyBorder="1"/>
    <xf numFmtId="0" fontId="30" fillId="0" borderId="44" xfId="0" applyFont="1" applyBorder="1" applyAlignment="1">
      <alignment horizontal="center"/>
    </xf>
    <xf numFmtId="0" fontId="30" fillId="24" borderId="44" xfId="0" applyFont="1" applyFill="1" applyBorder="1"/>
    <xf numFmtId="0" fontId="30" fillId="0" borderId="45" xfId="0" applyFont="1" applyBorder="1" applyAlignment="1">
      <alignment horizontal="center"/>
    </xf>
    <xf numFmtId="0" fontId="30" fillId="24" borderId="45" xfId="0" applyFont="1" applyFill="1" applyBorder="1" applyAlignment="1">
      <alignment horizontal="right"/>
    </xf>
    <xf numFmtId="0" fontId="30" fillId="25" borderId="45" xfId="0" applyFont="1" applyFill="1" applyBorder="1" applyAlignment="1">
      <alignment horizontal="center"/>
    </xf>
    <xf numFmtId="0" fontId="30" fillId="0" borderId="11" xfId="0" applyFont="1" applyBorder="1" applyAlignment="1">
      <alignment horizontal="center"/>
    </xf>
    <xf numFmtId="0" fontId="30" fillId="0" borderId="20" xfId="0" applyFont="1" applyBorder="1" applyAlignment="1">
      <alignment horizontal="center"/>
    </xf>
    <xf numFmtId="0" fontId="30" fillId="0" borderId="46" xfId="0" applyFont="1" applyBorder="1" applyAlignment="1">
      <alignment horizontal="center"/>
    </xf>
    <xf numFmtId="0" fontId="30" fillId="9" borderId="31" xfId="0" applyFont="1" applyFill="1" applyBorder="1" applyAlignment="1">
      <alignment horizontal="center"/>
    </xf>
    <xf numFmtId="0" fontId="30" fillId="0" borderId="41" xfId="0" applyFont="1" applyBorder="1"/>
    <xf numFmtId="0" fontId="30" fillId="25" borderId="41" xfId="0" applyFont="1" applyFill="1" applyBorder="1"/>
    <xf numFmtId="0" fontId="31" fillId="25" borderId="31" xfId="0" applyFont="1" applyFill="1" applyBorder="1" applyAlignment="1">
      <alignment horizontal="right"/>
    </xf>
    <xf numFmtId="0" fontId="32" fillId="5" borderId="10" xfId="0" applyFont="1" applyFill="1" applyBorder="1"/>
    <xf numFmtId="0" fontId="30" fillId="5" borderId="12" xfId="0" applyFont="1" applyFill="1" applyBorder="1"/>
    <xf numFmtId="0" fontId="30" fillId="9" borderId="12" xfId="0" applyFont="1" applyFill="1" applyBorder="1" applyAlignment="1">
      <alignment horizontal="center"/>
    </xf>
    <xf numFmtId="0" fontId="30" fillId="0" borderId="0" xfId="0" quotePrefix="1" applyFont="1"/>
    <xf numFmtId="0" fontId="13" fillId="0" borderId="10" xfId="0" applyFont="1" applyBorder="1" applyAlignment="1">
      <alignment horizontal="center"/>
    </xf>
    <xf numFmtId="0" fontId="13" fillId="0" borderId="31" xfId="0" applyFont="1" applyBorder="1" applyAlignment="1">
      <alignment horizontal="justify" vertical="center"/>
    </xf>
    <xf numFmtId="0" fontId="13" fillId="17" borderId="9" xfId="0" applyFont="1" applyFill="1" applyBorder="1" applyAlignment="1">
      <alignment horizontal="justify" vertical="center"/>
    </xf>
    <xf numFmtId="0" fontId="13" fillId="0" borderId="49" xfId="0" applyFont="1" applyBorder="1" applyAlignment="1">
      <alignment horizontal="center"/>
    </xf>
    <xf numFmtId="0" fontId="14" fillId="0" borderId="49" xfId="0" applyFont="1" applyBorder="1" applyAlignment="1">
      <alignment horizontal="justify" vertical="center" wrapText="1"/>
    </xf>
    <xf numFmtId="0" fontId="13" fillId="0" borderId="9" xfId="0" applyFont="1" applyBorder="1" applyAlignment="1">
      <alignment horizontal="justify" vertical="center"/>
    </xf>
    <xf numFmtId="0" fontId="14" fillId="0" borderId="0" xfId="0" applyFont="1" applyAlignment="1">
      <alignment horizontal="justify" vertical="center" wrapText="1"/>
    </xf>
    <xf numFmtId="0" fontId="13" fillId="0" borderId="30" xfId="0" applyFont="1" applyBorder="1" applyAlignment="1">
      <alignment horizontal="justify" vertical="center"/>
    </xf>
    <xf numFmtId="0" fontId="13" fillId="17" borderId="10" xfId="0" applyFont="1" applyFill="1" applyBorder="1" applyAlignment="1">
      <alignment horizontal="justify" vertical="center"/>
    </xf>
    <xf numFmtId="0" fontId="13" fillId="0" borderId="10" xfId="0" applyFont="1" applyBorder="1" applyAlignment="1">
      <alignment horizontal="justify" vertical="center"/>
    </xf>
    <xf numFmtId="0" fontId="13" fillId="0" borderId="31" xfId="0" applyFont="1" applyBorder="1" applyAlignment="1">
      <alignment horizontal="center"/>
    </xf>
    <xf numFmtId="0" fontId="13" fillId="0" borderId="0" xfId="0" applyFont="1" applyAlignment="1">
      <alignment horizontal="center" vertical="center" wrapText="1"/>
    </xf>
    <xf numFmtId="0" fontId="0" fillId="20" borderId="9" xfId="0" applyFill="1" applyBorder="1" applyAlignment="1">
      <alignment horizontal="left"/>
    </xf>
    <xf numFmtId="0" fontId="0" fillId="20" borderId="44" xfId="0" applyFill="1" applyBorder="1" applyAlignment="1">
      <alignment horizontal="center"/>
    </xf>
    <xf numFmtId="0" fontId="0" fillId="20" borderId="44" xfId="0" applyFill="1" applyBorder="1"/>
    <xf numFmtId="0" fontId="0" fillId="20" borderId="11" xfId="0" applyFill="1" applyBorder="1" applyAlignment="1">
      <alignment horizontal="left"/>
    </xf>
    <xf numFmtId="0" fontId="0" fillId="20" borderId="46" xfId="0" applyFill="1" applyBorder="1" applyAlignment="1">
      <alignment horizontal="center"/>
    </xf>
    <xf numFmtId="0" fontId="0" fillId="20" borderId="46" xfId="0" applyFill="1" applyBorder="1"/>
    <xf numFmtId="0" fontId="0" fillId="20" borderId="0" xfId="0" applyFill="1"/>
    <xf numFmtId="0" fontId="0" fillId="0" borderId="46" xfId="0" applyBorder="1" applyAlignment="1">
      <alignment horizontal="center"/>
    </xf>
    <xf numFmtId="0" fontId="0" fillId="21" borderId="0" xfId="0" applyFill="1" applyAlignment="1">
      <alignment horizontal="center"/>
    </xf>
    <xf numFmtId="0" fontId="0" fillId="21" borderId="30" xfId="0" applyFill="1" applyBorder="1" applyAlignment="1">
      <alignment horizontal="left"/>
    </xf>
    <xf numFmtId="0" fontId="0" fillId="21" borderId="40" xfId="0" applyFill="1" applyBorder="1" applyAlignment="1">
      <alignment horizontal="center"/>
    </xf>
    <xf numFmtId="0" fontId="0" fillId="21" borderId="41" xfId="0" applyFill="1" applyBorder="1"/>
    <xf numFmtId="0" fontId="0" fillId="21" borderId="0" xfId="0" applyFill="1"/>
    <xf numFmtId="0" fontId="0" fillId="6" borderId="30" xfId="0" applyFill="1" applyBorder="1" applyAlignment="1">
      <alignment horizontal="center"/>
    </xf>
    <xf numFmtId="0" fontId="0" fillId="6" borderId="40" xfId="0" applyFill="1" applyBorder="1" applyAlignment="1">
      <alignment horizontal="center"/>
    </xf>
    <xf numFmtId="0" fontId="0" fillId="6" borderId="41" xfId="0" applyFill="1" applyBorder="1" applyAlignment="1">
      <alignment horizontal="center"/>
    </xf>
    <xf numFmtId="0" fontId="0" fillId="6" borderId="0" xfId="0" applyFill="1"/>
    <xf numFmtId="0" fontId="0" fillId="5" borderId="46" xfId="0" applyFill="1" applyBorder="1" applyAlignment="1">
      <alignment horizontal="center"/>
    </xf>
    <xf numFmtId="0" fontId="0" fillId="5" borderId="0" xfId="0" applyFill="1" applyAlignment="1">
      <alignment horizontal="center"/>
    </xf>
    <xf numFmtId="0" fontId="0" fillId="0" borderId="30" xfId="0" applyBorder="1" applyAlignment="1">
      <alignment horizontal="center"/>
    </xf>
    <xf numFmtId="0" fontId="0" fillId="0" borderId="41" xfId="0" applyBorder="1"/>
    <xf numFmtId="0" fontId="0" fillId="0" borderId="7" xfId="0" applyBorder="1" applyAlignment="1">
      <alignment horizontal="left"/>
    </xf>
    <xf numFmtId="0" fontId="0" fillId="0" borderId="11" xfId="0" applyBorder="1" applyAlignment="1">
      <alignment horizontal="left"/>
    </xf>
    <xf numFmtId="0" fontId="0" fillId="0" borderId="20" xfId="0" applyBorder="1" applyAlignment="1">
      <alignment horizontal="center"/>
    </xf>
    <xf numFmtId="0" fontId="13" fillId="0" borderId="45" xfId="0" applyFont="1" applyBorder="1" applyAlignment="1">
      <alignment horizontal="left"/>
    </xf>
    <xf numFmtId="0" fontId="15" fillId="0" borderId="16" xfId="0" applyFont="1" applyBorder="1"/>
    <xf numFmtId="0" fontId="13" fillId="0" borderId="44" xfId="0" applyFont="1" applyBorder="1" applyAlignment="1">
      <alignment horizontal="left"/>
    </xf>
    <xf numFmtId="0" fontId="13" fillId="0" borderId="49" xfId="0" quotePrefix="1" applyFont="1" applyBorder="1"/>
    <xf numFmtId="0" fontId="13" fillId="14" borderId="12" xfId="0" applyFont="1" applyFill="1" applyBorder="1"/>
    <xf numFmtId="0" fontId="13" fillId="14" borderId="8" xfId="0" applyFont="1" applyFill="1" applyBorder="1"/>
    <xf numFmtId="0" fontId="13" fillId="14" borderId="10" xfId="0" applyFont="1" applyFill="1" applyBorder="1"/>
    <xf numFmtId="0" fontId="15" fillId="0" borderId="13" xfId="0" applyFont="1" applyBorder="1" applyAlignment="1">
      <alignment horizontal="center"/>
    </xf>
    <xf numFmtId="0" fontId="13" fillId="0" borderId="27" xfId="0" applyFont="1" applyBorder="1" applyAlignment="1">
      <alignment horizontal="center"/>
    </xf>
    <xf numFmtId="0" fontId="21" fillId="0" borderId="14" xfId="0" applyFont="1" applyBorder="1"/>
    <xf numFmtId="0" fontId="21" fillId="0" borderId="22" xfId="0" applyFont="1" applyBorder="1"/>
    <xf numFmtId="0" fontId="13" fillId="0" borderId="14" xfId="0" applyFont="1" applyBorder="1"/>
    <xf numFmtId="0" fontId="13" fillId="0" borderId="22" xfId="0" applyFont="1" applyBorder="1"/>
    <xf numFmtId="0" fontId="13" fillId="0" borderId="8" xfId="0" applyFont="1" applyBorder="1" applyAlignment="1">
      <alignment horizontal="center"/>
    </xf>
    <xf numFmtId="173" fontId="13" fillId="0" borderId="22" xfId="0" applyNumberFormat="1" applyFont="1" applyBorder="1" applyAlignment="1">
      <alignment horizontal="left"/>
    </xf>
    <xf numFmtId="0" fontId="13" fillId="0" borderId="41" xfId="0" applyFont="1" applyBorder="1" applyAlignment="1">
      <alignment horizontal="left"/>
    </xf>
    <xf numFmtId="0" fontId="13" fillId="0" borderId="40" xfId="0" applyFont="1" applyBorder="1" applyAlignment="1">
      <alignment horizontal="center"/>
    </xf>
    <xf numFmtId="0" fontId="15" fillId="23" borderId="46" xfId="0" applyFont="1" applyFill="1" applyBorder="1" applyAlignment="1">
      <alignment horizontal="left" vertical="top" wrapText="1"/>
    </xf>
    <xf numFmtId="0" fontId="15" fillId="23" borderId="41" xfId="0" applyFont="1" applyFill="1" applyBorder="1" applyAlignment="1">
      <alignment horizontal="left" vertical="top" wrapText="1"/>
    </xf>
    <xf numFmtId="0" fontId="13" fillId="0" borderId="14" xfId="0" applyFont="1" applyBorder="1" applyAlignment="1">
      <alignment horizontal="right"/>
    </xf>
    <xf numFmtId="0" fontId="13" fillId="0" borderId="46" xfId="0" applyFont="1" applyBorder="1" applyAlignment="1">
      <alignment horizontal="left" vertical="top" wrapText="1"/>
    </xf>
    <xf numFmtId="1" fontId="13" fillId="0" borderId="49" xfId="0" applyNumberFormat="1" applyFont="1" applyBorder="1" applyAlignment="1">
      <alignment horizontal="center"/>
    </xf>
    <xf numFmtId="0" fontId="13" fillId="0" borderId="45" xfId="0" applyFont="1" applyBorder="1" applyAlignment="1">
      <alignment horizontal="left" vertical="top" wrapText="1"/>
    </xf>
    <xf numFmtId="0" fontId="13" fillId="0" borderId="41" xfId="0" applyFont="1" applyBorder="1"/>
    <xf numFmtId="0" fontId="13" fillId="0" borderId="40" xfId="0" applyFont="1" applyBorder="1"/>
    <xf numFmtId="0" fontId="13" fillId="0" borderId="30" xfId="0" applyFont="1" applyBorder="1"/>
    <xf numFmtId="0" fontId="13" fillId="0" borderId="59" xfId="0" applyFont="1" applyBorder="1" applyAlignment="1">
      <alignment horizontal="center"/>
    </xf>
    <xf numFmtId="1" fontId="13" fillId="0" borderId="59" xfId="0" applyNumberFormat="1" applyFont="1" applyBorder="1" applyAlignment="1">
      <alignment horizontal="center"/>
    </xf>
    <xf numFmtId="1" fontId="15" fillId="0" borderId="10" xfId="0" applyNumberFormat="1" applyFont="1" applyBorder="1" applyAlignment="1">
      <alignment horizontal="center"/>
    </xf>
    <xf numFmtId="0" fontId="13" fillId="0" borderId="13" xfId="0" applyFont="1" applyBorder="1" applyAlignment="1">
      <alignment horizontal="right"/>
    </xf>
    <xf numFmtId="0" fontId="13" fillId="0" borderId="44" xfId="0" applyFont="1" applyBorder="1" applyAlignment="1">
      <alignment horizontal="left" vertical="top" wrapText="1"/>
    </xf>
    <xf numFmtId="1" fontId="13" fillId="0" borderId="27" xfId="0" applyNumberFormat="1" applyFont="1" applyBorder="1"/>
    <xf numFmtId="1" fontId="13" fillId="0" borderId="31" xfId="0" applyNumberFormat="1" applyFont="1" applyBorder="1" applyAlignment="1">
      <alignment horizontal="center"/>
    </xf>
    <xf numFmtId="0" fontId="15" fillId="23" borderId="45" xfId="0" applyFont="1" applyFill="1" applyBorder="1" applyAlignment="1">
      <alignment horizontal="left" vertical="top" wrapText="1"/>
    </xf>
    <xf numFmtId="0" fontId="13" fillId="0" borderId="68" xfId="0" applyFont="1" applyBorder="1" applyAlignment="1">
      <alignment horizontal="right"/>
    </xf>
    <xf numFmtId="0" fontId="13" fillId="17" borderId="46" xfId="0" applyFont="1" applyFill="1" applyBorder="1" applyAlignment="1">
      <alignment horizontal="left" vertical="top" wrapText="1"/>
    </xf>
    <xf numFmtId="0" fontId="13" fillId="17" borderId="45" xfId="0" applyFont="1" applyFill="1" applyBorder="1" applyAlignment="1">
      <alignment horizontal="left" vertical="top" wrapText="1"/>
    </xf>
    <xf numFmtId="0" fontId="13" fillId="0" borderId="22" xfId="0" applyFont="1" applyBorder="1" applyAlignment="1">
      <alignment horizontal="left"/>
    </xf>
    <xf numFmtId="1" fontId="13" fillId="0" borderId="22" xfId="0" applyNumberFormat="1" applyFont="1" applyBorder="1" applyAlignment="1">
      <alignment horizontal="left"/>
    </xf>
    <xf numFmtId="0" fontId="13" fillId="0" borderId="14" xfId="0" applyFont="1" applyBorder="1" applyAlignment="1">
      <alignment horizontal="left"/>
    </xf>
    <xf numFmtId="174" fontId="13" fillId="0" borderId="22" xfId="7" applyNumberFormat="1" applyFont="1" applyBorder="1" applyAlignment="1">
      <alignment horizontal="left"/>
    </xf>
    <xf numFmtId="1" fontId="13" fillId="0" borderId="59" xfId="0" applyNumberFormat="1" applyFont="1" applyBorder="1" applyAlignment="1">
      <alignment horizontal="left"/>
    </xf>
    <xf numFmtId="172" fontId="13" fillId="0" borderId="22" xfId="0" applyNumberFormat="1" applyFont="1" applyBorder="1"/>
    <xf numFmtId="1" fontId="13" fillId="0" borderId="13" xfId="0" applyNumberFormat="1" applyFont="1" applyBorder="1" applyAlignment="1">
      <alignment horizontal="left"/>
    </xf>
    <xf numFmtId="2" fontId="13" fillId="0" borderId="0" xfId="0" applyNumberFormat="1" applyFont="1"/>
    <xf numFmtId="2" fontId="13" fillId="0" borderId="22" xfId="0" applyNumberFormat="1" applyFont="1" applyBorder="1" applyAlignment="1">
      <alignment horizontal="center"/>
    </xf>
    <xf numFmtId="0" fontId="15" fillId="0" borderId="14" xfId="0" applyFont="1" applyBorder="1"/>
    <xf numFmtId="0" fontId="33" fillId="0" borderId="31" xfId="0" applyFont="1" applyBorder="1"/>
    <xf numFmtId="1" fontId="13" fillId="0" borderId="25" xfId="0" applyNumberFormat="1" applyFont="1" applyBorder="1" applyAlignment="1">
      <alignment horizontal="left"/>
    </xf>
    <xf numFmtId="1" fontId="15" fillId="0" borderId="31" xfId="0" applyNumberFormat="1" applyFont="1" applyBorder="1" applyAlignment="1">
      <alignment horizontal="center"/>
    </xf>
    <xf numFmtId="0" fontId="13" fillId="0" borderId="69" xfId="0" applyFont="1" applyBorder="1"/>
    <xf numFmtId="0" fontId="13" fillId="0" borderId="68" xfId="0" applyFont="1" applyBorder="1"/>
    <xf numFmtId="0" fontId="15" fillId="0" borderId="45" xfId="0" applyFont="1" applyBorder="1" applyAlignment="1">
      <alignment horizontal="center"/>
    </xf>
    <xf numFmtId="0" fontId="15" fillId="0" borderId="7" xfId="0" applyFont="1" applyBorder="1" applyAlignment="1">
      <alignment horizontal="center"/>
    </xf>
    <xf numFmtId="0" fontId="13" fillId="0" borderId="65" xfId="0" applyFont="1" applyBorder="1" applyAlignment="1">
      <alignment horizontal="center"/>
    </xf>
    <xf numFmtId="0" fontId="13" fillId="0" borderId="64" xfId="0" applyFont="1" applyBorder="1" applyAlignment="1">
      <alignment horizontal="center"/>
    </xf>
    <xf numFmtId="0" fontId="13" fillId="0" borderId="64" xfId="0" applyFont="1" applyBorder="1" applyAlignment="1">
      <alignment horizontal="left"/>
    </xf>
    <xf numFmtId="1" fontId="13" fillId="0" borderId="64" xfId="0" applyNumberFormat="1" applyFont="1" applyBorder="1" applyAlignment="1">
      <alignment horizontal="center"/>
    </xf>
    <xf numFmtId="0" fontId="13" fillId="0" borderId="48" xfId="0" applyFont="1" applyBorder="1" applyAlignment="1">
      <alignment horizontal="center"/>
    </xf>
    <xf numFmtId="9" fontId="13" fillId="0" borderId="64" xfId="1" applyFont="1" applyBorder="1" applyAlignment="1">
      <alignment horizontal="center"/>
    </xf>
    <xf numFmtId="1" fontId="13" fillId="0" borderId="36" xfId="1" applyNumberFormat="1" applyFont="1" applyBorder="1" applyAlignment="1">
      <alignment horizontal="center"/>
    </xf>
    <xf numFmtId="1" fontId="13" fillId="0" borderId="35" xfId="1" applyNumberFormat="1" applyFont="1" applyBorder="1" applyAlignment="1">
      <alignment horizontal="center"/>
    </xf>
    <xf numFmtId="0" fontId="13" fillId="0" borderId="75" xfId="0" applyFont="1" applyBorder="1"/>
    <xf numFmtId="0" fontId="13" fillId="0" borderId="78" xfId="0" applyFont="1" applyBorder="1" applyAlignment="1">
      <alignment horizontal="center"/>
    </xf>
    <xf numFmtId="0" fontId="13" fillId="0" borderId="49" xfId="0" applyFont="1" applyBorder="1" applyAlignment="1">
      <alignment horizontal="left"/>
    </xf>
    <xf numFmtId="0" fontId="13" fillId="0" borderId="24" xfId="0" applyFont="1" applyBorder="1" applyAlignment="1">
      <alignment horizontal="center"/>
    </xf>
    <xf numFmtId="9" fontId="13" fillId="0" borderId="49" xfId="1" applyFont="1" applyBorder="1" applyAlignment="1">
      <alignment horizontal="center"/>
    </xf>
    <xf numFmtId="0" fontId="13" fillId="0" borderId="79" xfId="0" applyFont="1" applyBorder="1"/>
    <xf numFmtId="0" fontId="13" fillId="17" borderId="44" xfId="0" applyFont="1" applyFill="1" applyBorder="1" applyAlignment="1">
      <alignment horizontal="left" vertical="top" wrapText="1"/>
    </xf>
    <xf numFmtId="0" fontId="13" fillId="23" borderId="44" xfId="0" applyFont="1" applyFill="1" applyBorder="1" applyAlignment="1">
      <alignment horizontal="left" vertical="top" wrapText="1"/>
    </xf>
    <xf numFmtId="0" fontId="13" fillId="0" borderId="76" xfId="0" applyFont="1" applyBorder="1" applyAlignment="1">
      <alignment horizontal="center"/>
    </xf>
    <xf numFmtId="0" fontId="13" fillId="0" borderId="56" xfId="0" applyFont="1" applyBorder="1" applyAlignment="1">
      <alignment horizontal="center"/>
    </xf>
    <xf numFmtId="0" fontId="13" fillId="0" borderId="29" xfId="0" applyFont="1" applyBorder="1" applyAlignment="1">
      <alignment horizontal="left"/>
    </xf>
    <xf numFmtId="0" fontId="13" fillId="0" borderId="29" xfId="0" applyFont="1" applyBorder="1" applyAlignment="1">
      <alignment horizontal="center"/>
    </xf>
    <xf numFmtId="1" fontId="13" fillId="0" borderId="29" xfId="0" applyNumberFormat="1" applyFont="1" applyBorder="1" applyAlignment="1">
      <alignment horizontal="center"/>
    </xf>
    <xf numFmtId="0" fontId="13" fillId="0" borderId="23" xfId="0" applyFont="1" applyBorder="1" applyAlignment="1">
      <alignment horizontal="center"/>
    </xf>
    <xf numFmtId="9" fontId="13" fillId="0" borderId="29" xfId="1" applyFont="1" applyBorder="1" applyAlignment="1">
      <alignment horizontal="center"/>
    </xf>
    <xf numFmtId="1" fontId="13" fillId="0" borderId="34" xfId="1" applyNumberFormat="1" applyFont="1" applyBorder="1" applyAlignment="1">
      <alignment horizontal="center"/>
    </xf>
    <xf numFmtId="1" fontId="13" fillId="0" borderId="32" xfId="1" applyNumberFormat="1" applyFont="1" applyBorder="1" applyAlignment="1">
      <alignment horizontal="center"/>
    </xf>
    <xf numFmtId="0" fontId="13" fillId="0" borderId="58" xfId="0" applyFont="1" applyBorder="1"/>
    <xf numFmtId="0" fontId="0" fillId="9" borderId="29" xfId="0" applyFill="1" applyBorder="1"/>
    <xf numFmtId="0" fontId="0" fillId="9" borderId="44" xfId="0" applyFill="1" applyBorder="1"/>
    <xf numFmtId="0" fontId="0" fillId="9" borderId="45" xfId="0" applyFill="1" applyBorder="1"/>
    <xf numFmtId="0" fontId="23" fillId="0" borderId="46" xfId="0" applyFont="1" applyBorder="1"/>
    <xf numFmtId="0" fontId="13" fillId="9" borderId="0" xfId="0" applyFont="1" applyFill="1"/>
    <xf numFmtId="0" fontId="14" fillId="0" borderId="80" xfId="0" applyFont="1" applyBorder="1" applyAlignment="1">
      <alignment horizontal="left" vertical="center"/>
    </xf>
    <xf numFmtId="0" fontId="13" fillId="26" borderId="7" xfId="0" applyFont="1" applyFill="1" applyBorder="1"/>
    <xf numFmtId="0" fontId="2" fillId="0" borderId="11" xfId="0" applyFont="1" applyBorder="1" applyAlignment="1">
      <alignment horizontal="center"/>
    </xf>
    <xf numFmtId="0" fontId="0" fillId="0" borderId="12" xfId="0" applyBorder="1" applyAlignment="1">
      <alignment horizontal="center"/>
    </xf>
    <xf numFmtId="0" fontId="2" fillId="9" borderId="31" xfId="0" applyFont="1" applyFill="1" applyBorder="1" applyAlignment="1">
      <alignment horizontal="center"/>
    </xf>
    <xf numFmtId="0" fontId="0" fillId="0" borderId="41" xfId="0" applyBorder="1" applyAlignment="1">
      <alignment horizontal="center"/>
    </xf>
    <xf numFmtId="0" fontId="0" fillId="3" borderId="20" xfId="0" applyFill="1" applyBorder="1"/>
    <xf numFmtId="0" fontId="0" fillId="3" borderId="11" xfId="0" applyFill="1" applyBorder="1"/>
    <xf numFmtId="0" fontId="0" fillId="3" borderId="45" xfId="0" applyFill="1" applyBorder="1"/>
    <xf numFmtId="0" fontId="0" fillId="3" borderId="0" xfId="0" applyFill="1"/>
    <xf numFmtId="0" fontId="0" fillId="3" borderId="7" xfId="0" applyFill="1" applyBorder="1"/>
    <xf numFmtId="0" fontId="0" fillId="3" borderId="44" xfId="0" applyFill="1" applyBorder="1"/>
    <xf numFmtId="0" fontId="0" fillId="3" borderId="29" xfId="0" applyFill="1" applyBorder="1"/>
    <xf numFmtId="0" fontId="0" fillId="3" borderId="9" xfId="0" applyFill="1" applyBorder="1"/>
    <xf numFmtId="0" fontId="24" fillId="0" borderId="20" xfId="2" applyFont="1" applyBorder="1" applyAlignment="1">
      <alignment horizontal="left"/>
    </xf>
    <xf numFmtId="0" fontId="24" fillId="0" borderId="11" xfId="2" applyFont="1" applyBorder="1" applyAlignment="1">
      <alignment horizontal="left"/>
    </xf>
    <xf numFmtId="0" fontId="24" fillId="3" borderId="0" xfId="2" applyFont="1" applyFill="1" applyAlignment="1">
      <alignment horizontal="left"/>
    </xf>
    <xf numFmtId="0" fontId="24" fillId="3" borderId="7" xfId="2" applyFont="1" applyFill="1" applyBorder="1" applyAlignment="1">
      <alignment horizontal="left"/>
    </xf>
    <xf numFmtId="0" fontId="24" fillId="0" borderId="0" xfId="2" applyFont="1" applyAlignment="1">
      <alignment horizontal="left"/>
    </xf>
    <xf numFmtId="0" fontId="24" fillId="0" borderId="7" xfId="2" applyFont="1" applyBorder="1" applyAlignment="1">
      <alignment horizontal="left"/>
    </xf>
    <xf numFmtId="0" fontId="24" fillId="3" borderId="29" xfId="2" applyFont="1" applyFill="1" applyBorder="1" applyAlignment="1">
      <alignment horizontal="left"/>
    </xf>
    <xf numFmtId="0" fontId="24" fillId="3" borderId="9" xfId="2" applyFont="1" applyFill="1" applyBorder="1" applyAlignment="1">
      <alignment horizontal="left"/>
    </xf>
    <xf numFmtId="0" fontId="25" fillId="0" borderId="0" xfId="2" applyFont="1" applyAlignment="1">
      <alignment horizontal="center"/>
    </xf>
    <xf numFmtId="0" fontId="35" fillId="0" borderId="0" xfId="2" applyFont="1" applyAlignment="1">
      <alignment horizontal="center"/>
    </xf>
    <xf numFmtId="0" fontId="35" fillId="0" borderId="0" xfId="2" applyFont="1"/>
    <xf numFmtId="0" fontId="34" fillId="0" borderId="13" xfId="2" applyFont="1" applyBorder="1" applyAlignment="1">
      <alignment horizontal="center"/>
    </xf>
    <xf numFmtId="0" fontId="34" fillId="0" borderId="13" xfId="2" applyFont="1" applyBorder="1"/>
    <xf numFmtId="0" fontId="34" fillId="0" borderId="0" xfId="2" applyFont="1"/>
    <xf numFmtId="0" fontId="16" fillId="0" borderId="12" xfId="0" applyFont="1" applyBorder="1" applyAlignment="1">
      <alignment horizontal="center" vertical="center"/>
    </xf>
    <xf numFmtId="0" fontId="16" fillId="0" borderId="11" xfId="0" applyFont="1" applyBorder="1" applyAlignment="1">
      <alignment horizontal="center" vertical="center"/>
    </xf>
    <xf numFmtId="0" fontId="14" fillId="0" borderId="12" xfId="0" applyFont="1" applyBorder="1" applyAlignment="1">
      <alignment horizontal="center" vertical="center"/>
    </xf>
    <xf numFmtId="0" fontId="17" fillId="0" borderId="11" xfId="0" applyFont="1" applyBorder="1" applyAlignment="1">
      <alignment horizontal="justify" vertical="center" wrapText="1"/>
    </xf>
    <xf numFmtId="0" fontId="17" fillId="0" borderId="11" xfId="0" applyFont="1" applyBorder="1" applyAlignment="1">
      <alignment horizontal="justify" vertical="center"/>
    </xf>
    <xf numFmtId="0" fontId="14" fillId="0" borderId="11" xfId="0" applyFont="1" applyBorder="1" applyAlignment="1">
      <alignment horizontal="justify" vertical="center" wrapText="1"/>
    </xf>
    <xf numFmtId="0" fontId="14" fillId="2" borderId="8" xfId="0" applyFont="1" applyFill="1" applyBorder="1" applyAlignment="1">
      <alignment horizontal="center" vertical="center"/>
    </xf>
    <xf numFmtId="0" fontId="17" fillId="2" borderId="7" xfId="0" applyFont="1" applyFill="1" applyBorder="1" applyAlignment="1">
      <alignment horizontal="justify" vertical="center" wrapText="1"/>
    </xf>
    <xf numFmtId="0" fontId="17" fillId="2" borderId="7" xfId="0" applyFont="1" applyFill="1" applyBorder="1" applyAlignment="1">
      <alignment horizontal="justify" vertical="center"/>
    </xf>
    <xf numFmtId="0" fontId="14" fillId="2" borderId="7" xfId="0" applyFont="1" applyFill="1" applyBorder="1" applyAlignment="1">
      <alignment horizontal="justify" vertical="center" wrapText="1"/>
    </xf>
    <xf numFmtId="0" fontId="14" fillId="0" borderId="0" xfId="0" applyFont="1" applyAlignment="1">
      <alignment horizontal="center" vertical="center"/>
    </xf>
    <xf numFmtId="0" fontId="17" fillId="0" borderId="7" xfId="0" applyFont="1" applyBorder="1" applyAlignment="1">
      <alignment horizontal="justify" vertical="center" wrapText="1"/>
    </xf>
    <xf numFmtId="0" fontId="17" fillId="0" borderId="7" xfId="0" applyFont="1" applyBorder="1" applyAlignment="1">
      <alignment horizontal="justify" vertical="center"/>
    </xf>
    <xf numFmtId="0" fontId="14" fillId="0" borderId="7" xfId="0" applyFont="1" applyBorder="1" applyAlignment="1">
      <alignment horizontal="left" vertical="center" wrapText="1"/>
    </xf>
    <xf numFmtId="0" fontId="14" fillId="0" borderId="8" xfId="0" applyFont="1" applyBorder="1" applyAlignment="1">
      <alignment horizontal="center" vertical="center"/>
    </xf>
    <xf numFmtId="0" fontId="14" fillId="0" borderId="7" xfId="0" applyFont="1" applyBorder="1" applyAlignment="1">
      <alignment horizontal="left" vertical="center"/>
    </xf>
    <xf numFmtId="0" fontId="14" fillId="0" borderId="7" xfId="0" applyFont="1" applyBorder="1" applyAlignment="1">
      <alignment horizontal="justify" vertical="center" wrapText="1"/>
    </xf>
    <xf numFmtId="0" fontId="14" fillId="2" borderId="7" xfId="0" applyFont="1" applyFill="1" applyBorder="1" applyAlignment="1">
      <alignment horizontal="left" vertical="center" wrapText="1"/>
    </xf>
    <xf numFmtId="0" fontId="14" fillId="2" borderId="10" xfId="0" applyFont="1" applyFill="1" applyBorder="1" applyAlignment="1">
      <alignment horizontal="center" vertical="center"/>
    </xf>
    <xf numFmtId="0" fontId="17" fillId="2" borderId="9" xfId="0" applyFont="1" applyFill="1" applyBorder="1" applyAlignment="1">
      <alignment horizontal="justify" vertical="center" wrapText="1"/>
    </xf>
    <xf numFmtId="0" fontId="17" fillId="2" borderId="9" xfId="0" applyFont="1" applyFill="1" applyBorder="1" applyAlignment="1">
      <alignment horizontal="justify" vertical="center"/>
    </xf>
    <xf numFmtId="0" fontId="14" fillId="2" borderId="9" xfId="0" applyFont="1" applyFill="1" applyBorder="1" applyAlignment="1">
      <alignment horizontal="justify" vertical="center" wrapText="1"/>
    </xf>
    <xf numFmtId="0" fontId="14" fillId="2" borderId="9" xfId="0" applyFont="1" applyFill="1" applyBorder="1" applyAlignment="1">
      <alignment horizontal="justify" vertical="center"/>
    </xf>
    <xf numFmtId="0" fontId="14" fillId="2" borderId="7" xfId="0" applyFont="1" applyFill="1" applyBorder="1" applyAlignment="1">
      <alignment horizontal="justify" vertical="center"/>
    </xf>
    <xf numFmtId="0" fontId="14" fillId="0" borderId="7" xfId="0" applyFont="1" applyBorder="1" applyAlignment="1">
      <alignment horizontal="justify" vertical="center"/>
    </xf>
    <xf numFmtId="0" fontId="24" fillId="0" borderId="6" xfId="2" applyFont="1" applyBorder="1" applyAlignment="1">
      <alignment horizontal="center"/>
    </xf>
    <xf numFmtId="0" fontId="24" fillId="0" borderId="4" xfId="2" applyFont="1" applyBorder="1" applyAlignment="1">
      <alignment horizontal="center"/>
    </xf>
    <xf numFmtId="0" fontId="24" fillId="0" borderId="2" xfId="2" applyFont="1" applyBorder="1" applyAlignment="1">
      <alignment horizontal="center"/>
    </xf>
    <xf numFmtId="0" fontId="25" fillId="0" borderId="0" xfId="2" applyFont="1"/>
    <xf numFmtId="0" fontId="24" fillId="0" borderId="6" xfId="2" applyFont="1" applyBorder="1"/>
    <xf numFmtId="0" fontId="24" fillId="0" borderId="5" xfId="2" applyFont="1" applyBorder="1"/>
    <xf numFmtId="0" fontId="24" fillId="0" borderId="4" xfId="2" applyFont="1" applyBorder="1"/>
    <xf numFmtId="0" fontId="24" fillId="0" borderId="3" xfId="2" applyFont="1" applyBorder="1"/>
    <xf numFmtId="0" fontId="24" fillId="0" borderId="2" xfId="2" applyFont="1" applyBorder="1"/>
    <xf numFmtId="0" fontId="24" fillId="0" borderId="1" xfId="2" applyFont="1" applyBorder="1"/>
    <xf numFmtId="0" fontId="24" fillId="0" borderId="13" xfId="2" applyFont="1" applyBorder="1"/>
    <xf numFmtId="0" fontId="27" fillId="9" borderId="31" xfId="0" applyFont="1" applyFill="1" applyBorder="1" applyAlignment="1">
      <alignment horizontal="right" vertical="center" wrapText="1"/>
    </xf>
    <xf numFmtId="0" fontId="27" fillId="9" borderId="10" xfId="0" applyFont="1" applyFill="1" applyBorder="1" applyAlignment="1">
      <alignment horizontal="right" vertical="center" wrapText="1"/>
    </xf>
    <xf numFmtId="175" fontId="14" fillId="16" borderId="45" xfId="0" applyNumberFormat="1" applyFont="1" applyFill="1" applyBorder="1" applyAlignment="1">
      <alignment horizontal="left" vertical="center"/>
    </xf>
    <xf numFmtId="0" fontId="13" fillId="0" borderId="46" xfId="0" applyFont="1" applyBorder="1" applyAlignment="1">
      <alignment horizontal="center"/>
    </xf>
    <xf numFmtId="0" fontId="13" fillId="0" borderId="44" xfId="0" applyFont="1" applyBorder="1" applyAlignment="1">
      <alignment horizontal="center"/>
    </xf>
    <xf numFmtId="0" fontId="39" fillId="0" borderId="31" xfId="0" applyFont="1" applyBorder="1" applyAlignment="1">
      <alignment horizontal="justify" vertical="center" wrapText="1"/>
    </xf>
    <xf numFmtId="0" fontId="39" fillId="0" borderId="30" xfId="0" applyFont="1" applyBorder="1" applyAlignment="1">
      <alignment horizontal="justify" vertical="center" wrapText="1"/>
    </xf>
    <xf numFmtId="0" fontId="40" fillId="0" borderId="10" xfId="0" applyFont="1" applyBorder="1" applyAlignment="1">
      <alignment horizontal="justify" vertical="center" wrapText="1"/>
    </xf>
    <xf numFmtId="0" fontId="40" fillId="4" borderId="10" xfId="0" applyFont="1" applyFill="1" applyBorder="1" applyAlignment="1">
      <alignment horizontal="justify" vertical="center" wrapText="1"/>
    </xf>
    <xf numFmtId="0" fontId="29" fillId="0" borderId="0" xfId="0" applyFont="1"/>
    <xf numFmtId="0" fontId="40" fillId="0" borderId="31" xfId="0" applyFont="1" applyBorder="1" applyAlignment="1">
      <alignment horizontal="justify" vertical="center" wrapText="1"/>
    </xf>
    <xf numFmtId="0" fontId="29" fillId="0" borderId="10" xfId="0" applyFont="1" applyBorder="1"/>
    <xf numFmtId="0" fontId="13" fillId="29" borderId="44" xfId="0" applyFont="1" applyFill="1" applyBorder="1" applyAlignment="1">
      <alignment horizontal="left"/>
    </xf>
    <xf numFmtId="0" fontId="15" fillId="29" borderId="46" xfId="0" applyFont="1" applyFill="1" applyBorder="1"/>
    <xf numFmtId="0" fontId="13" fillId="29" borderId="20" xfId="0" applyFont="1" applyFill="1" applyBorder="1"/>
    <xf numFmtId="0" fontId="13" fillId="29" borderId="29" xfId="0" applyFont="1" applyFill="1" applyBorder="1" applyAlignment="1">
      <alignment horizontal="left"/>
    </xf>
    <xf numFmtId="0" fontId="13" fillId="30" borderId="29" xfId="0" applyFont="1" applyFill="1" applyBorder="1" applyAlignment="1">
      <alignment horizontal="left" vertical="center" wrapText="1"/>
    </xf>
    <xf numFmtId="0" fontId="13" fillId="20" borderId="29" xfId="0" applyFont="1" applyFill="1" applyBorder="1" applyAlignment="1">
      <alignment horizontal="left" vertical="center" wrapText="1"/>
    </xf>
    <xf numFmtId="0" fontId="13" fillId="20" borderId="9" xfId="0" applyFont="1" applyFill="1" applyBorder="1" applyAlignment="1">
      <alignment horizontal="left" vertical="center" wrapText="1"/>
    </xf>
    <xf numFmtId="0" fontId="22" fillId="0" borderId="45" xfId="0" applyFont="1" applyBorder="1"/>
    <xf numFmtId="0" fontId="36" fillId="27" borderId="0" xfId="8" applyBorder="1"/>
    <xf numFmtId="0" fontId="38" fillId="28" borderId="84" xfId="10" applyBorder="1"/>
    <xf numFmtId="1" fontId="0" fillId="9" borderId="0" xfId="0" applyNumberFormat="1" applyFill="1"/>
    <xf numFmtId="1" fontId="42" fillId="28" borderId="82" xfId="9" applyNumberFormat="1" applyFont="1"/>
    <xf numFmtId="0" fontId="23" fillId="0" borderId="0" xfId="0" applyFont="1" applyAlignment="1">
      <alignment horizontal="right"/>
    </xf>
    <xf numFmtId="1" fontId="42" fillId="28" borderId="85" xfId="9" applyNumberFormat="1" applyFont="1" applyBorder="1"/>
    <xf numFmtId="1" fontId="38" fillId="28" borderId="31" xfId="10" applyNumberFormat="1" applyBorder="1"/>
    <xf numFmtId="0" fontId="13" fillId="0" borderId="7" xfId="0" applyFont="1" applyBorder="1" applyAlignment="1">
      <alignment horizontal="center"/>
    </xf>
    <xf numFmtId="0" fontId="13" fillId="0" borderId="9" xfId="0" applyFont="1" applyBorder="1" applyAlignment="1">
      <alignment horizontal="center"/>
    </xf>
    <xf numFmtId="0" fontId="15" fillId="0" borderId="83" xfId="0" applyFont="1" applyBorder="1" applyAlignment="1">
      <alignment horizontal="left" vertical="center"/>
    </xf>
    <xf numFmtId="0" fontId="13" fillId="0" borderId="86" xfId="0" applyFont="1" applyBorder="1" applyAlignment="1">
      <alignment horizontal="left" vertical="center"/>
    </xf>
    <xf numFmtId="0" fontId="13" fillId="0" borderId="11" xfId="0" applyFont="1" applyBorder="1" applyAlignment="1">
      <alignment horizontal="center"/>
    </xf>
    <xf numFmtId="0" fontId="29" fillId="0" borderId="45" xfId="0" applyFont="1" applyBorder="1" applyAlignment="1">
      <alignment horizontal="center"/>
    </xf>
    <xf numFmtId="0" fontId="29" fillId="0" borderId="44" xfId="0" applyFont="1" applyBorder="1" applyAlignment="1">
      <alignment horizontal="center"/>
    </xf>
    <xf numFmtId="167" fontId="19" fillId="3" borderId="0" xfId="6" applyNumberFormat="1" applyFill="1" applyAlignment="1">
      <alignment horizontal="center"/>
    </xf>
    <xf numFmtId="0" fontId="19" fillId="3" borderId="0" xfId="6" applyFill="1" applyAlignment="1">
      <alignment horizontal="center"/>
    </xf>
    <xf numFmtId="0" fontId="19" fillId="31" borderId="0" xfId="6" applyFill="1"/>
    <xf numFmtId="0" fontId="35" fillId="0" borderId="0" xfId="6" applyFont="1"/>
    <xf numFmtId="0" fontId="35" fillId="0" borderId="31" xfId="6" applyFont="1" applyBorder="1" applyAlignment="1">
      <alignment horizontal="center"/>
    </xf>
    <xf numFmtId="0" fontId="35" fillId="0" borderId="40" xfId="6" applyFont="1" applyBorder="1" applyAlignment="1">
      <alignment horizontal="center"/>
    </xf>
    <xf numFmtId="167" fontId="35" fillId="3" borderId="31" xfId="6" applyNumberFormat="1" applyFont="1" applyFill="1" applyBorder="1" applyAlignment="1">
      <alignment horizontal="center"/>
    </xf>
    <xf numFmtId="0" fontId="35" fillId="0" borderId="41" xfId="6" applyFont="1" applyBorder="1" applyAlignment="1">
      <alignment horizontal="center"/>
    </xf>
    <xf numFmtId="0" fontId="35" fillId="0" borderId="30" xfId="6" applyFont="1" applyBorder="1" applyAlignment="1">
      <alignment horizontal="center"/>
    </xf>
    <xf numFmtId="167" fontId="35" fillId="3" borderId="40" xfId="6" applyNumberFormat="1" applyFont="1" applyFill="1" applyBorder="1" applyAlignment="1">
      <alignment horizontal="center"/>
    </xf>
    <xf numFmtId="0" fontId="35" fillId="0" borderId="18" xfId="6" applyFont="1" applyBorder="1" applyAlignment="1">
      <alignment horizontal="center"/>
    </xf>
    <xf numFmtId="0" fontId="35" fillId="0" borderId="21" xfId="6" applyFont="1" applyBorder="1" applyAlignment="1">
      <alignment horizontal="center"/>
    </xf>
    <xf numFmtId="0" fontId="35" fillId="3" borderId="19" xfId="6" applyFont="1" applyFill="1" applyBorder="1" applyAlignment="1">
      <alignment horizontal="center"/>
    </xf>
    <xf numFmtId="0" fontId="35" fillId="31" borderId="41" xfId="6" applyFont="1" applyFill="1" applyBorder="1"/>
    <xf numFmtId="167" fontId="35" fillId="3" borderId="30" xfId="6" applyNumberFormat="1" applyFont="1" applyFill="1" applyBorder="1" applyAlignment="1">
      <alignment horizontal="center"/>
    </xf>
    <xf numFmtId="0" fontId="34" fillId="0" borderId="8" xfId="6" applyFont="1" applyBorder="1" applyAlignment="1">
      <alignment horizontal="center"/>
    </xf>
    <xf numFmtId="0" fontId="34" fillId="0" borderId="0" xfId="6" applyFont="1" applyAlignment="1">
      <alignment horizontal="center"/>
    </xf>
    <xf numFmtId="167" fontId="34" fillId="3" borderId="0" xfId="6" applyNumberFormat="1" applyFont="1" applyFill="1" applyAlignment="1">
      <alignment horizontal="center"/>
    </xf>
    <xf numFmtId="0" fontId="34" fillId="0" borderId="45" xfId="6" applyFont="1" applyBorder="1" applyAlignment="1">
      <alignment horizontal="center"/>
    </xf>
    <xf numFmtId="167" fontId="34" fillId="3" borderId="7" xfId="6" applyNumberFormat="1" applyFont="1" applyFill="1" applyBorder="1" applyAlignment="1">
      <alignment horizontal="center"/>
    </xf>
    <xf numFmtId="0" fontId="34" fillId="31" borderId="45" xfId="6" applyFont="1" applyFill="1" applyBorder="1" applyAlignment="1">
      <alignment horizontal="center"/>
    </xf>
    <xf numFmtId="0" fontId="34" fillId="0" borderId="47" xfId="6" applyFont="1" applyBorder="1" applyAlignment="1">
      <alignment horizontal="center"/>
    </xf>
    <xf numFmtId="0" fontId="34" fillId="0" borderId="16" xfId="6" applyFont="1" applyBorder="1" applyAlignment="1">
      <alignment horizontal="center"/>
    </xf>
    <xf numFmtId="0" fontId="34" fillId="0" borderId="0" xfId="6" applyFont="1"/>
    <xf numFmtId="0" fontId="34" fillId="0" borderId="36" xfId="6" applyFont="1" applyBorder="1" applyAlignment="1">
      <alignment horizontal="center"/>
    </xf>
    <xf numFmtId="0" fontId="34" fillId="0" borderId="13" xfId="6" applyFont="1" applyBorder="1" applyAlignment="1">
      <alignment horizontal="center"/>
    </xf>
    <xf numFmtId="0" fontId="35" fillId="32" borderId="0" xfId="6" applyFont="1" applyFill="1"/>
    <xf numFmtId="0" fontId="34" fillId="32" borderId="8" xfId="6" applyFont="1" applyFill="1" applyBorder="1" applyAlignment="1">
      <alignment horizontal="center"/>
    </xf>
    <xf numFmtId="0" fontId="34" fillId="32" borderId="0" xfId="6" applyFont="1" applyFill="1" applyAlignment="1">
      <alignment horizontal="center"/>
    </xf>
    <xf numFmtId="167" fontId="34" fillId="32" borderId="0" xfId="6" applyNumberFormat="1" applyFont="1" applyFill="1" applyAlignment="1">
      <alignment horizontal="center"/>
    </xf>
    <xf numFmtId="0" fontId="34" fillId="32" borderId="45" xfId="6" applyFont="1" applyFill="1" applyBorder="1" applyAlignment="1">
      <alignment horizontal="center"/>
    </xf>
    <xf numFmtId="167" fontId="34" fillId="32" borderId="7" xfId="6" applyNumberFormat="1" applyFont="1" applyFill="1" applyBorder="1" applyAlignment="1">
      <alignment horizontal="center"/>
    </xf>
    <xf numFmtId="0" fontId="34" fillId="32" borderId="36" xfId="6" applyFont="1" applyFill="1" applyBorder="1" applyAlignment="1">
      <alignment horizontal="center"/>
    </xf>
    <xf numFmtId="0" fontId="34" fillId="32" borderId="13" xfId="6" applyFont="1" applyFill="1" applyBorder="1" applyAlignment="1">
      <alignment horizontal="center"/>
    </xf>
    <xf numFmtId="0" fontId="34" fillId="32" borderId="0" xfId="6" applyFont="1" applyFill="1"/>
    <xf numFmtId="0" fontId="34" fillId="32" borderId="10" xfId="6" applyFont="1" applyFill="1" applyBorder="1" applyAlignment="1">
      <alignment horizontal="center"/>
    </xf>
    <xf numFmtId="0" fontId="34" fillId="32" borderId="29" xfId="6" applyFont="1" applyFill="1" applyBorder="1" applyAlignment="1">
      <alignment horizontal="center"/>
    </xf>
    <xf numFmtId="167" fontId="34" fillId="32" borderId="29" xfId="6" applyNumberFormat="1" applyFont="1" applyFill="1" applyBorder="1" applyAlignment="1">
      <alignment horizontal="center"/>
    </xf>
    <xf numFmtId="0" fontId="34" fillId="32" borderId="44" xfId="6" applyFont="1" applyFill="1" applyBorder="1" applyAlignment="1">
      <alignment horizontal="center"/>
    </xf>
    <xf numFmtId="167" fontId="34" fillId="32" borderId="9" xfId="6" applyNumberFormat="1" applyFont="1" applyFill="1" applyBorder="1" applyAlignment="1">
      <alignment horizontal="center"/>
    </xf>
    <xf numFmtId="0" fontId="31" fillId="5" borderId="31" xfId="0" applyFont="1" applyFill="1" applyBorder="1" applyAlignment="1">
      <alignment horizontal="right"/>
    </xf>
    <xf numFmtId="0" fontId="31" fillId="0" borderId="31" xfId="0" applyFont="1" applyBorder="1" applyAlignment="1">
      <alignment horizontal="right"/>
    </xf>
    <xf numFmtId="0" fontId="31" fillId="21" borderId="31" xfId="0" applyFont="1" applyFill="1" applyBorder="1" applyAlignment="1">
      <alignment horizontal="right"/>
    </xf>
    <xf numFmtId="0" fontId="43" fillId="9" borderId="11" xfId="0" applyFont="1" applyFill="1" applyBorder="1"/>
    <xf numFmtId="0" fontId="43" fillId="9" borderId="9" xfId="0" applyFont="1" applyFill="1" applyBorder="1"/>
    <xf numFmtId="0" fontId="43" fillId="9" borderId="30" xfId="0" applyFont="1" applyFill="1" applyBorder="1"/>
    <xf numFmtId="0" fontId="43" fillId="9" borderId="41" xfId="0" applyFont="1" applyFill="1" applyBorder="1" applyAlignment="1">
      <alignment horizontal="center"/>
    </xf>
    <xf numFmtId="0" fontId="43" fillId="9" borderId="40" xfId="0" applyFont="1" applyFill="1" applyBorder="1" applyAlignment="1">
      <alignment horizontal="center"/>
    </xf>
    <xf numFmtId="0" fontId="43" fillId="9" borderId="30" xfId="0" applyFont="1" applyFill="1" applyBorder="1" applyAlignment="1">
      <alignment horizontal="center"/>
    </xf>
    <xf numFmtId="0" fontId="0" fillId="0" borderId="44" xfId="0" applyBorder="1" applyAlignment="1">
      <alignment horizontal="center"/>
    </xf>
    <xf numFmtId="0" fontId="13" fillId="29" borderId="41" xfId="0" applyFont="1" applyFill="1" applyBorder="1" applyAlignment="1">
      <alignment horizontal="left"/>
    </xf>
    <xf numFmtId="0" fontId="13" fillId="29" borderId="40" xfId="0" applyFont="1" applyFill="1" applyBorder="1" applyAlignment="1">
      <alignment horizontal="left"/>
    </xf>
    <xf numFmtId="0" fontId="13" fillId="29" borderId="30" xfId="0" applyFont="1" applyFill="1" applyBorder="1" applyAlignment="1">
      <alignment horizontal="left"/>
    </xf>
    <xf numFmtId="1" fontId="13" fillId="0" borderId="45" xfId="0" applyNumberFormat="1" applyFont="1" applyBorder="1" applyAlignment="1">
      <alignment horizontal="center"/>
    </xf>
    <xf numFmtId="1" fontId="13" fillId="0" borderId="7" xfId="0" applyNumberFormat="1" applyFont="1" applyBorder="1" applyAlignment="1">
      <alignment horizontal="center"/>
    </xf>
    <xf numFmtId="1" fontId="13" fillId="0" borderId="44" xfId="0" applyNumberFormat="1" applyFont="1" applyBorder="1" applyAlignment="1">
      <alignment horizontal="center"/>
    </xf>
    <xf numFmtId="1" fontId="13" fillId="0" borderId="9" xfId="0" applyNumberFormat="1" applyFont="1" applyBorder="1" applyAlignment="1">
      <alignment horizontal="center"/>
    </xf>
    <xf numFmtId="0" fontId="13" fillId="30" borderId="41" xfId="0" applyFont="1" applyFill="1" applyBorder="1" applyAlignment="1">
      <alignment horizontal="left" vertical="center" wrapText="1"/>
    </xf>
    <xf numFmtId="0" fontId="13" fillId="30" borderId="40" xfId="0" applyFont="1" applyFill="1" applyBorder="1" applyAlignment="1">
      <alignment horizontal="left" vertical="center" wrapText="1"/>
    </xf>
    <xf numFmtId="0" fontId="13" fillId="30" borderId="30" xfId="0" applyFont="1" applyFill="1" applyBorder="1" applyAlignment="1">
      <alignment horizontal="left" vertical="center" wrapText="1"/>
    </xf>
    <xf numFmtId="0" fontId="13" fillId="10" borderId="0" xfId="0" applyFont="1" applyFill="1"/>
    <xf numFmtId="0" fontId="13" fillId="10" borderId="0" xfId="0" applyFont="1" applyFill="1" applyAlignment="1">
      <alignment horizontal="center"/>
    </xf>
    <xf numFmtId="0" fontId="13" fillId="30" borderId="20" xfId="0" applyFont="1" applyFill="1" applyBorder="1"/>
    <xf numFmtId="0" fontId="13" fillId="20" borderId="20" xfId="0" applyFont="1" applyFill="1" applyBorder="1"/>
    <xf numFmtId="0" fontId="13" fillId="20" borderId="11" xfId="0" applyFont="1" applyFill="1" applyBorder="1"/>
    <xf numFmtId="1" fontId="13" fillId="10" borderId="86" xfId="0" applyNumberFormat="1" applyFont="1" applyFill="1" applyBorder="1" applyAlignment="1">
      <alignment horizontal="left" vertical="center"/>
    </xf>
    <xf numFmtId="0" fontId="13" fillId="10" borderId="29" xfId="0" applyFont="1" applyFill="1" applyBorder="1" applyAlignment="1">
      <alignment horizontal="left" vertical="center" wrapText="1"/>
    </xf>
    <xf numFmtId="1" fontId="13" fillId="10" borderId="7" xfId="0" applyNumberFormat="1" applyFont="1" applyFill="1" applyBorder="1" applyAlignment="1">
      <alignment horizontal="center"/>
    </xf>
    <xf numFmtId="0" fontId="13" fillId="10" borderId="31" xfId="0" applyFont="1" applyFill="1" applyBorder="1" applyAlignment="1">
      <alignment horizontal="left"/>
    </xf>
    <xf numFmtId="1" fontId="13" fillId="10" borderId="8" xfId="0" applyNumberFormat="1" applyFont="1" applyFill="1" applyBorder="1" applyAlignment="1">
      <alignment horizontal="center"/>
    </xf>
    <xf numFmtId="0" fontId="23" fillId="0" borderId="20" xfId="0" applyFont="1" applyBorder="1"/>
    <xf numFmtId="0" fontId="13" fillId="26" borderId="0" xfId="0" applyFont="1" applyFill="1"/>
    <xf numFmtId="0" fontId="15" fillId="0" borderId="0" xfId="0" applyFont="1" applyAlignment="1">
      <alignment horizontal="left" vertical="center"/>
    </xf>
    <xf numFmtId="0" fontId="13" fillId="0" borderId="0" xfId="0" applyFont="1" applyAlignment="1">
      <alignment horizontal="left" vertical="center"/>
    </xf>
    <xf numFmtId="0" fontId="15" fillId="29" borderId="20" xfId="0" applyFont="1" applyFill="1" applyBorder="1"/>
    <xf numFmtId="0" fontId="13" fillId="24" borderId="13" xfId="0" applyFont="1" applyFill="1" applyBorder="1"/>
    <xf numFmtId="0" fontId="24" fillId="0" borderId="38" xfId="2" applyFont="1" applyBorder="1"/>
    <xf numFmtId="0" fontId="24" fillId="0" borderId="37" xfId="2" applyFont="1" applyBorder="1"/>
    <xf numFmtId="0" fontId="24" fillId="0" borderId="35" xfId="2" applyFont="1" applyBorder="1"/>
    <xf numFmtId="0" fontId="24" fillId="0" borderId="33" xfId="2" applyFont="1" applyBorder="1"/>
    <xf numFmtId="0" fontId="24" fillId="0" borderId="32" xfId="2" applyFont="1" applyBorder="1"/>
    <xf numFmtId="0" fontId="24" fillId="0" borderId="87" xfId="2" applyFont="1" applyBorder="1" applyAlignment="1">
      <alignment horizontal="center"/>
    </xf>
    <xf numFmtId="0" fontId="24" fillId="0" borderId="87" xfId="2" applyFont="1" applyBorder="1"/>
    <xf numFmtId="0" fontId="24" fillId="0" borderId="88" xfId="2" applyFont="1" applyBorder="1"/>
    <xf numFmtId="0" fontId="24" fillId="0" borderId="16" xfId="2" applyFont="1" applyBorder="1"/>
    <xf numFmtId="0" fontId="24" fillId="0" borderId="89" xfId="2" applyFont="1" applyBorder="1"/>
    <xf numFmtId="0" fontId="3" fillId="0" borderId="41" xfId="2" applyBorder="1" applyAlignment="1">
      <alignment horizontal="center"/>
    </xf>
    <xf numFmtId="0" fontId="3" fillId="0" borderId="30" xfId="2" applyBorder="1"/>
    <xf numFmtId="0" fontId="3" fillId="0" borderId="31" xfId="2" applyBorder="1"/>
    <xf numFmtId="0" fontId="29" fillId="0" borderId="0" xfId="0" applyFont="1" applyAlignment="1">
      <alignment wrapText="1"/>
    </xf>
    <xf numFmtId="0" fontId="0" fillId="0" borderId="0" xfId="0" applyAlignment="1">
      <alignment wrapText="1"/>
    </xf>
    <xf numFmtId="0" fontId="15" fillId="0" borderId="0" xfId="0" applyFont="1" applyAlignment="1">
      <alignment wrapText="1"/>
    </xf>
    <xf numFmtId="0" fontId="13" fillId="0" borderId="0" xfId="0" applyFont="1" applyAlignment="1">
      <alignment wrapText="1"/>
    </xf>
    <xf numFmtId="0" fontId="0" fillId="10" borderId="0" xfId="0" applyFill="1" applyAlignment="1">
      <alignment wrapText="1"/>
    </xf>
    <xf numFmtId="0" fontId="0" fillId="11" borderId="0" xfId="0" applyFill="1" applyAlignment="1">
      <alignment wrapText="1"/>
    </xf>
    <xf numFmtId="0" fontId="0" fillId="7" borderId="0" xfId="0" applyFill="1" applyAlignment="1">
      <alignment wrapText="1"/>
    </xf>
    <xf numFmtId="0" fontId="29" fillId="6" borderId="0" xfId="0" applyFont="1" applyFill="1" applyAlignment="1">
      <alignment wrapText="1"/>
    </xf>
    <xf numFmtId="0" fontId="0" fillId="20" borderId="0" xfId="0" applyFill="1" applyAlignment="1">
      <alignment wrapText="1"/>
    </xf>
    <xf numFmtId="0" fontId="29" fillId="3" borderId="0" xfId="0" applyFont="1" applyFill="1" applyAlignment="1">
      <alignment wrapText="1"/>
    </xf>
    <xf numFmtId="0" fontId="14" fillId="9" borderId="29" xfId="0" quotePrefix="1" applyFont="1" applyFill="1" applyBorder="1" applyAlignment="1">
      <alignment vertical="center"/>
    </xf>
    <xf numFmtId="0" fontId="2" fillId="10" borderId="0" xfId="0" applyFont="1" applyFill="1"/>
    <xf numFmtId="0" fontId="29" fillId="0" borderId="0" xfId="0" applyFont="1" applyAlignment="1">
      <alignment horizontal="center"/>
    </xf>
    <xf numFmtId="0" fontId="29" fillId="0" borderId="29" xfId="0" applyFont="1" applyBorder="1" applyAlignment="1">
      <alignment horizontal="center"/>
    </xf>
    <xf numFmtId="1" fontId="18" fillId="0" borderId="46" xfId="0" applyNumberFormat="1" applyFont="1" applyBorder="1"/>
    <xf numFmtId="0" fontId="2" fillId="10" borderId="12" xfId="0" applyFont="1" applyFill="1" applyBorder="1"/>
    <xf numFmtId="1" fontId="18" fillId="0" borderId="12" xfId="0" applyNumberFormat="1" applyFont="1" applyBorder="1"/>
    <xf numFmtId="1" fontId="16" fillId="6" borderId="11" xfId="0" applyNumberFormat="1" applyFont="1" applyFill="1" applyBorder="1" applyAlignment="1">
      <alignment horizontal="center" vertical="center" wrapText="1"/>
    </xf>
    <xf numFmtId="1" fontId="16" fillId="6" borderId="7" xfId="0" applyNumberFormat="1" applyFont="1" applyFill="1" applyBorder="1" applyAlignment="1">
      <alignment horizontal="center" vertical="center" wrapText="1"/>
    </xf>
    <xf numFmtId="1" fontId="16" fillId="6" borderId="9" xfId="0" applyNumberFormat="1" applyFont="1" applyFill="1" applyBorder="1" applyAlignment="1">
      <alignment horizontal="center" vertical="center" wrapText="1"/>
    </xf>
    <xf numFmtId="0" fontId="14" fillId="7" borderId="13" xfId="0" applyFont="1" applyFill="1" applyBorder="1" applyAlignment="1">
      <alignment horizontal="center" vertical="center" wrapText="1"/>
    </xf>
    <xf numFmtId="0" fontId="14" fillId="10" borderId="13" xfId="0" applyFont="1" applyFill="1" applyBorder="1" applyAlignment="1">
      <alignment horizontal="center" vertical="center" wrapText="1"/>
    </xf>
    <xf numFmtId="0" fontId="14" fillId="9" borderId="13" xfId="0" applyFont="1" applyFill="1" applyBorder="1" applyAlignment="1">
      <alignment horizontal="center" vertical="center" wrapText="1"/>
    </xf>
    <xf numFmtId="1" fontId="14" fillId="8" borderId="13" xfId="0" applyNumberFormat="1" applyFont="1" applyFill="1" applyBorder="1" applyAlignment="1">
      <alignment vertical="center" wrapText="1"/>
    </xf>
    <xf numFmtId="1" fontId="14" fillId="10" borderId="13" xfId="0" applyNumberFormat="1" applyFont="1" applyFill="1" applyBorder="1" applyAlignment="1">
      <alignment vertical="center" wrapText="1"/>
    </xf>
    <xf numFmtId="0" fontId="16" fillId="4" borderId="39" xfId="0" applyFont="1" applyFill="1" applyBorder="1" applyAlignment="1">
      <alignment horizontal="right" vertical="center" wrapText="1"/>
    </xf>
    <xf numFmtId="0" fontId="16" fillId="4" borderId="38" xfId="0" applyFont="1" applyFill="1" applyBorder="1" applyAlignment="1">
      <alignment horizontal="center" vertical="center" wrapText="1"/>
    </xf>
    <xf numFmtId="166" fontId="17" fillId="10" borderId="38" xfId="0" applyNumberFormat="1" applyFont="1" applyFill="1" applyBorder="1" applyAlignment="1">
      <alignment horizontal="center" vertical="center" wrapText="1"/>
    </xf>
    <xf numFmtId="1" fontId="16" fillId="9" borderId="38" xfId="0" applyNumberFormat="1" applyFont="1" applyFill="1" applyBorder="1" applyAlignment="1">
      <alignment vertical="center" wrapText="1"/>
    </xf>
    <xf numFmtId="1" fontId="16" fillId="10" borderId="38" xfId="0" applyNumberFormat="1" applyFont="1" applyFill="1" applyBorder="1" applyAlignment="1">
      <alignment vertical="center" wrapText="1"/>
    </xf>
    <xf numFmtId="0" fontId="14" fillId="7" borderId="38" xfId="0" applyFont="1" applyFill="1" applyBorder="1" applyAlignment="1">
      <alignment horizontal="center" vertical="center" wrapText="1"/>
    </xf>
    <xf numFmtId="0" fontId="14" fillId="0" borderId="34" xfId="0" applyFont="1" applyBorder="1" applyAlignment="1">
      <alignment horizontal="left" vertical="center" wrapText="1"/>
    </xf>
    <xf numFmtId="0" fontId="14" fillId="10" borderId="33" xfId="0" applyFont="1" applyFill="1" applyBorder="1" applyAlignment="1">
      <alignment horizontal="center" vertical="center" wrapText="1"/>
    </xf>
    <xf numFmtId="0" fontId="14" fillId="9" borderId="33" xfId="0" applyFont="1" applyFill="1" applyBorder="1" applyAlignment="1">
      <alignment horizontal="center" vertical="center" wrapText="1"/>
    </xf>
    <xf numFmtId="1" fontId="14" fillId="8" borderId="33" xfId="0" applyNumberFormat="1" applyFont="1" applyFill="1" applyBorder="1" applyAlignment="1">
      <alignment vertical="center" wrapText="1"/>
    </xf>
    <xf numFmtId="1" fontId="14" fillId="10" borderId="33" xfId="0" applyNumberFormat="1" applyFont="1" applyFill="1" applyBorder="1" applyAlignment="1">
      <alignment vertical="center" wrapText="1"/>
    </xf>
    <xf numFmtId="0" fontId="14" fillId="7" borderId="33" xfId="0" applyFont="1" applyFill="1" applyBorder="1" applyAlignment="1">
      <alignment horizontal="center" vertical="center" wrapText="1"/>
    </xf>
    <xf numFmtId="0" fontId="14" fillId="10" borderId="38" xfId="0" applyFont="1" applyFill="1" applyBorder="1" applyAlignment="1">
      <alignment horizontal="center" vertical="center" wrapText="1"/>
    </xf>
    <xf numFmtId="0" fontId="14" fillId="4" borderId="36" xfId="0" applyFont="1" applyFill="1" applyBorder="1" applyAlignment="1">
      <alignment horizontal="left" vertical="center" wrapText="1"/>
    </xf>
    <xf numFmtId="0" fontId="14" fillId="4" borderId="34" xfId="0" applyFont="1" applyFill="1" applyBorder="1" applyAlignment="1">
      <alignment horizontal="left" vertical="center" wrapText="1"/>
    </xf>
    <xf numFmtId="0" fontId="16" fillId="0" borderId="39" xfId="0" applyFont="1" applyBorder="1" applyAlignment="1">
      <alignment horizontal="right" vertical="center" wrapText="1"/>
    </xf>
    <xf numFmtId="0" fontId="16" fillId="31" borderId="39" xfId="0" applyFont="1" applyFill="1" applyBorder="1" applyAlignment="1">
      <alignment horizontal="right" vertical="center" wrapText="1"/>
    </xf>
    <xf numFmtId="0" fontId="14" fillId="31" borderId="36" xfId="0" applyFont="1" applyFill="1" applyBorder="1" applyAlignment="1">
      <alignment horizontal="left" vertical="center" wrapText="1"/>
    </xf>
    <xf numFmtId="0" fontId="14" fillId="31" borderId="34" xfId="0" applyFont="1" applyFill="1" applyBorder="1" applyAlignment="1">
      <alignment horizontal="left" vertical="center" wrapText="1"/>
    </xf>
    <xf numFmtId="0" fontId="14" fillId="0" borderId="0" xfId="0" applyFont="1" applyAlignment="1">
      <alignment horizontal="left" vertical="center" wrapText="1"/>
    </xf>
    <xf numFmtId="0" fontId="16" fillId="0" borderId="0" xfId="0" applyFont="1" applyAlignment="1">
      <alignment horizontal="left" vertical="center" wrapText="1"/>
    </xf>
    <xf numFmtId="0" fontId="2" fillId="9" borderId="46" xfId="0" applyFont="1" applyFill="1" applyBorder="1"/>
    <xf numFmtId="0" fontId="24" fillId="0" borderId="46" xfId="2" applyFont="1" applyBorder="1" applyAlignment="1">
      <alignment horizontal="left"/>
    </xf>
    <xf numFmtId="0" fontId="24" fillId="3" borderId="45" xfId="2" applyFont="1" applyFill="1" applyBorder="1" applyAlignment="1">
      <alignment horizontal="left"/>
    </xf>
    <xf numFmtId="0" fontId="24" fillId="0" borderId="45" xfId="2" applyFont="1" applyBorder="1" applyAlignment="1">
      <alignment horizontal="left"/>
    </xf>
    <xf numFmtId="0" fontId="24" fillId="3" borderId="44" xfId="2" applyFont="1" applyFill="1" applyBorder="1" applyAlignment="1">
      <alignment horizontal="left"/>
    </xf>
    <xf numFmtId="0" fontId="3" fillId="0" borderId="46" xfId="2" applyBorder="1" applyAlignment="1">
      <alignment horizontal="center"/>
    </xf>
    <xf numFmtId="0" fontId="3" fillId="0" borderId="20" xfId="2" applyBorder="1" applyAlignment="1">
      <alignment horizontal="center"/>
    </xf>
    <xf numFmtId="0" fontId="3" fillId="0" borderId="11" xfId="2" applyBorder="1" applyAlignment="1">
      <alignment horizontal="center"/>
    </xf>
    <xf numFmtId="0" fontId="5" fillId="9" borderId="45" xfId="2" applyFont="1" applyFill="1" applyBorder="1" applyAlignment="1">
      <alignment horizontal="center"/>
    </xf>
    <xf numFmtId="0" fontId="5" fillId="9" borderId="0" xfId="2" applyFont="1" applyFill="1" applyAlignment="1">
      <alignment horizontal="center"/>
    </xf>
    <xf numFmtId="0" fontId="5" fillId="9" borderId="7" xfId="2" applyFont="1" applyFill="1" applyBorder="1" applyAlignment="1">
      <alignment horizontal="center"/>
    </xf>
    <xf numFmtId="0" fontId="3" fillId="0" borderId="44" xfId="2" applyBorder="1"/>
    <xf numFmtId="0" fontId="3" fillId="0" borderId="29" xfId="2" applyBorder="1"/>
    <xf numFmtId="0" fontId="3" fillId="0" borderId="9" xfId="2" applyBorder="1"/>
    <xf numFmtId="0" fontId="5" fillId="0" borderId="46" xfId="2" applyFont="1" applyBorder="1" applyAlignment="1">
      <alignment horizontal="center"/>
    </xf>
    <xf numFmtId="0" fontId="3" fillId="0" borderId="45" xfId="2" applyBorder="1"/>
    <xf numFmtId="0" fontId="15" fillId="0" borderId="90" xfId="0" applyFont="1" applyBorder="1" applyAlignment="1">
      <alignment horizontal="left" vertical="center"/>
    </xf>
    <xf numFmtId="1" fontId="13" fillId="10" borderId="13" xfId="0" applyNumberFormat="1" applyFont="1" applyFill="1" applyBorder="1" applyAlignment="1">
      <alignment horizontal="center"/>
    </xf>
    <xf numFmtId="0" fontId="13" fillId="0" borderId="13" xfId="0" applyFont="1" applyBorder="1" applyAlignment="1">
      <alignment horizontal="left" vertical="center"/>
    </xf>
    <xf numFmtId="0" fontId="0" fillId="0" borderId="13" xfId="0" applyBorder="1"/>
    <xf numFmtId="0" fontId="0" fillId="24" borderId="13" xfId="0" applyFill="1" applyBorder="1"/>
    <xf numFmtId="0" fontId="13" fillId="7" borderId="13" xfId="0" applyFont="1" applyFill="1" applyBorder="1"/>
    <xf numFmtId="0" fontId="11" fillId="9" borderId="0" xfId="5" applyFill="1"/>
    <xf numFmtId="0" fontId="13" fillId="0" borderId="31" xfId="0" applyFont="1" applyBorder="1" applyAlignment="1">
      <alignment vertical="center" wrapText="1"/>
    </xf>
    <xf numFmtId="0" fontId="13" fillId="0" borderId="10" xfId="0" applyFont="1" applyBorder="1" applyAlignment="1">
      <alignment vertical="center" wrapText="1"/>
    </xf>
    <xf numFmtId="0" fontId="13" fillId="0" borderId="8" xfId="0" applyFont="1" applyBorder="1" applyAlignment="1">
      <alignment vertical="center" wrapText="1"/>
    </xf>
    <xf numFmtId="0" fontId="16" fillId="0" borderId="10" xfId="0" applyFont="1" applyBorder="1" applyAlignment="1">
      <alignment horizontal="center" vertical="center" wrapText="1"/>
    </xf>
    <xf numFmtId="0" fontId="16" fillId="0" borderId="31" xfId="0" applyFont="1" applyBorder="1" applyAlignment="1">
      <alignment horizontal="center" vertical="center" wrapText="1"/>
    </xf>
    <xf numFmtId="0" fontId="16" fillId="0" borderId="30" xfId="0" applyFont="1" applyBorder="1" applyAlignment="1">
      <alignment horizontal="center" vertical="center" wrapText="1"/>
    </xf>
    <xf numFmtId="0" fontId="16" fillId="0" borderId="30" xfId="0" applyFont="1" applyBorder="1" applyAlignment="1">
      <alignment horizontal="justify" vertical="center" wrapText="1"/>
    </xf>
    <xf numFmtId="0" fontId="14" fillId="0" borderId="9" xfId="0" applyFont="1" applyBorder="1" applyAlignment="1">
      <alignment horizontal="justify" vertical="center" wrapText="1"/>
    </xf>
    <xf numFmtId="0" fontId="16" fillId="33" borderId="10" xfId="0" applyFont="1" applyFill="1" applyBorder="1" applyAlignment="1">
      <alignment horizontal="center" vertical="center" wrapText="1"/>
    </xf>
    <xf numFmtId="0" fontId="14" fillId="33" borderId="9" xfId="0" applyFont="1" applyFill="1" applyBorder="1" applyAlignment="1">
      <alignment horizontal="center" vertical="center" wrapText="1"/>
    </xf>
    <xf numFmtId="0" fontId="14" fillId="33" borderId="9" xfId="0" applyFont="1" applyFill="1" applyBorder="1" applyAlignment="1">
      <alignment horizontal="justify" vertical="center" wrapText="1"/>
    </xf>
    <xf numFmtId="0" fontId="23" fillId="0" borderId="13" xfId="0" applyFont="1" applyBorder="1" applyAlignment="1">
      <alignment horizontal="center" vertical="center" wrapText="1"/>
    </xf>
    <xf numFmtId="0" fontId="22" fillId="0" borderId="27" xfId="0" applyFont="1" applyBorder="1" applyAlignment="1">
      <alignment horizontal="center"/>
    </xf>
    <xf numFmtId="0" fontId="22" fillId="0" borderId="27" xfId="0" applyFont="1" applyBorder="1" applyAlignment="1">
      <alignment horizontal="center" vertical="center" wrapText="1"/>
    </xf>
    <xf numFmtId="0" fontId="0" fillId="0" borderId="0" xfId="0" applyAlignment="1">
      <alignment horizontal="left" vertical="top"/>
    </xf>
    <xf numFmtId="0" fontId="23" fillId="3" borderId="0" xfId="0" applyFont="1" applyFill="1" applyAlignment="1">
      <alignment horizontal="left" vertical="top"/>
    </xf>
    <xf numFmtId="0" fontId="0" fillId="3" borderId="0" xfId="0" applyFill="1" applyAlignment="1">
      <alignment horizontal="left" vertical="top"/>
    </xf>
    <xf numFmtId="0" fontId="23" fillId="0" borderId="49" xfId="0" applyFont="1" applyBorder="1" applyAlignment="1">
      <alignment horizontal="left" vertical="top"/>
    </xf>
    <xf numFmtId="0" fontId="23" fillId="3" borderId="59" xfId="0" applyFont="1" applyFill="1" applyBorder="1" applyAlignment="1">
      <alignment horizontal="left" vertical="top"/>
    </xf>
    <xf numFmtId="0" fontId="23" fillId="0" borderId="59" xfId="0" applyFont="1" applyBorder="1" applyAlignment="1">
      <alignment horizontal="left" vertical="top"/>
    </xf>
    <xf numFmtId="0" fontId="44" fillId="0" borderId="14" xfId="0" applyFont="1" applyBorder="1" applyAlignment="1">
      <alignment horizontal="left" vertical="top"/>
    </xf>
    <xf numFmtId="0" fontId="29" fillId="0" borderId="59" xfId="0" applyFont="1" applyBorder="1" applyAlignment="1">
      <alignment horizontal="left" vertical="top"/>
    </xf>
    <xf numFmtId="0" fontId="29" fillId="0" borderId="22" xfId="0" applyFont="1" applyBorder="1" applyAlignment="1">
      <alignment horizontal="left" vertical="top"/>
    </xf>
    <xf numFmtId="1" fontId="44" fillId="0" borderId="14" xfId="0" applyNumberFormat="1" applyFont="1" applyBorder="1" applyAlignment="1">
      <alignment horizontal="left" vertical="top"/>
    </xf>
    <xf numFmtId="0" fontId="29" fillId="0" borderId="59" xfId="0" applyFont="1" applyBorder="1" applyAlignment="1">
      <alignment horizontal="center"/>
    </xf>
    <xf numFmtId="0" fontId="29" fillId="0" borderId="49" xfId="0" applyFont="1" applyBorder="1" applyAlignment="1">
      <alignment horizontal="center"/>
    </xf>
    <xf numFmtId="1" fontId="29" fillId="0" borderId="49" xfId="0" applyNumberFormat="1" applyFont="1" applyBorder="1" applyAlignment="1">
      <alignment horizontal="center"/>
    </xf>
    <xf numFmtId="1" fontId="29" fillId="0" borderId="59" xfId="0" applyNumberFormat="1" applyFont="1" applyBorder="1" applyAlignment="1">
      <alignment horizontal="center"/>
    </xf>
    <xf numFmtId="0" fontId="29" fillId="0" borderId="0" xfId="0" applyFont="1" applyAlignment="1">
      <alignment horizontal="left" vertical="top" wrapText="1"/>
    </xf>
    <xf numFmtId="0" fontId="29" fillId="17" borderId="0" xfId="0" applyFont="1" applyFill="1" applyAlignment="1">
      <alignment horizontal="left" vertical="top" wrapText="1"/>
    </xf>
    <xf numFmtId="0" fontId="44" fillId="0" borderId="14" xfId="0" applyFont="1" applyBorder="1"/>
    <xf numFmtId="1" fontId="44" fillId="0" borderId="69" xfId="0" applyNumberFormat="1" applyFont="1" applyBorder="1" applyAlignment="1">
      <alignment horizontal="left" vertical="top"/>
    </xf>
    <xf numFmtId="0" fontId="29" fillId="0" borderId="68" xfId="0" applyFont="1" applyBorder="1" applyAlignment="1">
      <alignment horizontal="left" vertical="top"/>
    </xf>
    <xf numFmtId="9" fontId="29" fillId="0" borderId="68" xfId="1" applyFont="1" applyBorder="1" applyAlignment="1">
      <alignment horizontal="left" vertical="top"/>
    </xf>
    <xf numFmtId="0" fontId="29" fillId="0" borderId="68" xfId="0" applyFont="1" applyBorder="1"/>
    <xf numFmtId="0" fontId="29" fillId="0" borderId="66" xfId="0" applyFont="1" applyBorder="1" applyAlignment="1">
      <alignment horizontal="left" vertical="top"/>
    </xf>
    <xf numFmtId="0" fontId="44" fillId="0" borderId="69" xfId="0" applyFont="1" applyBorder="1"/>
    <xf numFmtId="0" fontId="29" fillId="0" borderId="28" xfId="0" applyFont="1" applyBorder="1"/>
    <xf numFmtId="9" fontId="29" fillId="0" borderId="0" xfId="1" applyFont="1" applyBorder="1" applyAlignment="1">
      <alignment horizontal="left" vertical="top"/>
    </xf>
    <xf numFmtId="0" fontId="29" fillId="0" borderId="0" xfId="0" applyFont="1" applyAlignment="1">
      <alignment horizontal="left" vertical="top"/>
    </xf>
    <xf numFmtId="0" fontId="29" fillId="0" borderId="50" xfId="0" applyFont="1" applyBorder="1" applyAlignment="1">
      <alignment horizontal="left" vertical="top"/>
    </xf>
    <xf numFmtId="0" fontId="29" fillId="0" borderId="49" xfId="0" applyFont="1" applyBorder="1" applyAlignment="1">
      <alignment horizontal="left" vertical="top"/>
    </xf>
    <xf numFmtId="0" fontId="29" fillId="0" borderId="25" xfId="0" applyFont="1" applyBorder="1" applyAlignment="1">
      <alignment horizontal="left" vertical="top"/>
    </xf>
    <xf numFmtId="0" fontId="29" fillId="0" borderId="49" xfId="0" applyFont="1" applyBorder="1"/>
    <xf numFmtId="9" fontId="29" fillId="0" borderId="49" xfId="1" applyFont="1" applyBorder="1" applyAlignment="1">
      <alignment horizontal="left" vertical="top"/>
    </xf>
    <xf numFmtId="1" fontId="44" fillId="0" borderId="22" xfId="0" applyNumberFormat="1" applyFont="1" applyBorder="1" applyAlignment="1">
      <alignment horizontal="left" vertical="top"/>
    </xf>
    <xf numFmtId="0" fontId="44" fillId="0" borderId="28" xfId="0" applyFont="1" applyBorder="1" applyAlignment="1">
      <alignment horizontal="left" vertical="top"/>
    </xf>
    <xf numFmtId="0" fontId="44" fillId="0" borderId="69" xfId="0" applyFont="1" applyBorder="1" applyAlignment="1">
      <alignment horizontal="left" vertical="top"/>
    </xf>
    <xf numFmtId="0" fontId="29" fillId="0" borderId="66" xfId="0" applyFont="1" applyBorder="1"/>
    <xf numFmtId="0" fontId="29" fillId="0" borderId="50" xfId="0" applyFont="1" applyBorder="1"/>
    <xf numFmtId="0" fontId="29" fillId="0" borderId="28" xfId="0" applyFont="1" applyBorder="1" applyAlignment="1">
      <alignment horizontal="left" vertical="top"/>
    </xf>
    <xf numFmtId="1" fontId="29" fillId="0" borderId="0" xfId="0" applyNumberFormat="1" applyFont="1" applyAlignment="1">
      <alignment horizontal="center"/>
    </xf>
    <xf numFmtId="0" fontId="29" fillId="0" borderId="44" xfId="0" applyFont="1" applyBorder="1"/>
    <xf numFmtId="0" fontId="29" fillId="0" borderId="29" xfId="0" applyFont="1" applyBorder="1"/>
    <xf numFmtId="0" fontId="29" fillId="0" borderId="9" xfId="0" applyFont="1" applyBorder="1"/>
    <xf numFmtId="0" fontId="29" fillId="0" borderId="41" xfId="0" applyFont="1" applyBorder="1" applyAlignment="1">
      <alignment horizontal="center"/>
    </xf>
    <xf numFmtId="0" fontId="29" fillId="0" borderId="40" xfId="0" applyFont="1" applyBorder="1" applyAlignment="1">
      <alignment horizontal="center"/>
    </xf>
    <xf numFmtId="0" fontId="29" fillId="14" borderId="40" xfId="0" applyFont="1" applyFill="1" applyBorder="1" applyAlignment="1">
      <alignment horizontal="right"/>
    </xf>
    <xf numFmtId="0" fontId="29" fillId="14" borderId="40" xfId="0" applyFont="1" applyFill="1" applyBorder="1" applyAlignment="1">
      <alignment horizontal="center"/>
    </xf>
    <xf numFmtId="168" fontId="29" fillId="0" borderId="40" xfId="0" applyNumberFormat="1" applyFont="1" applyBorder="1" applyAlignment="1">
      <alignment horizontal="center"/>
    </xf>
    <xf numFmtId="0" fontId="29" fillId="0" borderId="40" xfId="0" applyFont="1" applyBorder="1"/>
    <xf numFmtId="0" fontId="29" fillId="0" borderId="30" xfId="0" applyFont="1" applyBorder="1" applyAlignment="1">
      <alignment horizontal="center"/>
    </xf>
    <xf numFmtId="0" fontId="44" fillId="0" borderId="15" xfId="0" applyFont="1" applyBorder="1" applyAlignment="1">
      <alignment horizontal="left" vertical="top"/>
    </xf>
    <xf numFmtId="1" fontId="44" fillId="0" borderId="15" xfId="0" applyNumberFormat="1" applyFont="1" applyBorder="1" applyAlignment="1">
      <alignment horizontal="left" vertical="top"/>
    </xf>
    <xf numFmtId="9" fontId="29" fillId="0" borderId="25" xfId="1" applyFont="1" applyBorder="1" applyAlignment="1">
      <alignment horizontal="left" vertical="top"/>
    </xf>
    <xf numFmtId="9" fontId="44" fillId="0" borderId="15" xfId="1" applyFont="1" applyBorder="1" applyAlignment="1">
      <alignment horizontal="left" vertical="top"/>
    </xf>
    <xf numFmtId="1" fontId="13" fillId="0" borderId="39" xfId="1" applyNumberFormat="1" applyFont="1" applyBorder="1" applyAlignment="1">
      <alignment horizontal="center"/>
    </xf>
    <xf numFmtId="1" fontId="13" fillId="0" borderId="37" xfId="1" applyNumberFormat="1" applyFont="1" applyBorder="1" applyAlignment="1">
      <alignment horizontal="center"/>
    </xf>
    <xf numFmtId="0" fontId="16" fillId="0" borderId="31" xfId="0" applyFont="1" applyBorder="1" applyAlignment="1">
      <alignment horizontal="justify" vertical="center" wrapText="1"/>
    </xf>
    <xf numFmtId="0" fontId="16" fillId="0" borderId="10" xfId="0" applyFont="1" applyBorder="1" applyAlignment="1">
      <alignment horizontal="justify" vertical="center" wrapText="1"/>
    </xf>
    <xf numFmtId="0" fontId="45" fillId="0" borderId="10" xfId="0" applyFont="1" applyBorder="1" applyAlignment="1">
      <alignment horizontal="justify" vertical="center" wrapText="1"/>
    </xf>
    <xf numFmtId="0" fontId="45" fillId="7" borderId="0" xfId="6" applyFont="1" applyFill="1"/>
    <xf numFmtId="0" fontId="45" fillId="0" borderId="0" xfId="6" applyFont="1"/>
    <xf numFmtId="0" fontId="45" fillId="0" borderId="0" xfId="6" applyFont="1" applyAlignment="1">
      <alignment horizontal="center"/>
    </xf>
    <xf numFmtId="0" fontId="45" fillId="0" borderId="0" xfId="6" applyFont="1" applyAlignment="1">
      <alignment horizontal="left"/>
    </xf>
    <xf numFmtId="0" fontId="29" fillId="0" borderId="0" xfId="6" applyFont="1"/>
    <xf numFmtId="0" fontId="45" fillId="7" borderId="46" xfId="6" applyFont="1" applyFill="1" applyBorder="1"/>
    <xf numFmtId="0" fontId="45" fillId="0" borderId="45" xfId="6" applyFont="1" applyBorder="1"/>
    <xf numFmtId="0" fontId="29" fillId="0" borderId="31" xfId="6" applyFont="1" applyBorder="1" applyAlignment="1">
      <alignment horizontal="justify" vertical="center" wrapText="1"/>
    </xf>
    <xf numFmtId="0" fontId="29" fillId="0" borderId="30" xfId="6" applyFont="1" applyBorder="1" applyAlignment="1">
      <alignment horizontal="justify" vertical="center" wrapText="1"/>
    </xf>
    <xf numFmtId="0" fontId="29" fillId="34" borderId="31" xfId="6" applyFont="1" applyFill="1" applyBorder="1" applyAlignment="1">
      <alignment horizontal="center" vertical="center" wrapText="1"/>
    </xf>
    <xf numFmtId="0" fontId="29" fillId="34" borderId="31" xfId="6" applyFont="1" applyFill="1" applyBorder="1" applyAlignment="1">
      <alignment horizontal="justify" vertical="center" wrapText="1"/>
    </xf>
    <xf numFmtId="0" fontId="29" fillId="34" borderId="30" xfId="6" applyFont="1" applyFill="1" applyBorder="1" applyAlignment="1">
      <alignment horizontal="justify" vertical="center" wrapText="1"/>
    </xf>
    <xf numFmtId="0" fontId="29" fillId="0" borderId="31" xfId="6" applyFont="1" applyBorder="1" applyAlignment="1">
      <alignment horizontal="center" vertical="center" wrapText="1"/>
    </xf>
    <xf numFmtId="0" fontId="29" fillId="0" borderId="0" xfId="6" applyFont="1" applyAlignment="1">
      <alignment horizontal="justify" vertical="center" wrapText="1"/>
    </xf>
    <xf numFmtId="0" fontId="45" fillId="0" borderId="31" xfId="0" applyFont="1" applyBorder="1" applyAlignment="1">
      <alignment horizontal="center" vertical="center" wrapText="1"/>
    </xf>
    <xf numFmtId="0" fontId="45" fillId="0" borderId="31" xfId="0" applyFont="1" applyBorder="1" applyAlignment="1">
      <alignment horizontal="justify" vertical="center" wrapText="1"/>
    </xf>
    <xf numFmtId="0" fontId="29" fillId="0" borderId="30" xfId="6" applyFont="1" applyBorder="1" applyAlignment="1">
      <alignment horizontal="center" vertical="center" wrapText="1"/>
    </xf>
    <xf numFmtId="0" fontId="29" fillId="0" borderId="8" xfId="6" applyFont="1" applyBorder="1" applyAlignment="1">
      <alignment horizontal="center" vertical="center" wrapText="1"/>
    </xf>
    <xf numFmtId="0" fontId="29" fillId="0" borderId="91" xfId="6" applyFont="1" applyBorder="1" applyAlignment="1">
      <alignment horizontal="center" vertical="center" wrapText="1"/>
    </xf>
    <xf numFmtId="0" fontId="29" fillId="0" borderId="0" xfId="6" applyFont="1" applyAlignment="1">
      <alignment horizontal="center" vertical="center" wrapText="1"/>
    </xf>
    <xf numFmtId="0" fontId="49" fillId="0" borderId="31" xfId="0" applyFont="1" applyBorder="1" applyAlignment="1">
      <alignment horizontal="justify" vertical="center" wrapText="1"/>
    </xf>
    <xf numFmtId="0" fontId="45" fillId="0" borderId="30" xfId="0" applyFont="1" applyBorder="1" applyAlignment="1">
      <alignment horizontal="justify" vertical="center" wrapText="1"/>
    </xf>
    <xf numFmtId="0" fontId="50" fillId="0" borderId="31" xfId="0" applyFont="1" applyBorder="1" applyAlignment="1">
      <alignment horizontal="left" vertical="center"/>
    </xf>
    <xf numFmtId="0" fontId="45" fillId="0" borderId="0" xfId="0" applyFont="1" applyAlignment="1">
      <alignment horizontal="justify" vertical="center"/>
    </xf>
    <xf numFmtId="0" fontId="50" fillId="0" borderId="31" xfId="0" applyFont="1" applyBorder="1" applyAlignment="1">
      <alignment horizontal="justify" vertical="center"/>
    </xf>
    <xf numFmtId="0" fontId="50" fillId="0" borderId="30" xfId="0" applyFont="1" applyBorder="1" applyAlignment="1">
      <alignment horizontal="right" vertical="center" wrapText="1"/>
    </xf>
    <xf numFmtId="0" fontId="50" fillId="0" borderId="30" xfId="0" applyFont="1" applyBorder="1" applyAlignment="1">
      <alignment horizontal="justify" vertical="center"/>
    </xf>
    <xf numFmtId="0" fontId="50" fillId="34" borderId="30" xfId="0" applyFont="1" applyFill="1" applyBorder="1" applyAlignment="1">
      <alignment horizontal="right" vertical="center"/>
    </xf>
    <xf numFmtId="0" fontId="50" fillId="36" borderId="30" xfId="0" applyFont="1" applyFill="1" applyBorder="1" applyAlignment="1">
      <alignment horizontal="justify" vertical="center"/>
    </xf>
    <xf numFmtId="0" fontId="45" fillId="7" borderId="45" xfId="6" applyFont="1" applyFill="1" applyBorder="1"/>
    <xf numFmtId="0" fontId="29" fillId="4" borderId="10" xfId="6" applyFont="1" applyFill="1" applyBorder="1" applyAlignment="1">
      <alignment horizontal="justify" vertical="center" wrapText="1"/>
    </xf>
    <xf numFmtId="0" fontId="29" fillId="4" borderId="9" xfId="6" applyFont="1" applyFill="1" applyBorder="1" applyAlignment="1">
      <alignment horizontal="justify" vertical="center" wrapText="1"/>
    </xf>
    <xf numFmtId="0" fontId="29" fillId="0" borderId="10" xfId="6" applyFont="1" applyBorder="1" applyAlignment="1">
      <alignment horizontal="center" vertical="center" wrapText="1"/>
    </xf>
    <xf numFmtId="0" fontId="29" fillId="0" borderId="10" xfId="6" applyFont="1" applyBorder="1" applyAlignment="1">
      <alignment horizontal="justify" vertical="center" wrapText="1"/>
    </xf>
    <xf numFmtId="0" fontId="29" fillId="0" borderId="9" xfId="6" applyFont="1" applyBorder="1" applyAlignment="1">
      <alignment horizontal="justify" vertical="center" wrapText="1"/>
    </xf>
    <xf numFmtId="0" fontId="29" fillId="34" borderId="10" xfId="6" applyFont="1" applyFill="1" applyBorder="1" applyAlignment="1">
      <alignment horizontal="justify" vertical="center" wrapText="1"/>
    </xf>
    <xf numFmtId="0" fontId="29" fillId="34" borderId="10" xfId="6" applyFont="1" applyFill="1" applyBorder="1" applyAlignment="1">
      <alignment horizontal="center" vertical="center" wrapText="1"/>
    </xf>
    <xf numFmtId="0" fontId="29" fillId="34" borderId="0" xfId="6" applyFont="1" applyFill="1" applyAlignment="1">
      <alignment horizontal="justify" vertical="center" wrapText="1"/>
    </xf>
    <xf numFmtId="0" fontId="45" fillId="34" borderId="10" xfId="0" applyFont="1" applyFill="1" applyBorder="1" applyAlignment="1">
      <alignment horizontal="center" vertical="center" wrapText="1"/>
    </xf>
    <xf numFmtId="0" fontId="45" fillId="34" borderId="10" xfId="0" applyFont="1" applyFill="1" applyBorder="1" applyAlignment="1">
      <alignment horizontal="justify" vertical="center" wrapText="1"/>
    </xf>
    <xf numFmtId="0" fontId="29" fillId="0" borderId="0" xfId="6" applyFont="1" applyAlignment="1">
      <alignment horizontal="center" vertical="center"/>
    </xf>
    <xf numFmtId="0" fontId="29" fillId="0" borderId="9" xfId="6" applyFont="1" applyBorder="1" applyAlignment="1">
      <alignment horizontal="center" vertical="center" wrapText="1"/>
    </xf>
    <xf numFmtId="0" fontId="45" fillId="4" borderId="10" xfId="0" applyFont="1" applyFill="1" applyBorder="1" applyAlignment="1">
      <alignment horizontal="justify" vertical="center" wrapText="1"/>
    </xf>
    <xf numFmtId="0" fontId="45" fillId="4" borderId="10" xfId="0" applyFont="1" applyFill="1" applyBorder="1" applyAlignment="1">
      <alignment horizontal="center" vertical="center" wrapText="1"/>
    </xf>
    <xf numFmtId="0" fontId="49" fillId="34" borderId="10" xfId="0" applyFont="1" applyFill="1" applyBorder="1" applyAlignment="1">
      <alignment horizontal="justify" vertical="center" wrapText="1"/>
    </xf>
    <xf numFmtId="0" fontId="45" fillId="34" borderId="9" xfId="0" applyFont="1" applyFill="1" applyBorder="1" applyAlignment="1">
      <alignment horizontal="justify" vertical="center" wrapText="1"/>
    </xf>
    <xf numFmtId="0" fontId="50" fillId="0" borderId="10" xfId="0" applyFont="1" applyBorder="1" applyAlignment="1">
      <alignment horizontal="left" vertical="center"/>
    </xf>
    <xf numFmtId="0" fontId="45" fillId="33" borderId="10" xfId="0" applyFont="1" applyFill="1" applyBorder="1" applyAlignment="1">
      <alignment horizontal="justify" vertical="center" wrapText="1"/>
    </xf>
    <xf numFmtId="0" fontId="50" fillId="0" borderId="10" xfId="0" applyFont="1" applyBorder="1" applyAlignment="1">
      <alignment horizontal="justify" vertical="center"/>
    </xf>
    <xf numFmtId="0" fontId="50" fillId="0" borderId="9" xfId="0" applyFont="1" applyBorder="1" applyAlignment="1">
      <alignment horizontal="right" vertical="center" wrapText="1"/>
    </xf>
    <xf numFmtId="0" fontId="50" fillId="0" borderId="9" xfId="0" applyFont="1" applyBorder="1" applyAlignment="1">
      <alignment horizontal="justify" vertical="center"/>
    </xf>
    <xf numFmtId="0" fontId="50" fillId="34" borderId="9" xfId="0" applyFont="1" applyFill="1" applyBorder="1" applyAlignment="1">
      <alignment horizontal="right" vertical="center"/>
    </xf>
    <xf numFmtId="0" fontId="51" fillId="37" borderId="9" xfId="0" applyFont="1" applyFill="1" applyBorder="1" applyAlignment="1">
      <alignment horizontal="justify" vertical="center"/>
    </xf>
    <xf numFmtId="0" fontId="45" fillId="9" borderId="0" xfId="6" applyFont="1" applyFill="1" applyAlignment="1">
      <alignment horizontal="left"/>
    </xf>
    <xf numFmtId="0" fontId="29" fillId="34" borderId="9" xfId="6" applyFont="1" applyFill="1" applyBorder="1" applyAlignment="1">
      <alignment horizontal="justify" vertical="center" wrapText="1"/>
    </xf>
    <xf numFmtId="0" fontId="45" fillId="0" borderId="10" xfId="0" applyFont="1" applyBorder="1" applyAlignment="1">
      <alignment horizontal="center" vertical="center" wrapText="1"/>
    </xf>
    <xf numFmtId="0" fontId="49" fillId="0" borderId="10" xfId="0" applyFont="1" applyBorder="1" applyAlignment="1">
      <alignment horizontal="justify" vertical="center" wrapText="1"/>
    </xf>
    <xf numFmtId="0" fontId="45" fillId="0" borderId="9" xfId="0" applyFont="1" applyBorder="1" applyAlignment="1">
      <alignment horizontal="justify" vertical="center" wrapText="1"/>
    </xf>
    <xf numFmtId="0" fontId="50" fillId="36" borderId="9" xfId="0" applyFont="1" applyFill="1" applyBorder="1" applyAlignment="1">
      <alignment horizontal="justify" vertical="center"/>
    </xf>
    <xf numFmtId="0" fontId="47" fillId="34" borderId="9" xfId="0" applyFont="1" applyFill="1" applyBorder="1" applyAlignment="1">
      <alignment horizontal="justify" vertical="center" wrapText="1"/>
    </xf>
    <xf numFmtId="0" fontId="45" fillId="7" borderId="44" xfId="6" applyFont="1" applyFill="1" applyBorder="1"/>
    <xf numFmtId="0" fontId="45" fillId="35" borderId="10" xfId="0" applyFont="1" applyFill="1" applyBorder="1" applyAlignment="1">
      <alignment horizontal="justify" vertical="center" wrapText="1"/>
    </xf>
    <xf numFmtId="0" fontId="29" fillId="34" borderId="8" xfId="6" applyFont="1" applyFill="1" applyBorder="1" applyAlignment="1">
      <alignment horizontal="center" vertical="center" wrapText="1"/>
    </xf>
    <xf numFmtId="0" fontId="44" fillId="0" borderId="91" xfId="6" applyFont="1" applyBorder="1" applyAlignment="1">
      <alignment horizontal="center" vertical="center" wrapText="1"/>
    </xf>
    <xf numFmtId="0" fontId="44" fillId="0" borderId="9" xfId="6" applyFont="1" applyBorder="1" applyAlignment="1">
      <alignment horizontal="center" vertical="center" wrapText="1"/>
    </xf>
    <xf numFmtId="0" fontId="44" fillId="0" borderId="30" xfId="6" applyFont="1" applyBorder="1" applyAlignment="1">
      <alignment horizontal="center" vertical="center" wrapText="1"/>
    </xf>
    <xf numFmtId="0" fontId="29" fillId="0" borderId="0" xfId="0" applyFont="1" applyAlignment="1">
      <alignment horizontal="left"/>
    </xf>
    <xf numFmtId="0" fontId="50" fillId="0" borderId="9" xfId="0" applyFont="1" applyBorder="1" applyAlignment="1">
      <alignment horizontal="right" vertical="center"/>
    </xf>
    <xf numFmtId="0" fontId="45" fillId="4" borderId="8" xfId="0" applyFont="1" applyFill="1" applyBorder="1" applyAlignment="1">
      <alignment horizontal="justify" vertical="center" wrapText="1"/>
    </xf>
    <xf numFmtId="0" fontId="44" fillId="9" borderId="0" xfId="0" applyFont="1" applyFill="1" applyAlignment="1">
      <alignment horizontal="left"/>
    </xf>
    <xf numFmtId="1" fontId="45" fillId="9" borderId="31" xfId="6" applyNumberFormat="1" applyFont="1" applyFill="1" applyBorder="1" applyAlignment="1">
      <alignment horizontal="left"/>
    </xf>
    <xf numFmtId="0" fontId="49" fillId="0" borderId="31" xfId="6" applyFont="1" applyBorder="1" applyAlignment="1">
      <alignment horizontal="left"/>
    </xf>
    <xf numFmtId="0" fontId="45" fillId="0" borderId="8" xfId="0" applyFont="1" applyBorder="1" applyAlignment="1">
      <alignment horizontal="justify" vertical="center" wrapText="1"/>
    </xf>
    <xf numFmtId="0" fontId="44" fillId="0" borderId="31" xfId="0" applyFont="1" applyBorder="1" applyAlignment="1">
      <alignment horizontal="justify" vertical="center" wrapText="1"/>
    </xf>
    <xf numFmtId="0" fontId="45" fillId="9" borderId="0" xfId="6" applyFont="1" applyFill="1" applyAlignment="1">
      <alignment horizontal="center"/>
    </xf>
    <xf numFmtId="0" fontId="50" fillId="37" borderId="9" xfId="0" applyFont="1" applyFill="1" applyBorder="1" applyAlignment="1">
      <alignment horizontal="justify" vertical="center"/>
    </xf>
    <xf numFmtId="0" fontId="44" fillId="34" borderId="10" xfId="0" applyFont="1" applyFill="1" applyBorder="1" applyAlignment="1">
      <alignment horizontal="justify" vertical="center" wrapText="1"/>
    </xf>
    <xf numFmtId="0" fontId="44" fillId="0" borderId="10" xfId="0" applyFont="1" applyBorder="1" applyAlignment="1">
      <alignment horizontal="justify" vertical="center" wrapText="1"/>
    </xf>
    <xf numFmtId="0" fontId="47" fillId="0" borderId="0" xfId="6" applyFont="1" applyAlignment="1">
      <alignment horizontal="left"/>
    </xf>
    <xf numFmtId="0" fontId="45" fillId="9" borderId="31" xfId="6" applyFont="1" applyFill="1" applyBorder="1" applyAlignment="1">
      <alignment horizontal="left"/>
    </xf>
    <xf numFmtId="0" fontId="45" fillId="0" borderId="20" xfId="6" applyFont="1" applyBorder="1" applyAlignment="1">
      <alignment horizontal="center"/>
    </xf>
    <xf numFmtId="0" fontId="47" fillId="0" borderId="11" xfId="6" applyFont="1" applyBorder="1" applyAlignment="1">
      <alignment horizontal="left"/>
    </xf>
    <xf numFmtId="0" fontId="47" fillId="0" borderId="7" xfId="6" applyFont="1" applyBorder="1" applyAlignment="1">
      <alignment horizontal="left"/>
    </xf>
    <xf numFmtId="0" fontId="45" fillId="0" borderId="44" xfId="6" applyFont="1" applyBorder="1"/>
    <xf numFmtId="0" fontId="45" fillId="0" borderId="29" xfId="6" applyFont="1" applyBorder="1" applyAlignment="1">
      <alignment horizontal="center"/>
    </xf>
    <xf numFmtId="0" fontId="47" fillId="0" borderId="9" xfId="6" applyFont="1" applyBorder="1" applyAlignment="1">
      <alignment horizontal="left"/>
    </xf>
    <xf numFmtId="0" fontId="45" fillId="0" borderId="46" xfId="6" applyFont="1" applyBorder="1"/>
    <xf numFmtId="0" fontId="45" fillId="0" borderId="45" xfId="6" applyFont="1" applyBorder="1" applyAlignment="1">
      <alignment horizontal="right"/>
    </xf>
    <xf numFmtId="0" fontId="29" fillId="7" borderId="0" xfId="0" applyFont="1" applyFill="1"/>
    <xf numFmtId="0" fontId="49" fillId="9" borderId="46" xfId="6" applyFont="1" applyFill="1" applyBorder="1"/>
    <xf numFmtId="0" fontId="14" fillId="0" borderId="10" xfId="0" applyFont="1" applyBorder="1" applyAlignment="1">
      <alignment horizontal="justify" vertical="center" wrapText="1"/>
    </xf>
    <xf numFmtId="0" fontId="35" fillId="5" borderId="13" xfId="0" applyFont="1" applyFill="1" applyBorder="1" applyAlignment="1">
      <alignment horizontal="center"/>
    </xf>
    <xf numFmtId="0" fontId="35" fillId="5" borderId="33" xfId="0" applyFont="1" applyFill="1" applyBorder="1" applyAlignment="1">
      <alignment horizontal="center"/>
    </xf>
    <xf numFmtId="0" fontId="35" fillId="38" borderId="13" xfId="0" applyFont="1" applyFill="1" applyBorder="1" applyAlignment="1">
      <alignment horizontal="center"/>
    </xf>
    <xf numFmtId="0" fontId="35" fillId="38" borderId="33" xfId="0" applyFont="1" applyFill="1" applyBorder="1" applyAlignment="1">
      <alignment horizontal="center"/>
    </xf>
    <xf numFmtId="0" fontId="35" fillId="0" borderId="0" xfId="0" applyFont="1" applyAlignment="1">
      <alignment horizontal="center"/>
    </xf>
    <xf numFmtId="0" fontId="35" fillId="38" borderId="27" xfId="0" applyFont="1" applyFill="1" applyBorder="1" applyAlignment="1">
      <alignment horizontal="center"/>
    </xf>
    <xf numFmtId="0" fontId="34" fillId="0" borderId="38" xfId="0" applyFont="1" applyBorder="1" applyAlignment="1">
      <alignment vertical="center" wrapText="1"/>
    </xf>
    <xf numFmtId="1" fontId="23" fillId="0" borderId="0" xfId="0" applyNumberFormat="1" applyFont="1" applyAlignment="1">
      <alignment horizontal="left"/>
    </xf>
    <xf numFmtId="0" fontId="34" fillId="0" borderId="13" xfId="0" applyFont="1" applyBorder="1" applyAlignment="1">
      <alignment vertical="center" wrapText="1"/>
    </xf>
    <xf numFmtId="0" fontId="23" fillId="0" borderId="20" xfId="0" applyFont="1" applyBorder="1" applyAlignment="1">
      <alignment horizontal="center"/>
    </xf>
    <xf numFmtId="1" fontId="23" fillId="0" borderId="20" xfId="0" applyNumberFormat="1" applyFont="1" applyBorder="1" applyAlignment="1">
      <alignment horizontal="left"/>
    </xf>
    <xf numFmtId="1" fontId="23" fillId="0" borderId="11" xfId="0" applyNumberFormat="1" applyFont="1" applyBorder="1" applyAlignment="1">
      <alignment horizontal="left"/>
    </xf>
    <xf numFmtId="1" fontId="23" fillId="0" borderId="7" xfId="0" applyNumberFormat="1" applyFont="1" applyBorder="1" applyAlignment="1">
      <alignment horizontal="left"/>
    </xf>
    <xf numFmtId="0" fontId="23" fillId="0" borderId="29" xfId="0" applyFont="1" applyBorder="1" applyAlignment="1">
      <alignment horizontal="center"/>
    </xf>
    <xf numFmtId="1" fontId="23" fillId="0" borderId="29" xfId="0" applyNumberFormat="1" applyFont="1" applyBorder="1" applyAlignment="1">
      <alignment horizontal="left"/>
    </xf>
    <xf numFmtId="1" fontId="23" fillId="0" borderId="9" xfId="0" applyNumberFormat="1" applyFont="1" applyBorder="1" applyAlignment="1">
      <alignment horizontal="left"/>
    </xf>
    <xf numFmtId="0" fontId="23" fillId="0" borderId="13" xfId="0" applyFont="1" applyBorder="1" applyAlignment="1">
      <alignment horizontal="center"/>
    </xf>
    <xf numFmtId="0" fontId="22" fillId="0" borderId="13" xfId="0" applyFont="1" applyBorder="1" applyAlignment="1">
      <alignment horizontal="center"/>
    </xf>
    <xf numFmtId="0" fontId="23" fillId="0" borderId="36" xfId="0" applyFont="1" applyBorder="1" applyAlignment="1">
      <alignment horizontal="center"/>
    </xf>
    <xf numFmtId="0" fontId="23" fillId="0" borderId="35" xfId="0" applyFont="1" applyBorder="1" applyAlignment="1">
      <alignment horizontal="center"/>
    </xf>
    <xf numFmtId="0" fontId="23" fillId="0" borderId="34" xfId="0" applyFont="1" applyBorder="1" applyAlignment="1">
      <alignment horizontal="center"/>
    </xf>
    <xf numFmtId="0" fontId="23" fillId="0" borderId="33" xfId="0" applyFont="1" applyBorder="1" applyAlignment="1">
      <alignment horizontal="center"/>
    </xf>
    <xf numFmtId="0" fontId="23" fillId="0" borderId="32" xfId="0" applyFont="1" applyBorder="1" applyAlignment="1">
      <alignment horizontal="center"/>
    </xf>
    <xf numFmtId="0" fontId="34" fillId="0" borderId="74" xfId="0" applyFont="1" applyBorder="1" applyAlignment="1">
      <alignment vertical="center" wrapText="1"/>
    </xf>
    <xf numFmtId="0" fontId="34" fillId="0" borderId="22" xfId="0" applyFont="1" applyBorder="1" applyAlignment="1">
      <alignment vertical="center" wrapText="1"/>
    </xf>
    <xf numFmtId="0" fontId="35" fillId="0" borderId="22" xfId="0" applyFont="1" applyBorder="1" applyAlignment="1">
      <alignment vertical="center" wrapText="1"/>
    </xf>
    <xf numFmtId="0" fontId="23" fillId="0" borderId="22" xfId="0" applyFont="1" applyBorder="1" applyAlignment="1">
      <alignment horizontal="center"/>
    </xf>
    <xf numFmtId="0" fontId="22" fillId="0" borderId="22" xfId="0" applyFont="1" applyBorder="1" applyAlignment="1">
      <alignment horizontal="center"/>
    </xf>
    <xf numFmtId="0" fontId="23" fillId="0" borderId="57" xfId="0" applyFont="1" applyBorder="1" applyAlignment="1">
      <alignment horizontal="center"/>
    </xf>
    <xf numFmtId="0" fontId="34" fillId="9" borderId="48" xfId="0" applyFont="1" applyFill="1" applyBorder="1" applyProtection="1">
      <protection locked="0"/>
    </xf>
    <xf numFmtId="0" fontId="34" fillId="9" borderId="24" xfId="0" applyFont="1" applyFill="1" applyBorder="1" applyProtection="1">
      <protection locked="0"/>
    </xf>
    <xf numFmtId="0" fontId="35" fillId="9" borderId="24" xfId="0" applyFont="1" applyFill="1" applyBorder="1" applyProtection="1">
      <protection locked="0"/>
    </xf>
    <xf numFmtId="0" fontId="23" fillId="9" borderId="24" xfId="0" applyFont="1" applyFill="1" applyBorder="1"/>
    <xf numFmtId="0" fontId="34" fillId="9" borderId="24" xfId="0" quotePrefix="1" applyFont="1" applyFill="1" applyBorder="1" applyProtection="1">
      <protection locked="0"/>
    </xf>
    <xf numFmtId="0" fontId="23" fillId="9" borderId="23" xfId="0" applyFont="1" applyFill="1" applyBorder="1"/>
    <xf numFmtId="0" fontId="45" fillId="9" borderId="13" xfId="6" applyFont="1" applyFill="1" applyBorder="1" applyAlignment="1">
      <alignment horizontal="center"/>
    </xf>
    <xf numFmtId="0" fontId="22" fillId="9" borderId="14" xfId="0" applyFont="1" applyFill="1" applyBorder="1"/>
    <xf numFmtId="0" fontId="23" fillId="9" borderId="14" xfId="0" applyFont="1" applyFill="1" applyBorder="1"/>
    <xf numFmtId="0" fontId="23" fillId="0" borderId="39" xfId="0" applyFont="1" applyBorder="1" applyAlignment="1">
      <alignment horizontal="center"/>
    </xf>
    <xf numFmtId="0" fontId="23" fillId="0" borderId="38" xfId="0" applyFont="1" applyBorder="1" applyAlignment="1">
      <alignment horizontal="center"/>
    </xf>
    <xf numFmtId="0" fontId="23" fillId="0" borderId="37" xfId="0" applyFont="1" applyBorder="1" applyAlignment="1">
      <alignment horizontal="center"/>
    </xf>
    <xf numFmtId="1" fontId="23" fillId="10" borderId="0" xfId="0" applyNumberFormat="1" applyFont="1" applyFill="1" applyAlignment="1">
      <alignment horizontal="left"/>
    </xf>
    <xf numFmtId="1" fontId="23" fillId="10" borderId="20" xfId="0" applyNumberFormat="1" applyFont="1" applyFill="1" applyBorder="1" applyAlignment="1">
      <alignment horizontal="left"/>
    </xf>
    <xf numFmtId="0" fontId="14" fillId="0" borderId="31" xfId="0" applyFont="1" applyBorder="1" applyAlignment="1">
      <alignment horizontal="left" vertical="center" wrapText="1"/>
    </xf>
    <xf numFmtId="0" fontId="14" fillId="34" borderId="10" xfId="0" applyFont="1" applyFill="1" applyBorder="1" applyAlignment="1">
      <alignment horizontal="left" vertical="center" wrapText="1"/>
    </xf>
    <xf numFmtId="0" fontId="34" fillId="0" borderId="63" xfId="0" applyFont="1" applyBorder="1" applyAlignment="1">
      <alignment vertical="center" wrapText="1"/>
    </xf>
    <xf numFmtId="0" fontId="34" fillId="0" borderId="14" xfId="0" applyFont="1" applyBorder="1" applyAlignment="1">
      <alignment vertical="center" wrapText="1"/>
    </xf>
    <xf numFmtId="0" fontId="23" fillId="0" borderId="14" xfId="0" applyFont="1" applyBorder="1" applyAlignment="1">
      <alignment horizontal="center"/>
    </xf>
    <xf numFmtId="0" fontId="22" fillId="0" borderId="14" xfId="0" applyFont="1" applyBorder="1" applyAlignment="1">
      <alignment horizontal="center"/>
    </xf>
    <xf numFmtId="0" fontId="23" fillId="0" borderId="55" xfId="0" applyFont="1" applyBorder="1" applyAlignment="1">
      <alignment horizontal="center"/>
    </xf>
    <xf numFmtId="1" fontId="23" fillId="10" borderId="13" xfId="0" applyNumberFormat="1" applyFont="1" applyFill="1" applyBorder="1" applyAlignment="1">
      <alignment horizontal="center"/>
    </xf>
    <xf numFmtId="0" fontId="45" fillId="9" borderId="9" xfId="6" applyFont="1" applyFill="1" applyBorder="1" applyAlignment="1">
      <alignment horizontal="left"/>
    </xf>
    <xf numFmtId="0" fontId="44" fillId="0" borderId="31" xfId="0" applyFont="1" applyBorder="1" applyAlignment="1">
      <alignment horizontal="left"/>
    </xf>
    <xf numFmtId="0" fontId="46" fillId="3" borderId="0" xfId="0" applyFont="1" applyFill="1"/>
    <xf numFmtId="0" fontId="46" fillId="3" borderId="0" xfId="0" applyFont="1" applyFill="1" applyAlignment="1">
      <alignment horizontal="center"/>
    </xf>
    <xf numFmtId="0" fontId="46" fillId="3" borderId="0" xfId="0" applyFont="1" applyFill="1" applyAlignment="1">
      <alignment horizontal="left"/>
    </xf>
    <xf numFmtId="0" fontId="44" fillId="0" borderId="0" xfId="0" applyFont="1"/>
    <xf numFmtId="0" fontId="46" fillId="10" borderId="0" xfId="0" applyFont="1" applyFill="1" applyAlignment="1">
      <alignment horizontal="center"/>
    </xf>
    <xf numFmtId="0" fontId="49" fillId="0" borderId="0" xfId="6" applyFont="1"/>
    <xf numFmtId="0" fontId="29" fillId="34" borderId="0" xfId="6" applyFont="1" applyFill="1" applyAlignment="1">
      <alignment horizontal="center" vertical="center" wrapText="1"/>
    </xf>
    <xf numFmtId="0" fontId="16" fillId="0" borderId="92" xfId="0" applyFont="1" applyBorder="1" applyAlignment="1">
      <alignment horizontal="center" vertical="center" wrapText="1"/>
    </xf>
    <xf numFmtId="0" fontId="16" fillId="0" borderId="93" xfId="0" applyFont="1" applyBorder="1" applyAlignment="1">
      <alignment horizontal="center" vertical="center" wrapText="1"/>
    </xf>
    <xf numFmtId="0" fontId="16" fillId="0" borderId="94" xfId="0" applyFont="1" applyBorder="1" applyAlignment="1">
      <alignment horizontal="center" vertical="center" wrapText="1"/>
    </xf>
    <xf numFmtId="0" fontId="14" fillId="0" borderId="92" xfId="0" applyFont="1" applyBorder="1" applyAlignment="1">
      <alignment horizontal="left" vertical="center" wrapText="1"/>
    </xf>
    <xf numFmtId="0" fontId="14" fillId="0" borderId="94" xfId="0" applyFont="1" applyBorder="1" applyAlignment="1">
      <alignment horizontal="left" vertical="center" wrapText="1"/>
    </xf>
    <xf numFmtId="0" fontId="45" fillId="0" borderId="41" xfId="6" applyFont="1" applyBorder="1" applyAlignment="1">
      <alignment horizontal="center"/>
    </xf>
    <xf numFmtId="0" fontId="45" fillId="0" borderId="40" xfId="6" applyFont="1" applyBorder="1" applyAlignment="1">
      <alignment horizontal="center"/>
    </xf>
    <xf numFmtId="0" fontId="45" fillId="0" borderId="30" xfId="6" applyFont="1" applyBorder="1" applyAlignment="1">
      <alignment horizontal="center"/>
    </xf>
    <xf numFmtId="1" fontId="49" fillId="0" borderId="0" xfId="6" applyNumberFormat="1" applyFont="1" applyAlignment="1">
      <alignment horizontal="left"/>
    </xf>
    <xf numFmtId="0" fontId="29" fillId="39" borderId="13" xfId="0" applyFont="1" applyFill="1" applyBorder="1"/>
    <xf numFmtId="0" fontId="29" fillId="0" borderId="13" xfId="0" applyFont="1" applyBorder="1"/>
    <xf numFmtId="0" fontId="29" fillId="0" borderId="20" xfId="0" applyFont="1" applyBorder="1"/>
    <xf numFmtId="0" fontId="29" fillId="0" borderId="11" xfId="0" applyFont="1" applyBorder="1"/>
    <xf numFmtId="0" fontId="29" fillId="0" borderId="7" xfId="0" applyFont="1" applyBorder="1"/>
    <xf numFmtId="0" fontId="14" fillId="0" borderId="44" xfId="0" applyFont="1" applyBorder="1" applyAlignment="1">
      <alignment horizontal="left" vertical="center" wrapText="1"/>
    </xf>
    <xf numFmtId="0" fontId="29" fillId="0" borderId="25" xfId="0" applyFont="1" applyBorder="1"/>
    <xf numFmtId="0" fontId="14" fillId="34" borderId="44" xfId="0" applyFont="1" applyFill="1" applyBorder="1" applyAlignment="1">
      <alignment horizontal="left" vertical="center" wrapText="1"/>
    </xf>
    <xf numFmtId="0" fontId="29" fillId="0" borderId="0" xfId="0" applyFont="1" applyAlignment="1">
      <alignment horizontal="right"/>
    </xf>
    <xf numFmtId="1" fontId="29" fillId="0" borderId="13" xfId="0" applyNumberFormat="1" applyFont="1" applyBorder="1"/>
    <xf numFmtId="0" fontId="44" fillId="0" borderId="46" xfId="0" applyFont="1" applyBorder="1"/>
    <xf numFmtId="1" fontId="29" fillId="0" borderId="11" xfId="0" applyNumberFormat="1" applyFont="1" applyBorder="1"/>
    <xf numFmtId="0" fontId="29" fillId="0" borderId="45" xfId="0" applyFont="1" applyBorder="1"/>
    <xf numFmtId="1" fontId="29" fillId="9" borderId="7" xfId="0" applyNumberFormat="1" applyFont="1" applyFill="1" applyBorder="1"/>
    <xf numFmtId="1" fontId="29" fillId="0" borderId="7" xfId="0" applyNumberFormat="1" applyFont="1" applyBorder="1"/>
    <xf numFmtId="1" fontId="29" fillId="0" borderId="9" xfId="0" applyNumberFormat="1" applyFont="1" applyBorder="1"/>
    <xf numFmtId="168" fontId="29" fillId="0" borderId="7" xfId="0" applyNumberFormat="1" applyFont="1" applyBorder="1"/>
    <xf numFmtId="168" fontId="29" fillId="0" borderId="9" xfId="0" applyNumberFormat="1" applyFont="1" applyBorder="1"/>
    <xf numFmtId="0" fontId="29" fillId="0" borderId="46" xfId="0" applyFont="1" applyBorder="1"/>
    <xf numFmtId="0" fontId="29" fillId="0" borderId="46" xfId="0" applyFont="1" applyBorder="1" applyAlignment="1">
      <alignment horizontal="left"/>
    </xf>
    <xf numFmtId="0" fontId="29" fillId="0" borderId="45" xfId="0" applyFont="1" applyBorder="1" applyAlignment="1">
      <alignment horizontal="left"/>
    </xf>
    <xf numFmtId="0" fontId="29" fillId="0" borderId="44" xfId="0" applyFont="1" applyBorder="1" applyAlignment="1">
      <alignment horizontal="left"/>
    </xf>
    <xf numFmtId="0" fontId="29" fillId="0" borderId="27" xfId="0" applyFont="1" applyBorder="1"/>
    <xf numFmtId="1" fontId="29" fillId="0" borderId="27" xfId="0" applyNumberFormat="1" applyFont="1" applyBorder="1"/>
    <xf numFmtId="0" fontId="29" fillId="0" borderId="16" xfId="0" applyFont="1" applyBorder="1"/>
    <xf numFmtId="1" fontId="29" fillId="0" borderId="16" xfId="0" applyNumberFormat="1" applyFont="1" applyBorder="1"/>
    <xf numFmtId="0" fontId="29" fillId="0" borderId="39" xfId="0" applyFont="1" applyBorder="1"/>
    <xf numFmtId="1" fontId="29" fillId="0" borderId="38" xfId="0" applyNumberFormat="1" applyFont="1" applyBorder="1"/>
    <xf numFmtId="1" fontId="29" fillId="0" borderId="37" xfId="0" applyNumberFormat="1" applyFont="1" applyBorder="1"/>
    <xf numFmtId="0" fontId="29" fillId="0" borderId="36" xfId="0" applyFont="1" applyBorder="1"/>
    <xf numFmtId="1" fontId="29" fillId="0" borderId="35" xfId="0" applyNumberFormat="1" applyFont="1" applyBorder="1"/>
    <xf numFmtId="0" fontId="29" fillId="0" borderId="34" xfId="0" applyFont="1" applyBorder="1"/>
    <xf numFmtId="1" fontId="29" fillId="0" borderId="33" xfId="0" applyNumberFormat="1" applyFont="1" applyBorder="1"/>
    <xf numFmtId="1" fontId="29" fillId="0" borderId="32" xfId="0" applyNumberFormat="1" applyFont="1" applyBorder="1"/>
    <xf numFmtId="1" fontId="29" fillId="10" borderId="13" xfId="0" applyNumberFormat="1" applyFont="1" applyFill="1" applyBorder="1"/>
    <xf numFmtId="1" fontId="29" fillId="10" borderId="27" xfId="0" applyNumberFormat="1" applyFont="1" applyFill="1" applyBorder="1"/>
    <xf numFmtId="1" fontId="29" fillId="10" borderId="38" xfId="0" applyNumberFormat="1" applyFont="1" applyFill="1" applyBorder="1"/>
    <xf numFmtId="1" fontId="29" fillId="10" borderId="33" xfId="0" applyNumberFormat="1" applyFont="1" applyFill="1" applyBorder="1"/>
    <xf numFmtId="1" fontId="29" fillId="10" borderId="16" xfId="0" applyNumberFormat="1" applyFont="1" applyFill="1" applyBorder="1"/>
    <xf numFmtId="0" fontId="45" fillId="0" borderId="20" xfId="6" applyFont="1" applyBorder="1"/>
    <xf numFmtId="0" fontId="45" fillId="0" borderId="11" xfId="6" applyFont="1" applyBorder="1"/>
    <xf numFmtId="0" fontId="45" fillId="0" borderId="7" xfId="6" applyFont="1" applyBorder="1"/>
    <xf numFmtId="0" fontId="45" fillId="0" borderId="9" xfId="6" applyFont="1" applyBorder="1"/>
    <xf numFmtId="0" fontId="29" fillId="0" borderId="53" xfId="0" applyFont="1" applyBorder="1"/>
    <xf numFmtId="0" fontId="29" fillId="0" borderId="52" xfId="0" applyFont="1" applyBorder="1"/>
    <xf numFmtId="0" fontId="29" fillId="0" borderId="95" xfId="0" applyFont="1" applyBorder="1"/>
    <xf numFmtId="0" fontId="29" fillId="0" borderId="61" xfId="0" applyFont="1" applyBorder="1"/>
    <xf numFmtId="0" fontId="29" fillId="0" borderId="41" xfId="0" applyFont="1" applyBorder="1"/>
    <xf numFmtId="0" fontId="29" fillId="9" borderId="0" xfId="0" applyFont="1" applyFill="1"/>
    <xf numFmtId="0" fontId="44" fillId="9" borderId="0" xfId="0" applyFont="1" applyFill="1"/>
    <xf numFmtId="0" fontId="44" fillId="10" borderId="0" xfId="0" applyFont="1" applyFill="1"/>
    <xf numFmtId="0" fontId="29" fillId="10" borderId="0" xfId="0" applyFont="1" applyFill="1"/>
    <xf numFmtId="0" fontId="29" fillId="34" borderId="30" xfId="6" applyFont="1" applyFill="1" applyBorder="1" applyAlignment="1">
      <alignment horizontal="left" vertical="center" wrapText="1"/>
    </xf>
    <xf numFmtId="0" fontId="29" fillId="0" borderId="9" xfId="6" applyFont="1" applyBorder="1" applyAlignment="1">
      <alignment horizontal="left" vertical="center" wrapText="1"/>
    </xf>
    <xf numFmtId="0" fontId="29" fillId="34" borderId="9" xfId="6" applyFont="1" applyFill="1" applyBorder="1" applyAlignment="1">
      <alignment horizontal="left" vertical="center" wrapText="1"/>
    </xf>
    <xf numFmtId="0" fontId="44" fillId="0" borderId="0" xfId="0" applyFont="1" applyAlignment="1">
      <alignment horizontal="left"/>
    </xf>
    <xf numFmtId="1" fontId="29" fillId="0" borderId="0" xfId="0" applyNumberFormat="1" applyFont="1" applyAlignment="1">
      <alignment horizontal="left"/>
    </xf>
    <xf numFmtId="0" fontId="2" fillId="0" borderId="31" xfId="0" applyFont="1" applyBorder="1"/>
    <xf numFmtId="14" fontId="0" fillId="0" borderId="31" xfId="0" applyNumberFormat="1" applyBorder="1"/>
    <xf numFmtId="0" fontId="14" fillId="10" borderId="0" xfId="0" applyFont="1" applyFill="1" applyAlignment="1">
      <alignment horizontal="left" vertical="center"/>
    </xf>
    <xf numFmtId="0" fontId="14" fillId="10" borderId="0" xfId="0" applyFont="1" applyFill="1" applyAlignment="1">
      <alignment vertical="center"/>
    </xf>
    <xf numFmtId="0" fontId="29" fillId="9" borderId="39" xfId="0" applyFont="1" applyFill="1" applyBorder="1" applyAlignment="1">
      <alignment horizontal="center"/>
    </xf>
    <xf numFmtId="0" fontId="29" fillId="9" borderId="36" xfId="0" applyFont="1" applyFill="1" applyBorder="1" applyAlignment="1">
      <alignment horizontal="center"/>
    </xf>
    <xf numFmtId="0" fontId="29" fillId="9" borderId="34" xfId="0" applyFont="1" applyFill="1" applyBorder="1" applyAlignment="1">
      <alignment horizontal="center"/>
    </xf>
    <xf numFmtId="0" fontId="29" fillId="0" borderId="20" xfId="0" applyFont="1" applyBorder="1" applyAlignment="1">
      <alignment horizontal="left"/>
    </xf>
    <xf numFmtId="0" fontId="29" fillId="0" borderId="0" xfId="0" quotePrefix="1" applyFont="1"/>
    <xf numFmtId="0" fontId="29" fillId="0" borderId="29" xfId="0" applyFont="1" applyBorder="1" applyAlignment="1">
      <alignment horizontal="left"/>
    </xf>
    <xf numFmtId="0" fontId="29" fillId="9" borderId="35" xfId="0" applyFont="1" applyFill="1" applyBorder="1"/>
    <xf numFmtId="0" fontId="29" fillId="9" borderId="32" xfId="0" applyFont="1" applyFill="1" applyBorder="1"/>
    <xf numFmtId="0" fontId="2" fillId="0" borderId="0" xfId="0" quotePrefix="1" applyFont="1" applyAlignment="1">
      <alignment horizontal="center"/>
    </xf>
    <xf numFmtId="0" fontId="0" fillId="0" borderId="0" xfId="0" applyAlignment="1">
      <alignment horizontal="left"/>
    </xf>
    <xf numFmtId="0" fontId="2" fillId="0" borderId="13" xfId="0" applyFont="1" applyBorder="1" applyAlignment="1">
      <alignment horizontal="left"/>
    </xf>
    <xf numFmtId="0" fontId="0" fillId="0" borderId="27" xfId="0" applyBorder="1" applyAlignment="1">
      <alignment horizontal="left"/>
    </xf>
    <xf numFmtId="0" fontId="0" fillId="0" borderId="51" xfId="0" applyBorder="1" applyAlignment="1">
      <alignment horizontal="left"/>
    </xf>
    <xf numFmtId="0" fontId="0" fillId="0" borderId="16" xfId="0" applyBorder="1" applyAlignment="1">
      <alignment horizontal="left"/>
    </xf>
    <xf numFmtId="0" fontId="0" fillId="0" borderId="31" xfId="0" applyBorder="1" applyAlignment="1">
      <alignment horizontal="left"/>
    </xf>
    <xf numFmtId="0" fontId="14" fillId="0" borderId="10" xfId="0" applyFont="1" applyBorder="1" applyAlignment="1">
      <alignment horizontal="center" vertical="center" wrapText="1"/>
    </xf>
    <xf numFmtId="0" fontId="14" fillId="33" borderId="10" xfId="0" applyFont="1" applyFill="1" applyBorder="1" applyAlignment="1">
      <alignment horizontal="center" vertical="center" wrapText="1"/>
    </xf>
    <xf numFmtId="0" fontId="14" fillId="0" borderId="31" xfId="0" applyFont="1" applyBorder="1" applyAlignment="1">
      <alignment horizontal="justify" vertical="center"/>
    </xf>
    <xf numFmtId="0" fontId="14" fillId="34" borderId="10" xfId="0" applyFont="1" applyFill="1" applyBorder="1" applyAlignment="1">
      <alignment horizontal="justify" vertical="center"/>
    </xf>
    <xf numFmtId="0" fontId="14" fillId="0" borderId="10" xfId="0" applyFont="1" applyBorder="1" applyAlignment="1">
      <alignment horizontal="justify" vertical="center"/>
    </xf>
    <xf numFmtId="0" fontId="53" fillId="0" borderId="31" xfId="0" applyFont="1" applyBorder="1" applyAlignment="1">
      <alignment horizontal="justify" vertical="center"/>
    </xf>
    <xf numFmtId="0" fontId="53" fillId="34" borderId="10" xfId="0" applyFont="1" applyFill="1" applyBorder="1" applyAlignment="1">
      <alignment horizontal="justify" vertical="center"/>
    </xf>
    <xf numFmtId="0" fontId="53" fillId="0" borderId="10" xfId="0" applyFont="1" applyBorder="1" applyAlignment="1">
      <alignment horizontal="justify" vertical="center"/>
    </xf>
    <xf numFmtId="0" fontId="14" fillId="0" borderId="31" xfId="0" applyFont="1" applyBorder="1" applyAlignment="1">
      <alignment horizontal="justify" vertical="center" wrapText="1"/>
    </xf>
    <xf numFmtId="0" fontId="14" fillId="34" borderId="10" xfId="0" applyFont="1" applyFill="1" applyBorder="1" applyAlignment="1">
      <alignment horizontal="justify" vertical="center" wrapText="1"/>
    </xf>
    <xf numFmtId="0" fontId="14" fillId="37" borderId="10" xfId="0" applyFont="1" applyFill="1" applyBorder="1" applyAlignment="1">
      <alignment horizontal="justify" vertical="center" wrapText="1"/>
    </xf>
    <xf numFmtId="0" fontId="14" fillId="0" borderId="30" xfId="0" applyFont="1" applyBorder="1" applyAlignment="1">
      <alignment horizontal="justify" vertical="center" wrapText="1"/>
    </xf>
    <xf numFmtId="0" fontId="14" fillId="0" borderId="30" xfId="0" applyFont="1" applyBorder="1" applyAlignment="1">
      <alignment horizontal="center" vertical="center" wrapText="1"/>
    </xf>
    <xf numFmtId="0" fontId="14" fillId="34" borderId="10" xfId="0" applyFont="1" applyFill="1" applyBorder="1" applyAlignment="1">
      <alignment horizontal="center" vertical="center" wrapText="1"/>
    </xf>
    <xf numFmtId="0" fontId="14" fillId="34" borderId="9" xfId="0" applyFont="1" applyFill="1" applyBorder="1" applyAlignment="1">
      <alignment horizontal="justify" vertical="center" wrapText="1"/>
    </xf>
    <xf numFmtId="0" fontId="14" fillId="34" borderId="9" xfId="0" applyFont="1" applyFill="1" applyBorder="1" applyAlignment="1">
      <alignment horizontal="center" vertical="center" wrapText="1"/>
    </xf>
    <xf numFmtId="0" fontId="0" fillId="0" borderId="96" xfId="0" applyBorder="1"/>
    <xf numFmtId="0" fontId="0" fillId="0" borderId="97" xfId="0" applyBorder="1"/>
    <xf numFmtId="0" fontId="0" fillId="0" borderId="99" xfId="0" applyBorder="1"/>
    <xf numFmtId="0" fontId="0" fillId="0" borderId="100" xfId="0" applyBorder="1"/>
    <xf numFmtId="0" fontId="2" fillId="0" borderId="96" xfId="0" applyFont="1" applyBorder="1"/>
    <xf numFmtId="0" fontId="0" fillId="3" borderId="98" xfId="0" applyFill="1" applyBorder="1"/>
    <xf numFmtId="0" fontId="0" fillId="0" borderId="12" xfId="0" applyBorder="1"/>
    <xf numFmtId="0" fontId="0" fillId="0" borderId="8" xfId="0" applyBorder="1"/>
    <xf numFmtId="0" fontId="0" fillId="0" borderId="10" xfId="0" applyBorder="1"/>
    <xf numFmtId="0" fontId="53" fillId="0" borderId="31" xfId="0" applyFont="1" applyBorder="1" applyAlignment="1">
      <alignment horizontal="justify" vertical="center" wrapText="1"/>
    </xf>
    <xf numFmtId="0" fontId="53" fillId="34" borderId="10" xfId="0" applyFont="1" applyFill="1" applyBorder="1" applyAlignment="1">
      <alignment horizontal="justify" vertical="center" wrapText="1"/>
    </xf>
    <xf numFmtId="0" fontId="53" fillId="0" borderId="10" xfId="0" applyFont="1" applyBorder="1" applyAlignment="1">
      <alignment horizontal="justify" vertical="center" wrapText="1"/>
    </xf>
    <xf numFmtId="0" fontId="53" fillId="37" borderId="12" xfId="0" applyFont="1" applyFill="1" applyBorder="1" applyAlignment="1">
      <alignment horizontal="justify" vertical="center" wrapText="1"/>
    </xf>
    <xf numFmtId="0" fontId="53" fillId="37" borderId="10" xfId="0" applyFont="1" applyFill="1" applyBorder="1" applyAlignment="1">
      <alignment horizontal="justify" vertical="center" wrapText="1"/>
    </xf>
    <xf numFmtId="0" fontId="14" fillId="0" borderId="31" xfId="0" applyFont="1" applyBorder="1" applyAlignment="1">
      <alignment horizontal="center" vertical="center" wrapText="1"/>
    </xf>
    <xf numFmtId="0" fontId="53" fillId="34" borderId="10" xfId="0" applyFont="1" applyFill="1" applyBorder="1" applyAlignment="1">
      <alignment horizontal="center" vertical="center" wrapText="1"/>
    </xf>
    <xf numFmtId="0" fontId="0" fillId="9" borderId="96" xfId="0" applyFill="1" applyBorder="1"/>
    <xf numFmtId="0" fontId="53" fillId="4" borderId="10" xfId="0" applyFont="1" applyFill="1" applyBorder="1" applyAlignment="1">
      <alignment horizontal="justify" vertical="center" wrapText="1"/>
    </xf>
    <xf numFmtId="0" fontId="53" fillId="4" borderId="9" xfId="0" applyFont="1" applyFill="1" applyBorder="1" applyAlignment="1">
      <alignment horizontal="justify" vertical="center" wrapText="1"/>
    </xf>
    <xf numFmtId="0" fontId="53" fillId="34" borderId="45" xfId="0" applyFont="1" applyFill="1" applyBorder="1" applyAlignment="1">
      <alignment horizontal="center" vertical="center" wrapText="1"/>
    </xf>
    <xf numFmtId="0" fontId="53" fillId="34" borderId="0" xfId="0" applyFont="1" applyFill="1" applyAlignment="1">
      <alignment horizontal="center" vertical="center" wrapText="1"/>
    </xf>
    <xf numFmtId="0" fontId="53" fillId="40" borderId="10" xfId="0" applyFont="1" applyFill="1" applyBorder="1" applyAlignment="1">
      <alignment horizontal="center" vertical="center" wrapText="1"/>
    </xf>
    <xf numFmtId="0" fontId="53" fillId="40" borderId="9" xfId="0" applyFont="1" applyFill="1" applyBorder="1" applyAlignment="1">
      <alignment horizontal="justify" vertical="center" wrapText="1"/>
    </xf>
    <xf numFmtId="0" fontId="55" fillId="40" borderId="10" xfId="0" applyFont="1" applyFill="1" applyBorder="1" applyAlignment="1">
      <alignment horizontal="center" vertical="center" wrapText="1"/>
    </xf>
    <xf numFmtId="1" fontId="16" fillId="0" borderId="31" xfId="0" applyNumberFormat="1" applyFont="1" applyBorder="1" applyAlignment="1">
      <alignment horizontal="center" vertical="center" wrapText="1"/>
    </xf>
    <xf numFmtId="0" fontId="53" fillId="37" borderId="30" xfId="0" applyFont="1" applyFill="1" applyBorder="1" applyAlignment="1">
      <alignment horizontal="justify" vertical="center" wrapText="1"/>
    </xf>
    <xf numFmtId="0" fontId="53" fillId="33" borderId="9" xfId="0" applyFont="1" applyFill="1" applyBorder="1" applyAlignment="1">
      <alignment horizontal="justify" vertical="center" wrapText="1"/>
    </xf>
    <xf numFmtId="0" fontId="53" fillId="37" borderId="9" xfId="0" applyFont="1" applyFill="1" applyBorder="1" applyAlignment="1">
      <alignment horizontal="justify" vertical="center" wrapText="1"/>
    </xf>
    <xf numFmtId="1" fontId="55" fillId="37" borderId="31" xfId="0" applyNumberFormat="1" applyFont="1" applyFill="1" applyBorder="1" applyAlignment="1">
      <alignment horizontal="center" vertical="center" wrapText="1"/>
    </xf>
    <xf numFmtId="1" fontId="55" fillId="33" borderId="10" xfId="0" applyNumberFormat="1" applyFont="1" applyFill="1" applyBorder="1" applyAlignment="1">
      <alignment horizontal="center" vertical="center" wrapText="1"/>
    </xf>
    <xf numFmtId="1" fontId="55" fillId="37" borderId="10" xfId="0" applyNumberFormat="1" applyFont="1" applyFill="1" applyBorder="1" applyAlignment="1">
      <alignment horizontal="center" vertical="center" wrapText="1"/>
    </xf>
    <xf numFmtId="0" fontId="53" fillId="4" borderId="9" xfId="0" applyFont="1" applyFill="1" applyBorder="1" applyAlignment="1">
      <alignment horizontal="center" vertical="center" wrapText="1"/>
    </xf>
    <xf numFmtId="0" fontId="53" fillId="4" borderId="0" xfId="0" applyFont="1" applyFill="1" applyAlignment="1">
      <alignment horizontal="center" vertical="center" wrapText="1"/>
    </xf>
    <xf numFmtId="0" fontId="53" fillId="37" borderId="9" xfId="0" applyFont="1" applyFill="1" applyBorder="1" applyAlignment="1">
      <alignment horizontal="center" vertical="center" wrapText="1"/>
    </xf>
    <xf numFmtId="0" fontId="53" fillId="37" borderId="31" xfId="0" applyFont="1" applyFill="1" applyBorder="1" applyAlignment="1">
      <alignment horizontal="justify" vertical="center" wrapText="1"/>
    </xf>
    <xf numFmtId="0" fontId="53" fillId="37" borderId="30" xfId="0" applyFont="1" applyFill="1" applyBorder="1" applyAlignment="1">
      <alignment horizontal="center" vertical="center" wrapText="1"/>
    </xf>
    <xf numFmtId="0" fontId="53" fillId="33" borderId="10" xfId="0" applyFont="1" applyFill="1" applyBorder="1" applyAlignment="1">
      <alignment horizontal="justify" vertical="center" wrapText="1"/>
    </xf>
    <xf numFmtId="0" fontId="53" fillId="33" borderId="9" xfId="0" applyFont="1" applyFill="1" applyBorder="1" applyAlignment="1">
      <alignment horizontal="center" vertical="center" wrapText="1"/>
    </xf>
    <xf numFmtId="0" fontId="53" fillId="4" borderId="9" xfId="0" quotePrefix="1" applyFont="1" applyFill="1" applyBorder="1" applyAlignment="1">
      <alignment horizontal="center" vertical="center" wrapText="1"/>
    </xf>
    <xf numFmtId="0" fontId="14" fillId="0" borderId="9" xfId="0" quotePrefix="1" applyFont="1" applyBorder="1" applyAlignment="1">
      <alignment horizontal="center" vertical="center" wrapText="1"/>
    </xf>
    <xf numFmtId="0" fontId="53" fillId="4" borderId="31" xfId="0" applyFont="1" applyFill="1" applyBorder="1" applyAlignment="1">
      <alignment horizontal="justify" vertical="center" wrapText="1"/>
    </xf>
    <xf numFmtId="0" fontId="53" fillId="4" borderId="30" xfId="0" applyFont="1" applyFill="1" applyBorder="1" applyAlignment="1">
      <alignment horizontal="center" vertical="center" wrapText="1"/>
    </xf>
    <xf numFmtId="0" fontId="14" fillId="4" borderId="10" xfId="0" applyFont="1" applyFill="1" applyBorder="1" applyAlignment="1">
      <alignment horizontal="justify" vertical="center" wrapText="1"/>
    </xf>
    <xf numFmtId="0" fontId="14" fillId="4" borderId="9" xfId="0" applyFont="1" applyFill="1" applyBorder="1" applyAlignment="1">
      <alignment horizontal="justify" vertical="center" wrapText="1"/>
    </xf>
    <xf numFmtId="0" fontId="0" fillId="0" borderId="100" xfId="0" applyBorder="1" applyAlignment="1">
      <alignment horizontal="right"/>
    </xf>
    <xf numFmtId="0" fontId="55" fillId="4" borderId="10" xfId="0" applyFont="1" applyFill="1" applyBorder="1" applyAlignment="1">
      <alignment horizontal="justify" vertical="center" wrapText="1"/>
    </xf>
    <xf numFmtId="0" fontId="55" fillId="4" borderId="8" xfId="0" applyFont="1" applyFill="1" applyBorder="1" applyAlignment="1">
      <alignment horizontal="justify" vertical="center" wrapText="1"/>
    </xf>
    <xf numFmtId="0" fontId="53" fillId="4" borderId="30" xfId="0" applyFont="1" applyFill="1" applyBorder="1" applyAlignment="1">
      <alignment horizontal="justify" vertical="center" wrapText="1"/>
    </xf>
    <xf numFmtId="0" fontId="53" fillId="32" borderId="30" xfId="0" applyFont="1" applyFill="1" applyBorder="1" applyAlignment="1">
      <alignment horizontal="justify" vertical="center" wrapText="1"/>
    </xf>
    <xf numFmtId="0" fontId="53" fillId="41" borderId="30" xfId="0" applyFont="1" applyFill="1" applyBorder="1" applyAlignment="1">
      <alignment horizontal="justify" vertical="center" wrapText="1"/>
    </xf>
    <xf numFmtId="0" fontId="53" fillId="42" borderId="30" xfId="0" applyFont="1" applyFill="1" applyBorder="1" applyAlignment="1">
      <alignment horizontal="justify" vertical="center" wrapText="1"/>
    </xf>
    <xf numFmtId="0" fontId="53" fillId="43" borderId="30" xfId="0" applyFont="1" applyFill="1" applyBorder="1" applyAlignment="1">
      <alignment horizontal="justify" vertical="center" wrapText="1"/>
    </xf>
    <xf numFmtId="0" fontId="53" fillId="9" borderId="30" xfId="0" applyFont="1" applyFill="1" applyBorder="1" applyAlignment="1">
      <alignment horizontal="justify" vertical="center" wrapText="1"/>
    </xf>
    <xf numFmtId="0" fontId="53" fillId="44" borderId="30" xfId="0" applyFont="1" applyFill="1" applyBorder="1" applyAlignment="1">
      <alignment horizontal="justify" vertical="center" wrapText="1"/>
    </xf>
    <xf numFmtId="0" fontId="57" fillId="45" borderId="30" xfId="0" applyFont="1" applyFill="1" applyBorder="1" applyAlignment="1">
      <alignment horizontal="justify" vertical="center" wrapText="1"/>
    </xf>
    <xf numFmtId="0" fontId="53" fillId="46" borderId="30" xfId="0" applyFont="1" applyFill="1" applyBorder="1" applyAlignment="1">
      <alignment horizontal="justify" vertical="center" wrapText="1"/>
    </xf>
    <xf numFmtId="0" fontId="14" fillId="32" borderId="9" xfId="0" applyFont="1" applyFill="1" applyBorder="1" applyAlignment="1">
      <alignment horizontal="center" vertical="center" wrapText="1"/>
    </xf>
    <xf numFmtId="0" fontId="53" fillId="41" borderId="9" xfId="0" applyFont="1" applyFill="1" applyBorder="1" applyAlignment="1">
      <alignment horizontal="center" vertical="center" wrapText="1"/>
    </xf>
    <xf numFmtId="0" fontId="53" fillId="42" borderId="9" xfId="0" applyFont="1" applyFill="1" applyBorder="1" applyAlignment="1">
      <alignment horizontal="center" vertical="center" wrapText="1"/>
    </xf>
    <xf numFmtId="0" fontId="53" fillId="43" borderId="9" xfId="0" applyFont="1" applyFill="1" applyBorder="1" applyAlignment="1">
      <alignment horizontal="center" vertical="center" wrapText="1"/>
    </xf>
    <xf numFmtId="0" fontId="53" fillId="9" borderId="9" xfId="0" applyFont="1" applyFill="1" applyBorder="1" applyAlignment="1">
      <alignment horizontal="center" vertical="center" wrapText="1"/>
    </xf>
    <xf numFmtId="0" fontId="53" fillId="44" borderId="9" xfId="0" applyFont="1" applyFill="1" applyBorder="1" applyAlignment="1">
      <alignment horizontal="center" vertical="center" wrapText="1"/>
    </xf>
    <xf numFmtId="0" fontId="57" fillId="45" borderId="9" xfId="0" applyFont="1" applyFill="1" applyBorder="1" applyAlignment="1">
      <alignment horizontal="center" vertical="center" wrapText="1"/>
    </xf>
    <xf numFmtId="0" fontId="53" fillId="46" borderId="9" xfId="0" applyFont="1" applyFill="1" applyBorder="1" applyAlignment="1">
      <alignment horizontal="center" vertical="center" wrapText="1"/>
    </xf>
    <xf numFmtId="0" fontId="53" fillId="47" borderId="30" xfId="0" applyFont="1" applyFill="1" applyBorder="1" applyAlignment="1">
      <alignment horizontal="justify" vertical="center" wrapText="1"/>
    </xf>
    <xf numFmtId="0" fontId="53" fillId="33" borderId="30" xfId="0" applyFont="1" applyFill="1" applyBorder="1" applyAlignment="1">
      <alignment horizontal="justify" vertical="center" wrapText="1"/>
    </xf>
    <xf numFmtId="0" fontId="53" fillId="48" borderId="30" xfId="0" applyFont="1" applyFill="1" applyBorder="1" applyAlignment="1">
      <alignment horizontal="justify" vertical="center" wrapText="1"/>
    </xf>
    <xf numFmtId="0" fontId="53" fillId="32" borderId="30" xfId="0" applyFont="1" applyFill="1" applyBorder="1" applyAlignment="1">
      <alignment horizontal="center" vertical="center" wrapText="1"/>
    </xf>
    <xf numFmtId="0" fontId="0" fillId="0" borderId="97" xfId="0" applyBorder="1" applyAlignment="1">
      <alignment horizontal="right"/>
    </xf>
    <xf numFmtId="0" fontId="14" fillId="0" borderId="102" xfId="0" applyFont="1" applyBorder="1" applyAlignment="1">
      <alignment horizontal="center" vertical="center" wrapText="1"/>
    </xf>
    <xf numFmtId="0" fontId="53" fillId="4" borderId="101" xfId="0" applyFont="1" applyFill="1" applyBorder="1" applyAlignment="1">
      <alignment horizontal="center" vertical="center" wrapText="1"/>
    </xf>
    <xf numFmtId="0" fontId="14" fillId="0" borderId="101" xfId="0" applyFont="1" applyBorder="1" applyAlignment="1">
      <alignment horizontal="center" vertical="center" wrapText="1"/>
    </xf>
    <xf numFmtId="1" fontId="55" fillId="4" borderId="10" xfId="0" applyNumberFormat="1" applyFont="1" applyFill="1" applyBorder="1" applyAlignment="1">
      <alignment horizontal="center" vertical="center" wrapText="1"/>
    </xf>
    <xf numFmtId="1" fontId="16" fillId="0" borderId="10" xfId="0" applyNumberFormat="1" applyFont="1" applyBorder="1" applyAlignment="1">
      <alignment horizontal="center" vertical="center" wrapText="1"/>
    </xf>
    <xf numFmtId="1" fontId="0" fillId="0" borderId="0" xfId="0" applyNumberFormat="1"/>
    <xf numFmtId="0" fontId="53" fillId="4" borderId="9" xfId="0" quotePrefix="1" applyFont="1" applyFill="1" applyBorder="1" applyAlignment="1">
      <alignment horizontal="justify" vertical="center" wrapText="1"/>
    </xf>
    <xf numFmtId="0" fontId="14" fillId="0" borderId="40" xfId="0" applyFont="1" applyBorder="1" applyAlignment="1">
      <alignment horizontal="center" vertical="center" wrapText="1"/>
    </xf>
    <xf numFmtId="0" fontId="53" fillId="4" borderId="29" xfId="0" applyFont="1" applyFill="1" applyBorder="1" applyAlignment="1">
      <alignment horizontal="center" vertical="center" wrapText="1"/>
    </xf>
    <xf numFmtId="0" fontId="14" fillId="0" borderId="29" xfId="0" applyFont="1" applyBorder="1" applyAlignment="1">
      <alignment horizontal="center" vertical="center" wrapText="1"/>
    </xf>
    <xf numFmtId="0" fontId="14" fillId="0" borderId="9" xfId="0" quotePrefix="1" applyFont="1" applyBorder="1" applyAlignment="1">
      <alignment horizontal="justify" vertical="center" wrapText="1"/>
    </xf>
    <xf numFmtId="0" fontId="53" fillId="4" borderId="10" xfId="0" applyFont="1" applyFill="1" applyBorder="1" applyAlignment="1">
      <alignment horizontal="center" vertical="center" wrapText="1"/>
    </xf>
    <xf numFmtId="0" fontId="0" fillId="0" borderId="96" xfId="0" applyBorder="1" applyAlignment="1">
      <alignment horizontal="right"/>
    </xf>
    <xf numFmtId="0" fontId="53" fillId="34" borderId="30" xfId="0" applyFont="1" applyFill="1" applyBorder="1" applyAlignment="1">
      <alignment horizontal="justify" vertical="center" wrapText="1"/>
    </xf>
    <xf numFmtId="0" fontId="53" fillId="34" borderId="9" xfId="0" applyFont="1" applyFill="1" applyBorder="1" applyAlignment="1">
      <alignment horizontal="justify" vertical="center" wrapText="1"/>
    </xf>
    <xf numFmtId="0" fontId="53" fillId="49" borderId="9" xfId="0" applyFont="1" applyFill="1" applyBorder="1" applyAlignment="1">
      <alignment horizontal="justify" vertical="center" wrapText="1"/>
    </xf>
    <xf numFmtId="0" fontId="53" fillId="50" borderId="9" xfId="0" applyFont="1" applyFill="1" applyBorder="1" applyAlignment="1">
      <alignment horizontal="justify" vertical="center" wrapText="1"/>
    </xf>
    <xf numFmtId="0" fontId="53" fillId="51" borderId="9" xfId="0" applyFont="1" applyFill="1" applyBorder="1" applyAlignment="1">
      <alignment horizontal="justify" vertical="center" wrapText="1"/>
    </xf>
    <xf numFmtId="0" fontId="53" fillId="10" borderId="9" xfId="0" applyFont="1" applyFill="1" applyBorder="1" applyAlignment="1">
      <alignment horizontal="justify" vertical="center" wrapText="1"/>
    </xf>
    <xf numFmtId="1" fontId="55" fillId="34" borderId="31" xfId="0" applyNumberFormat="1" applyFont="1" applyFill="1" applyBorder="1" applyAlignment="1">
      <alignment horizontal="center" vertical="center" wrapText="1"/>
    </xf>
    <xf numFmtId="1" fontId="55" fillId="34" borderId="10" xfId="0" applyNumberFormat="1" applyFont="1" applyFill="1" applyBorder="1" applyAlignment="1">
      <alignment horizontal="center" vertical="center" wrapText="1"/>
    </xf>
    <xf numFmtId="1" fontId="55" fillId="49" borderId="10" xfId="0" applyNumberFormat="1" applyFont="1" applyFill="1" applyBorder="1" applyAlignment="1">
      <alignment horizontal="center" vertical="center" wrapText="1"/>
    </xf>
    <xf numFmtId="1" fontId="55" fillId="50" borderId="10" xfId="0" applyNumberFormat="1" applyFont="1" applyFill="1" applyBorder="1" applyAlignment="1">
      <alignment horizontal="center" vertical="center" wrapText="1"/>
    </xf>
    <xf numFmtId="1" fontId="55" fillId="51" borderId="10" xfId="0" applyNumberFormat="1" applyFont="1" applyFill="1" applyBorder="1" applyAlignment="1">
      <alignment horizontal="center" vertical="center" wrapText="1"/>
    </xf>
    <xf numFmtId="1" fontId="55" fillId="10" borderId="10" xfId="0" applyNumberFormat="1" applyFont="1" applyFill="1" applyBorder="1" applyAlignment="1">
      <alignment horizontal="center" vertical="center" wrapText="1"/>
    </xf>
    <xf numFmtId="0" fontId="55" fillId="52" borderId="31" xfId="0" applyFont="1" applyFill="1" applyBorder="1" applyAlignment="1">
      <alignment horizontal="justify" vertical="center" wrapText="1"/>
    </xf>
    <xf numFmtId="0" fontId="53" fillId="52" borderId="30" xfId="0" applyFont="1" applyFill="1" applyBorder="1" applyAlignment="1">
      <alignment horizontal="justify" vertical="center" wrapText="1"/>
    </xf>
    <xf numFmtId="0" fontId="55" fillId="41" borderId="10" xfId="0" applyFont="1" applyFill="1" applyBorder="1" applyAlignment="1">
      <alignment horizontal="justify" vertical="center" wrapText="1"/>
    </xf>
    <xf numFmtId="0" fontId="53" fillId="41" borderId="9" xfId="0" applyFont="1" applyFill="1" applyBorder="1" applyAlignment="1">
      <alignment horizontal="justify" vertical="center" wrapText="1"/>
    </xf>
    <xf numFmtId="0" fontId="55" fillId="33" borderId="10" xfId="0" applyFont="1" applyFill="1" applyBorder="1" applyAlignment="1">
      <alignment horizontal="center" vertical="center" wrapText="1"/>
    </xf>
    <xf numFmtId="0" fontId="14" fillId="0" borderId="104" xfId="0" applyFont="1" applyBorder="1" applyAlignment="1">
      <alignment horizontal="justify" vertical="center" wrapText="1"/>
    </xf>
    <xf numFmtId="0" fontId="53" fillId="36" borderId="80" xfId="0" applyFont="1" applyFill="1" applyBorder="1" applyAlignment="1">
      <alignment horizontal="center" vertical="center" wrapText="1"/>
    </xf>
    <xf numFmtId="0" fontId="53" fillId="36" borderId="105" xfId="0" applyFont="1" applyFill="1" applyBorder="1" applyAlignment="1">
      <alignment horizontal="justify" vertical="center" wrapText="1"/>
    </xf>
    <xf numFmtId="0" fontId="14" fillId="0" borderId="105" xfId="0" applyFont="1" applyBorder="1" applyAlignment="1">
      <alignment horizontal="justify" vertical="center" wrapText="1"/>
    </xf>
    <xf numFmtId="0" fontId="14" fillId="0" borderId="80" xfId="0" applyFont="1" applyBorder="1" applyAlignment="1">
      <alignment horizontal="center" vertical="center" wrapText="1"/>
    </xf>
    <xf numFmtId="0" fontId="53" fillId="53" borderId="105" xfId="0" applyFont="1" applyFill="1" applyBorder="1" applyAlignment="1">
      <alignment horizontal="justify" vertical="center" wrapText="1"/>
    </xf>
    <xf numFmtId="0" fontId="53" fillId="53" borderId="80" xfId="0" applyFont="1" applyFill="1" applyBorder="1" applyAlignment="1">
      <alignment horizontal="center" vertical="center" wrapText="1"/>
    </xf>
    <xf numFmtId="0" fontId="53" fillId="17" borderId="105" xfId="0" applyFont="1" applyFill="1" applyBorder="1" applyAlignment="1">
      <alignment horizontal="justify" vertical="center" wrapText="1"/>
    </xf>
    <xf numFmtId="0" fontId="53" fillId="17" borderId="80" xfId="0" applyFont="1" applyFill="1" applyBorder="1" applyAlignment="1">
      <alignment horizontal="center" vertical="center" wrapText="1"/>
    </xf>
    <xf numFmtId="0" fontId="53" fillId="37" borderId="80" xfId="0" applyFont="1" applyFill="1" applyBorder="1" applyAlignment="1">
      <alignment horizontal="center" vertical="center" wrapText="1"/>
    </xf>
    <xf numFmtId="0" fontId="53" fillId="37" borderId="105" xfId="0" applyFont="1" applyFill="1" applyBorder="1" applyAlignment="1">
      <alignment horizontal="justify" vertical="center" wrapText="1"/>
    </xf>
    <xf numFmtId="1" fontId="14" fillId="0" borderId="103" xfId="0" applyNumberFormat="1" applyFont="1" applyBorder="1" applyAlignment="1">
      <alignment horizontal="center" vertical="center" wrapText="1"/>
    </xf>
    <xf numFmtId="1" fontId="53" fillId="36" borderId="80" xfId="0" applyNumberFormat="1" applyFont="1" applyFill="1" applyBorder="1" applyAlignment="1">
      <alignment horizontal="center" vertical="center" wrapText="1"/>
    </xf>
    <xf numFmtId="1" fontId="14" fillId="0" borderId="80" xfId="0" applyNumberFormat="1" applyFont="1" applyBorder="1" applyAlignment="1">
      <alignment horizontal="center" vertical="center" wrapText="1"/>
    </xf>
    <xf numFmtId="1" fontId="53" fillId="53" borderId="80" xfId="0" applyNumberFormat="1" applyFont="1" applyFill="1" applyBorder="1" applyAlignment="1">
      <alignment horizontal="justify" vertical="center" wrapText="1"/>
    </xf>
    <xf numFmtId="1" fontId="53" fillId="53" borderId="80" xfId="0" applyNumberFormat="1" applyFont="1" applyFill="1" applyBorder="1" applyAlignment="1">
      <alignment horizontal="center" vertical="center" wrapText="1"/>
    </xf>
    <xf numFmtId="1" fontId="53" fillId="17" borderId="80" xfId="0" applyNumberFormat="1" applyFont="1" applyFill="1" applyBorder="1" applyAlignment="1">
      <alignment horizontal="center" vertical="center" wrapText="1"/>
    </xf>
    <xf numFmtId="0" fontId="16" fillId="0" borderId="9" xfId="0" applyFont="1" applyBorder="1" applyAlignment="1">
      <alignment horizontal="justify" vertical="center" wrapText="1"/>
    </xf>
    <xf numFmtId="0" fontId="14" fillId="0" borderId="43" xfId="0" applyFont="1" applyBorder="1" applyAlignment="1">
      <alignment horizontal="justify" vertical="center" wrapText="1"/>
    </xf>
    <xf numFmtId="0" fontId="14" fillId="0" borderId="42" xfId="0" applyFont="1" applyBorder="1" applyAlignment="1">
      <alignment horizontal="justify" vertical="center" wrapText="1"/>
    </xf>
    <xf numFmtId="0" fontId="55" fillId="47" borderId="10" xfId="0" applyFont="1" applyFill="1" applyBorder="1" applyAlignment="1">
      <alignment horizontal="justify" vertical="center" wrapText="1"/>
    </xf>
    <xf numFmtId="0" fontId="55" fillId="47" borderId="9" xfId="0" applyFont="1" applyFill="1" applyBorder="1" applyAlignment="1">
      <alignment horizontal="justify" vertical="center" wrapText="1"/>
    </xf>
    <xf numFmtId="0" fontId="53" fillId="47" borderId="9" xfId="0" applyFont="1" applyFill="1" applyBorder="1" applyAlignment="1">
      <alignment horizontal="justify" vertical="center" wrapText="1"/>
    </xf>
    <xf numFmtId="0" fontId="53" fillId="47" borderId="10" xfId="0" applyFont="1" applyFill="1" applyBorder="1" applyAlignment="1">
      <alignment horizontal="justify" vertical="center" wrapText="1"/>
    </xf>
    <xf numFmtId="0" fontId="53" fillId="47" borderId="43" xfId="0" applyFont="1" applyFill="1" applyBorder="1" applyAlignment="1">
      <alignment horizontal="justify" vertical="center" wrapText="1"/>
    </xf>
    <xf numFmtId="0" fontId="53" fillId="47" borderId="42" xfId="0" applyFont="1" applyFill="1" applyBorder="1" applyAlignment="1">
      <alignment horizontal="justify" vertical="center" wrapText="1"/>
    </xf>
    <xf numFmtId="0" fontId="55" fillId="33" borderId="10" xfId="0" applyFont="1" applyFill="1" applyBorder="1" applyAlignment="1">
      <alignment horizontal="justify" vertical="center" wrapText="1"/>
    </xf>
    <xf numFmtId="0" fontId="55" fillId="33" borderId="9" xfId="0" applyFont="1" applyFill="1" applyBorder="1" applyAlignment="1">
      <alignment horizontal="justify" vertical="center" wrapText="1"/>
    </xf>
    <xf numFmtId="0" fontId="53" fillId="33" borderId="43" xfId="0" applyFont="1" applyFill="1" applyBorder="1" applyAlignment="1">
      <alignment horizontal="justify" vertical="center" wrapText="1"/>
    </xf>
    <xf numFmtId="0" fontId="53" fillId="33" borderId="42" xfId="0" applyFont="1" applyFill="1" applyBorder="1" applyAlignment="1">
      <alignment horizontal="justify" vertical="center" wrapText="1"/>
    </xf>
    <xf numFmtId="0" fontId="55" fillId="41" borderId="9" xfId="0" applyFont="1" applyFill="1" applyBorder="1" applyAlignment="1">
      <alignment horizontal="justify" vertical="center" wrapText="1"/>
    </xf>
    <xf numFmtId="0" fontId="53" fillId="41" borderId="10" xfId="0" applyFont="1" applyFill="1" applyBorder="1" applyAlignment="1">
      <alignment horizontal="justify" vertical="center" wrapText="1"/>
    </xf>
    <xf numFmtId="0" fontId="53" fillId="0" borderId="30" xfId="0" applyFont="1" applyBorder="1" applyAlignment="1">
      <alignment horizontal="justify" vertical="center" wrapText="1"/>
    </xf>
    <xf numFmtId="0" fontId="53" fillId="0" borderId="9" xfId="0" applyFont="1" applyBorder="1" applyAlignment="1">
      <alignment horizontal="justify" vertical="center" wrapText="1"/>
    </xf>
    <xf numFmtId="0" fontId="53" fillId="0" borderId="42" xfId="0" applyFont="1" applyBorder="1" applyAlignment="1">
      <alignment horizontal="justify" vertical="center" wrapText="1"/>
    </xf>
    <xf numFmtId="1" fontId="14" fillId="0" borderId="31" xfId="0" applyNumberFormat="1" applyFont="1" applyBorder="1" applyAlignment="1">
      <alignment horizontal="center" vertical="center" wrapText="1"/>
    </xf>
    <xf numFmtId="1" fontId="14" fillId="0" borderId="10" xfId="0" applyNumberFormat="1" applyFont="1" applyBorder="1" applyAlignment="1">
      <alignment horizontal="center" vertical="center" wrapText="1"/>
    </xf>
    <xf numFmtId="0" fontId="53" fillId="45" borderId="9" xfId="0" applyFont="1" applyFill="1" applyBorder="1" applyAlignment="1">
      <alignment horizontal="justify" vertical="center" wrapText="1"/>
    </xf>
    <xf numFmtId="0" fontId="0" fillId="0" borderId="98" xfId="0" applyBorder="1" applyAlignment="1">
      <alignment horizontal="right"/>
    </xf>
    <xf numFmtId="0" fontId="0" fillId="9" borderId="20" xfId="0" applyFill="1" applyBorder="1"/>
    <xf numFmtId="0" fontId="0" fillId="0" borderId="20" xfId="0" applyBorder="1" applyAlignment="1">
      <alignment horizontal="right"/>
    </xf>
    <xf numFmtId="0" fontId="0" fillId="0" borderId="11" xfId="0" applyBorder="1" applyAlignment="1">
      <alignment horizontal="right"/>
    </xf>
    <xf numFmtId="0" fontId="0" fillId="0" borderId="9" xfId="0" applyBorder="1" applyAlignment="1">
      <alignment horizontal="right"/>
    </xf>
    <xf numFmtId="1" fontId="14" fillId="0" borderId="43" xfId="0" applyNumberFormat="1" applyFont="1" applyBorder="1" applyAlignment="1">
      <alignment horizontal="center" vertical="center" wrapText="1"/>
    </xf>
    <xf numFmtId="1" fontId="53" fillId="47" borderId="10" xfId="0" applyNumberFormat="1" applyFont="1" applyFill="1" applyBorder="1" applyAlignment="1">
      <alignment horizontal="center" vertical="center" wrapText="1"/>
    </xf>
    <xf numFmtId="1" fontId="53" fillId="47" borderId="43" xfId="0" applyNumberFormat="1" applyFont="1" applyFill="1" applyBorder="1" applyAlignment="1">
      <alignment horizontal="center" vertical="center" wrapText="1"/>
    </xf>
    <xf numFmtId="1" fontId="53" fillId="33" borderId="10" xfId="0" applyNumberFormat="1" applyFont="1" applyFill="1" applyBorder="1" applyAlignment="1">
      <alignment horizontal="center" vertical="center" wrapText="1"/>
    </xf>
    <xf numFmtId="1" fontId="53" fillId="33" borderId="43" xfId="0" applyNumberFormat="1" applyFont="1" applyFill="1" applyBorder="1" applyAlignment="1">
      <alignment horizontal="center" vertical="center" wrapText="1"/>
    </xf>
    <xf numFmtId="1" fontId="53" fillId="41" borderId="10" xfId="0" applyNumberFormat="1" applyFont="1" applyFill="1" applyBorder="1" applyAlignment="1">
      <alignment horizontal="center" vertical="center" wrapText="1"/>
    </xf>
    <xf numFmtId="0" fontId="2" fillId="0" borderId="20" xfId="0" applyFont="1" applyBorder="1"/>
    <xf numFmtId="0" fontId="2" fillId="0" borderId="44" xfId="0" applyFont="1" applyBorder="1"/>
    <xf numFmtId="0" fontId="2" fillId="0" borderId="29" xfId="0" applyFont="1" applyBorder="1"/>
    <xf numFmtId="0" fontId="0" fillId="9" borderId="99" xfId="0" applyFill="1" applyBorder="1"/>
    <xf numFmtId="0" fontId="60" fillId="0" borderId="0" xfId="0" applyFont="1"/>
    <xf numFmtId="0" fontId="53" fillId="32" borderId="31" xfId="0" applyFont="1" applyFill="1" applyBorder="1" applyAlignment="1">
      <alignment horizontal="center" vertical="center" wrapText="1"/>
    </xf>
    <xf numFmtId="0" fontId="53" fillId="32" borderId="10" xfId="0" applyFont="1" applyFill="1" applyBorder="1" applyAlignment="1">
      <alignment horizontal="center" vertical="center" wrapText="1"/>
    </xf>
    <xf numFmtId="0" fontId="53" fillId="32" borderId="9" xfId="0" applyFont="1" applyFill="1" applyBorder="1" applyAlignment="1">
      <alignment horizontal="center" vertical="center" wrapText="1"/>
    </xf>
    <xf numFmtId="0" fontId="53" fillId="46" borderId="10" xfId="0" applyFont="1" applyFill="1" applyBorder="1" applyAlignment="1">
      <alignment horizontal="center" vertical="center" wrapText="1"/>
    </xf>
    <xf numFmtId="0" fontId="53" fillId="54" borderId="10" xfId="0" applyFont="1" applyFill="1" applyBorder="1" applyAlignment="1">
      <alignment horizontal="center" vertical="center" wrapText="1"/>
    </xf>
    <xf numFmtId="0" fontId="53" fillId="54" borderId="9" xfId="0" applyFont="1" applyFill="1" applyBorder="1" applyAlignment="1">
      <alignment horizontal="center" vertical="center" wrapText="1"/>
    </xf>
    <xf numFmtId="0" fontId="53" fillId="55" borderId="10" xfId="0" applyFont="1" applyFill="1" applyBorder="1" applyAlignment="1">
      <alignment horizontal="center" vertical="center" wrapText="1"/>
    </xf>
    <xf numFmtId="0" fontId="53" fillId="55" borderId="9" xfId="0" applyFont="1" applyFill="1" applyBorder="1" applyAlignment="1">
      <alignment horizontal="center" vertical="center" wrapText="1"/>
    </xf>
    <xf numFmtId="0" fontId="53" fillId="33" borderId="10" xfId="0" applyFont="1" applyFill="1" applyBorder="1" applyAlignment="1">
      <alignment horizontal="center" vertical="center" wrapText="1"/>
    </xf>
    <xf numFmtId="0" fontId="58" fillId="56" borderId="10" xfId="0" applyFont="1" applyFill="1" applyBorder="1" applyAlignment="1">
      <alignment horizontal="center" vertical="center" wrapText="1"/>
    </xf>
    <xf numFmtId="0" fontId="58" fillId="56" borderId="9" xfId="0" applyFont="1" applyFill="1" applyBorder="1" applyAlignment="1">
      <alignment horizontal="center" vertical="center" wrapText="1"/>
    </xf>
    <xf numFmtId="0" fontId="58" fillId="57" borderId="10" xfId="0" applyFont="1" applyFill="1" applyBorder="1" applyAlignment="1">
      <alignment horizontal="center" vertical="center" wrapText="1"/>
    </xf>
    <xf numFmtId="0" fontId="58" fillId="57" borderId="9" xfId="0" applyFont="1" applyFill="1" applyBorder="1" applyAlignment="1">
      <alignment horizontal="center" vertical="center" wrapText="1"/>
    </xf>
    <xf numFmtId="0" fontId="53" fillId="32" borderId="31" xfId="0" applyFont="1" applyFill="1" applyBorder="1" applyAlignment="1">
      <alignment horizontal="justify" vertical="center" wrapText="1"/>
    </xf>
    <xf numFmtId="0" fontId="53" fillId="32" borderId="10" xfId="0" applyFont="1" applyFill="1" applyBorder="1" applyAlignment="1">
      <alignment horizontal="justify" vertical="center" wrapText="1"/>
    </xf>
    <xf numFmtId="0" fontId="53" fillId="46" borderId="10" xfId="0" applyFont="1" applyFill="1" applyBorder="1" applyAlignment="1">
      <alignment horizontal="justify" vertical="center" wrapText="1"/>
    </xf>
    <xf numFmtId="0" fontId="53" fillId="54" borderId="10" xfId="0" applyFont="1" applyFill="1" applyBorder="1" applyAlignment="1">
      <alignment horizontal="justify" vertical="center" wrapText="1"/>
    </xf>
    <xf numFmtId="0" fontId="53" fillId="55" borderId="10" xfId="0" applyFont="1" applyFill="1" applyBorder="1" applyAlignment="1">
      <alignment horizontal="justify" vertical="center" wrapText="1"/>
    </xf>
    <xf numFmtId="0" fontId="53" fillId="56" borderId="10" xfId="0" applyFont="1" applyFill="1" applyBorder="1" applyAlignment="1">
      <alignment horizontal="justify" vertical="center" wrapText="1"/>
    </xf>
    <xf numFmtId="0" fontId="53" fillId="57" borderId="10" xfId="0" applyFont="1" applyFill="1" applyBorder="1" applyAlignment="1">
      <alignment horizontal="justify" vertical="center" wrapText="1"/>
    </xf>
    <xf numFmtId="0" fontId="2" fillId="9" borderId="45" xfId="0" applyFont="1" applyFill="1" applyBorder="1"/>
    <xf numFmtId="0" fontId="2" fillId="9" borderId="0" xfId="0" applyFont="1" applyFill="1"/>
    <xf numFmtId="0" fontId="2" fillId="0" borderId="45" xfId="0" applyFont="1" applyBorder="1"/>
    <xf numFmtId="0" fontId="14" fillId="0" borderId="106" xfId="0" applyFont="1" applyBorder="1" applyAlignment="1">
      <alignment horizontal="justify" vertical="center" wrapText="1"/>
    </xf>
    <xf numFmtId="0" fontId="17" fillId="0" borderId="9" xfId="0" applyFont="1" applyBorder="1" applyAlignment="1">
      <alignment horizontal="justify" vertical="center" wrapText="1"/>
    </xf>
    <xf numFmtId="0" fontId="53" fillId="33" borderId="7" xfId="0" applyFont="1" applyFill="1" applyBorder="1" applyAlignment="1">
      <alignment horizontal="justify" vertical="center" wrapText="1"/>
    </xf>
    <xf numFmtId="0" fontId="58" fillId="33" borderId="9" xfId="0" applyFont="1" applyFill="1" applyBorder="1" applyAlignment="1">
      <alignment horizontal="justify" vertical="center" wrapText="1"/>
    </xf>
    <xf numFmtId="0" fontId="16" fillId="0" borderId="7" xfId="0" applyFont="1" applyBorder="1" applyAlignment="1">
      <alignment horizontal="justify" vertical="center" wrapText="1"/>
    </xf>
    <xf numFmtId="0" fontId="14" fillId="0" borderId="12" xfId="0" applyFont="1" applyBorder="1" applyAlignment="1">
      <alignment horizontal="justify" vertical="center" wrapText="1"/>
    </xf>
    <xf numFmtId="0" fontId="17" fillId="0" borderId="10" xfId="0" applyFont="1" applyBorder="1" applyAlignment="1">
      <alignment horizontal="justify" vertical="center" wrapText="1"/>
    </xf>
    <xf numFmtId="0" fontId="53" fillId="33" borderId="8" xfId="0" applyFont="1" applyFill="1" applyBorder="1" applyAlignment="1">
      <alignment horizontal="justify" vertical="center" wrapText="1"/>
    </xf>
    <xf numFmtId="0" fontId="58" fillId="33" borderId="10" xfId="0" applyFont="1" applyFill="1" applyBorder="1" applyAlignment="1">
      <alignment horizontal="justify" vertical="center" wrapText="1"/>
    </xf>
    <xf numFmtId="0" fontId="14" fillId="0" borderId="8" xfId="0" applyFont="1" applyBorder="1" applyAlignment="1">
      <alignment horizontal="justify" vertical="center" wrapText="1"/>
    </xf>
    <xf numFmtId="0" fontId="16" fillId="0" borderId="8" xfId="0" applyFont="1" applyBorder="1" applyAlignment="1">
      <alignment horizontal="justify" vertical="center" wrapText="1"/>
    </xf>
    <xf numFmtId="16" fontId="55" fillId="33" borderId="31" xfId="0" applyNumberFormat="1" applyFont="1" applyFill="1" applyBorder="1" applyAlignment="1">
      <alignment horizontal="center" vertical="center" wrapText="1"/>
    </xf>
    <xf numFmtId="0" fontId="55" fillId="33" borderId="7" xfId="0" applyFont="1" applyFill="1" applyBorder="1" applyAlignment="1">
      <alignment horizontal="justify" vertical="center" wrapText="1"/>
    </xf>
    <xf numFmtId="1" fontId="55" fillId="33" borderId="31" xfId="0" applyNumberFormat="1" applyFont="1" applyFill="1" applyBorder="1" applyAlignment="1">
      <alignment horizontal="center" vertical="center" wrapText="1"/>
    </xf>
    <xf numFmtId="0" fontId="53" fillId="33" borderId="30" xfId="0" quotePrefix="1" applyFont="1" applyFill="1" applyBorder="1" applyAlignment="1">
      <alignment horizontal="justify" vertical="center" wrapText="1"/>
    </xf>
    <xf numFmtId="0" fontId="55" fillId="33" borderId="30" xfId="0" applyFont="1" applyFill="1" applyBorder="1" applyAlignment="1">
      <alignment horizontal="justify" vertical="center" wrapText="1"/>
    </xf>
    <xf numFmtId="17" fontId="55" fillId="37" borderId="10" xfId="0" applyNumberFormat="1" applyFont="1" applyFill="1" applyBorder="1" applyAlignment="1">
      <alignment horizontal="center" vertical="center" wrapText="1"/>
    </xf>
    <xf numFmtId="0" fontId="55" fillId="37" borderId="9" xfId="0" applyFont="1" applyFill="1" applyBorder="1" applyAlignment="1">
      <alignment horizontal="justify" vertical="center" wrapText="1"/>
    </xf>
    <xf numFmtId="0" fontId="55" fillId="37" borderId="10" xfId="0" applyFont="1" applyFill="1" applyBorder="1" applyAlignment="1">
      <alignment horizontal="center" vertical="center" wrapText="1"/>
    </xf>
    <xf numFmtId="1" fontId="14" fillId="0" borderId="31" xfId="0" applyNumberFormat="1" applyFont="1" applyBorder="1" applyAlignment="1">
      <alignment horizontal="justify" vertical="center" wrapText="1"/>
    </xf>
    <xf numFmtId="1" fontId="53" fillId="33" borderId="10" xfId="0" applyNumberFormat="1" applyFont="1" applyFill="1" applyBorder="1" applyAlignment="1">
      <alignment horizontal="justify" vertical="center" wrapText="1"/>
    </xf>
    <xf numFmtId="1" fontId="14" fillId="0" borderId="10" xfId="0" applyNumberFormat="1" applyFont="1" applyBorder="1" applyAlignment="1">
      <alignment horizontal="justify" vertical="center" wrapText="1"/>
    </xf>
    <xf numFmtId="0" fontId="0" fillId="0" borderId="92" xfId="0" applyBorder="1"/>
    <xf numFmtId="0" fontId="2" fillId="9" borderId="107" xfId="0" applyFont="1" applyFill="1" applyBorder="1"/>
    <xf numFmtId="0" fontId="2" fillId="9" borderId="93" xfId="0" applyFont="1" applyFill="1" applyBorder="1"/>
    <xf numFmtId="0" fontId="0" fillId="0" borderId="101" xfId="0" applyBorder="1" applyAlignment="1">
      <alignment horizontal="right"/>
    </xf>
    <xf numFmtId="0" fontId="0" fillId="0" borderId="108" xfId="0" applyBorder="1"/>
    <xf numFmtId="0" fontId="0" fillId="0" borderId="109" xfId="0" applyBorder="1"/>
    <xf numFmtId="0" fontId="0" fillId="0" borderId="110" xfId="0" applyBorder="1" applyAlignment="1">
      <alignment horizontal="left" vertical="top"/>
    </xf>
    <xf numFmtId="0" fontId="0" fillId="0" borderId="108" xfId="0" applyBorder="1" applyAlignment="1">
      <alignment horizontal="left" vertical="top"/>
    </xf>
    <xf numFmtId="0" fontId="0" fillId="0" borderId="111" xfId="0" applyBorder="1" applyAlignment="1">
      <alignment horizontal="left" vertical="top"/>
    </xf>
    <xf numFmtId="0" fontId="0" fillId="0" borderId="112" xfId="0" applyBorder="1" applyAlignment="1">
      <alignment horizontal="left" vertical="top"/>
    </xf>
    <xf numFmtId="0" fontId="0" fillId="0" borderId="113" xfId="0" applyBorder="1"/>
    <xf numFmtId="0" fontId="18" fillId="0" borderId="29" xfId="0" applyFont="1" applyBorder="1"/>
    <xf numFmtId="0" fontId="14" fillId="0" borderId="103" xfId="0" applyFont="1" applyBorder="1" applyAlignment="1">
      <alignment horizontal="center" vertical="center" wrapText="1"/>
    </xf>
    <xf numFmtId="0" fontId="14" fillId="0" borderId="104" xfId="0" applyFont="1" applyBorder="1" applyAlignment="1">
      <alignment horizontal="center" vertical="center" wrapText="1"/>
    </xf>
    <xf numFmtId="0" fontId="17" fillId="0" borderId="104" xfId="0" applyFont="1" applyBorder="1" applyAlignment="1">
      <alignment horizontal="center" vertical="center" wrapText="1"/>
    </xf>
    <xf numFmtId="0" fontId="14" fillId="0" borderId="105" xfId="0" applyFont="1" applyBorder="1" applyAlignment="1">
      <alignment horizontal="center" vertical="center" wrapText="1"/>
    </xf>
    <xf numFmtId="0" fontId="17" fillId="0" borderId="105" xfId="0" applyFont="1" applyBorder="1" applyAlignment="1">
      <alignment horizontal="center" vertical="center" wrapText="1"/>
    </xf>
    <xf numFmtId="0" fontId="14" fillId="47" borderId="80" xfId="0" applyFont="1" applyFill="1" applyBorder="1" applyAlignment="1">
      <alignment horizontal="center" vertical="center" wrapText="1"/>
    </xf>
    <xf numFmtId="0" fontId="17" fillId="47" borderId="105" xfId="0" applyFont="1" applyFill="1" applyBorder="1" applyAlignment="1">
      <alignment horizontal="center" vertical="center" wrapText="1"/>
    </xf>
    <xf numFmtId="0" fontId="14" fillId="47" borderId="105" xfId="0" applyFont="1" applyFill="1" applyBorder="1" applyAlignment="1">
      <alignment horizontal="center" vertical="center" wrapText="1"/>
    </xf>
    <xf numFmtId="0" fontId="14" fillId="52" borderId="80" xfId="0" applyFont="1" applyFill="1" applyBorder="1" applyAlignment="1">
      <alignment horizontal="center" vertical="center" wrapText="1"/>
    </xf>
    <xf numFmtId="0" fontId="14" fillId="52" borderId="105" xfId="0" applyFont="1" applyFill="1" applyBorder="1" applyAlignment="1">
      <alignment horizontal="center" vertical="center" wrapText="1"/>
    </xf>
    <xf numFmtId="0" fontId="17" fillId="52" borderId="105" xfId="0" applyFont="1" applyFill="1" applyBorder="1" applyAlignment="1">
      <alignment horizontal="center" vertical="center" wrapText="1"/>
    </xf>
    <xf numFmtId="0" fontId="14" fillId="48" borderId="80" xfId="0" applyFont="1" applyFill="1" applyBorder="1" applyAlignment="1">
      <alignment horizontal="center" vertical="center" wrapText="1"/>
    </xf>
    <xf numFmtId="0" fontId="14" fillId="48" borderId="105" xfId="0" applyFont="1" applyFill="1" applyBorder="1" applyAlignment="1">
      <alignment horizontal="center" vertical="center" wrapText="1"/>
    </xf>
    <xf numFmtId="0" fontId="17" fillId="48" borderId="105" xfId="0" applyFont="1" applyFill="1" applyBorder="1" applyAlignment="1">
      <alignment horizontal="center" vertical="center" wrapText="1"/>
    </xf>
    <xf numFmtId="0" fontId="14" fillId="58" borderId="80" xfId="0" applyFont="1" applyFill="1" applyBorder="1" applyAlignment="1">
      <alignment horizontal="center" vertical="center" wrapText="1"/>
    </xf>
    <xf numFmtId="0" fontId="14" fillId="58" borderId="105" xfId="0" applyFont="1" applyFill="1" applyBorder="1" applyAlignment="1">
      <alignment horizontal="center" vertical="center" wrapText="1"/>
    </xf>
    <xf numFmtId="0" fontId="17" fillId="58" borderId="105" xfId="0" applyFont="1" applyFill="1" applyBorder="1" applyAlignment="1">
      <alignment horizontal="center" vertical="center" wrapText="1"/>
    </xf>
    <xf numFmtId="0" fontId="16" fillId="0" borderId="103" xfId="0" applyFont="1" applyBorder="1" applyAlignment="1">
      <alignment horizontal="center" vertical="center" wrapText="1"/>
    </xf>
    <xf numFmtId="0" fontId="16" fillId="0" borderId="104" xfId="0" applyFont="1" applyBorder="1" applyAlignment="1">
      <alignment horizontal="center" vertical="center" wrapText="1"/>
    </xf>
    <xf numFmtId="0" fontId="14" fillId="58" borderId="0" xfId="0" applyFont="1" applyFill="1" applyAlignment="1">
      <alignment horizontal="center" vertical="center" wrapText="1"/>
    </xf>
    <xf numFmtId="0" fontId="0" fillId="0" borderId="38" xfId="0" applyBorder="1"/>
    <xf numFmtId="0" fontId="0" fillId="0" borderId="37" xfId="0" applyBorder="1"/>
    <xf numFmtId="177" fontId="0" fillId="0" borderId="36" xfId="0" applyNumberFormat="1" applyBorder="1"/>
    <xf numFmtId="0" fontId="0" fillId="0" borderId="35" xfId="0" applyBorder="1"/>
    <xf numFmtId="0" fontId="0" fillId="0" borderId="33" xfId="0" applyBorder="1"/>
    <xf numFmtId="0" fontId="0" fillId="0" borderId="32" xfId="0" applyBorder="1"/>
    <xf numFmtId="177" fontId="0" fillId="0" borderId="47" xfId="0" applyNumberFormat="1" applyBorder="1"/>
    <xf numFmtId="0" fontId="0" fillId="0" borderId="16" xfId="0" applyBorder="1"/>
    <xf numFmtId="0" fontId="0" fillId="0" borderId="89" xfId="0" applyBorder="1"/>
    <xf numFmtId="176" fontId="0" fillId="0" borderId="39" xfId="0" applyNumberFormat="1" applyBorder="1"/>
    <xf numFmtId="176" fontId="0" fillId="0" borderId="36" xfId="0" applyNumberFormat="1" applyBorder="1"/>
    <xf numFmtId="176" fontId="0" fillId="0" borderId="34" xfId="0" applyNumberFormat="1" applyBorder="1"/>
    <xf numFmtId="0" fontId="0" fillId="0" borderId="27" xfId="0" applyBorder="1"/>
    <xf numFmtId="178" fontId="0" fillId="0" borderId="39" xfId="0" applyNumberFormat="1" applyBorder="1"/>
    <xf numFmtId="178" fontId="0" fillId="0" borderId="36" xfId="0" applyNumberFormat="1" applyBorder="1"/>
    <xf numFmtId="177" fontId="0" fillId="0" borderId="114" xfId="0" applyNumberFormat="1" applyBorder="1"/>
    <xf numFmtId="0" fontId="0" fillId="0" borderId="115" xfId="0" applyBorder="1"/>
    <xf numFmtId="178" fontId="0" fillId="0" borderId="114" xfId="0" applyNumberFormat="1" applyBorder="1"/>
    <xf numFmtId="179" fontId="0" fillId="0" borderId="39" xfId="0" applyNumberFormat="1" applyBorder="1"/>
    <xf numFmtId="179" fontId="0" fillId="0" borderId="36" xfId="0" applyNumberFormat="1" applyBorder="1"/>
    <xf numFmtId="179" fontId="0" fillId="0" borderId="34" xfId="0" applyNumberFormat="1" applyBorder="1"/>
    <xf numFmtId="0" fontId="29" fillId="10" borderId="13" xfId="0" applyFont="1" applyFill="1" applyBorder="1" applyAlignment="1">
      <alignment horizontal="center"/>
    </xf>
    <xf numFmtId="0" fontId="29" fillId="10" borderId="11" xfId="0" applyFont="1" applyFill="1" applyBorder="1"/>
    <xf numFmtId="0" fontId="29" fillId="10" borderId="7" xfId="0" applyFont="1" applyFill="1" applyBorder="1"/>
    <xf numFmtId="0" fontId="29" fillId="10" borderId="9" xfId="0" applyFont="1" applyFill="1" applyBorder="1"/>
    <xf numFmtId="0" fontId="29" fillId="6" borderId="0" xfId="0" applyFont="1" applyFill="1" applyAlignment="1">
      <alignment horizontal="center"/>
    </xf>
    <xf numFmtId="0" fontId="29" fillId="6" borderId="29" xfId="0" applyFont="1" applyFill="1" applyBorder="1" applyAlignment="1">
      <alignment horizontal="center"/>
    </xf>
    <xf numFmtId="0" fontId="29" fillId="0" borderId="48" xfId="0" applyFont="1" applyFill="1" applyBorder="1"/>
    <xf numFmtId="0" fontId="29" fillId="0" borderId="24" xfId="0" applyFont="1" applyFill="1" applyBorder="1"/>
    <xf numFmtId="0" fontId="29" fillId="0" borderId="23" xfId="0" applyFont="1" applyFill="1" applyBorder="1"/>
    <xf numFmtId="0" fontId="44" fillId="0" borderId="0" xfId="0" applyFont="1" applyFill="1"/>
    <xf numFmtId="0" fontId="29" fillId="9" borderId="0" xfId="0" applyFont="1" applyFill="1" applyAlignment="1">
      <alignment horizontal="left"/>
    </xf>
    <xf numFmtId="0" fontId="29" fillId="9" borderId="7" xfId="0" applyFont="1" applyFill="1" applyBorder="1"/>
    <xf numFmtId="0" fontId="29" fillId="0" borderId="41" xfId="0" applyFont="1" applyFill="1" applyBorder="1"/>
    <xf numFmtId="0" fontId="45" fillId="0" borderId="40" xfId="6" applyFont="1" applyFill="1" applyBorder="1"/>
    <xf numFmtId="0" fontId="45" fillId="0" borderId="30" xfId="6" applyFont="1" applyFill="1" applyBorder="1"/>
    <xf numFmtId="0" fontId="45" fillId="0" borderId="41" xfId="6" applyFont="1" applyBorder="1"/>
    <xf numFmtId="0" fontId="29" fillId="0" borderId="30" xfId="0" applyFont="1" applyBorder="1"/>
    <xf numFmtId="0" fontId="29" fillId="9" borderId="20" xfId="0" applyFont="1" applyFill="1" applyBorder="1" applyAlignment="1">
      <alignment horizontal="center"/>
    </xf>
    <xf numFmtId="0" fontId="44" fillId="0" borderId="12" xfId="0" applyFont="1" applyFill="1" applyBorder="1"/>
    <xf numFmtId="0" fontId="45" fillId="0" borderId="20" xfId="6" applyFont="1" applyBorder="1" applyAlignment="1">
      <alignment horizontal="left"/>
    </xf>
    <xf numFmtId="0" fontId="45" fillId="0" borderId="0" xfId="6" applyFont="1" applyBorder="1" applyAlignment="1">
      <alignment horizontal="left"/>
    </xf>
    <xf numFmtId="0" fontId="45" fillId="0" borderId="13" xfId="6" applyFont="1" applyBorder="1"/>
    <xf numFmtId="0" fontId="45" fillId="0" borderId="13" xfId="6" applyFont="1" applyBorder="1" applyAlignment="1">
      <alignment horizontal="left"/>
    </xf>
    <xf numFmtId="0" fontId="16" fillId="0" borderId="12" xfId="0" applyFont="1" applyBorder="1" applyAlignment="1">
      <alignment horizontal="justify" vertical="center" wrapText="1"/>
    </xf>
    <xf numFmtId="0" fontId="16" fillId="0" borderId="10" xfId="0" applyFont="1" applyBorder="1" applyAlignment="1">
      <alignment horizontal="justify" vertical="center" wrapText="1"/>
    </xf>
    <xf numFmtId="0" fontId="16" fillId="55" borderId="94" xfId="0" applyFont="1" applyFill="1" applyBorder="1" applyAlignment="1">
      <alignment horizontal="center" vertical="center" wrapText="1"/>
    </xf>
    <xf numFmtId="0" fontId="16" fillId="55" borderId="9" xfId="0" applyFont="1" applyFill="1" applyBorder="1" applyAlignment="1">
      <alignment horizontal="center" vertical="center" wrapText="1"/>
    </xf>
    <xf numFmtId="0" fontId="16" fillId="59" borderId="94" xfId="0" applyFont="1" applyFill="1" applyBorder="1" applyAlignment="1">
      <alignment horizontal="center" vertical="center" wrapText="1"/>
    </xf>
    <xf numFmtId="0" fontId="16" fillId="59" borderId="9" xfId="0" applyFont="1" applyFill="1" applyBorder="1" applyAlignment="1">
      <alignment horizontal="center" vertical="center" wrapText="1"/>
    </xf>
    <xf numFmtId="0" fontId="16" fillId="49" borderId="94" xfId="0" applyFont="1" applyFill="1" applyBorder="1" applyAlignment="1">
      <alignment horizontal="center" vertical="center" wrapText="1"/>
    </xf>
    <xf numFmtId="0" fontId="16" fillId="49" borderId="9" xfId="0" applyFont="1" applyFill="1" applyBorder="1" applyAlignment="1">
      <alignment horizontal="center" vertical="center" wrapText="1"/>
    </xf>
    <xf numFmtId="0" fontId="16" fillId="6" borderId="94" xfId="0" applyFont="1" applyFill="1" applyBorder="1" applyAlignment="1">
      <alignment horizontal="center" vertical="center" wrapText="1"/>
    </xf>
    <xf numFmtId="0" fontId="16" fillId="6" borderId="9" xfId="0" applyFont="1" applyFill="1" applyBorder="1" applyAlignment="1">
      <alignment horizontal="center" vertical="center" wrapText="1"/>
    </xf>
    <xf numFmtId="0" fontId="16" fillId="46" borderId="97" xfId="0" applyFont="1" applyFill="1" applyBorder="1" applyAlignment="1">
      <alignment horizontal="center" vertical="center" wrapText="1"/>
    </xf>
    <xf numFmtId="0" fontId="16" fillId="46" borderId="101" xfId="0" applyFont="1" applyFill="1" applyBorder="1" applyAlignment="1">
      <alignment horizontal="center" vertical="center" wrapText="1"/>
    </xf>
    <xf numFmtId="0" fontId="16" fillId="0" borderId="93" xfId="0" applyFont="1" applyBorder="1" applyAlignment="1">
      <alignment horizontal="right" vertical="center" wrapText="1"/>
    </xf>
    <xf numFmtId="0" fontId="14" fillId="55" borderId="9" xfId="0" applyFont="1" applyFill="1" applyBorder="1" applyAlignment="1">
      <alignment horizontal="center" vertical="center" wrapText="1"/>
    </xf>
    <xf numFmtId="0" fontId="14" fillId="59" borderId="9" xfId="0" applyFont="1" applyFill="1" applyBorder="1" applyAlignment="1">
      <alignment horizontal="center" vertical="center" wrapText="1"/>
    </xf>
    <xf numFmtId="0" fontId="14" fillId="49" borderId="9"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14" fillId="46" borderId="101" xfId="0" applyFont="1" applyFill="1" applyBorder="1" applyAlignment="1">
      <alignment horizontal="center" vertical="center" wrapText="1"/>
    </xf>
    <xf numFmtId="0" fontId="16" fillId="33" borderId="93" xfId="0" applyFont="1" applyFill="1" applyBorder="1" applyAlignment="1">
      <alignment horizontal="right" vertical="center" wrapText="1"/>
    </xf>
    <xf numFmtId="0" fontId="16" fillId="33" borderId="93" xfId="0" applyFont="1" applyFill="1" applyBorder="1" applyAlignment="1">
      <alignment horizontal="right" vertical="center"/>
    </xf>
    <xf numFmtId="0" fontId="16" fillId="55" borderId="0" xfId="0" applyFont="1" applyFill="1" applyBorder="1" applyAlignment="1">
      <alignment horizontal="center" vertical="center" wrapText="1"/>
    </xf>
    <xf numFmtId="0" fontId="16" fillId="59" borderId="0" xfId="0" applyFont="1" applyFill="1" applyBorder="1" applyAlignment="1">
      <alignment horizontal="center" vertical="center" wrapText="1"/>
    </xf>
    <xf numFmtId="0" fontId="16" fillId="49" borderId="0"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46" borderId="0" xfId="0" applyFont="1" applyFill="1" applyBorder="1" applyAlignment="1">
      <alignment horizontal="center" vertical="center" wrapText="1"/>
    </xf>
    <xf numFmtId="0" fontId="16" fillId="0" borderId="107" xfId="0" applyFont="1" applyBorder="1" applyAlignment="1">
      <alignment horizontal="right" vertical="center" wrapText="1"/>
    </xf>
    <xf numFmtId="0" fontId="14" fillId="55" borderId="7" xfId="0" applyFont="1" applyFill="1" applyBorder="1" applyAlignment="1">
      <alignment horizontal="center" vertical="center" wrapText="1"/>
    </xf>
    <xf numFmtId="0" fontId="14" fillId="59" borderId="7" xfId="0" applyFont="1" applyFill="1" applyBorder="1" applyAlignment="1">
      <alignment horizontal="center" vertical="center" wrapText="1"/>
    </xf>
    <xf numFmtId="0" fontId="14" fillId="49" borderId="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46" borderId="98" xfId="0" applyFont="1" applyFill="1" applyBorder="1" applyAlignment="1">
      <alignment horizontal="center" vertical="center" wrapText="1"/>
    </xf>
    <xf numFmtId="0" fontId="16" fillId="0" borderId="91" xfId="0" applyFont="1" applyBorder="1" applyAlignment="1">
      <alignment horizontal="center" vertical="center" wrapText="1"/>
    </xf>
    <xf numFmtId="0" fontId="16" fillId="33" borderId="91" xfId="0" applyFont="1" applyFill="1" applyBorder="1" applyAlignment="1">
      <alignment horizontal="center" vertical="center" wrapText="1"/>
    </xf>
    <xf numFmtId="0" fontId="16" fillId="33" borderId="91" xfId="0" applyFont="1" applyFill="1" applyBorder="1" applyAlignment="1">
      <alignment horizontal="center" vertical="center"/>
    </xf>
    <xf numFmtId="0" fontId="16" fillId="0" borderId="116" xfId="0" applyFont="1" applyBorder="1" applyAlignment="1">
      <alignment horizontal="center" vertical="center" wrapText="1"/>
    </xf>
    <xf numFmtId="0" fontId="16" fillId="55" borderId="10" xfId="0" applyFont="1" applyFill="1" applyBorder="1" applyAlignment="1">
      <alignment horizontal="center" vertical="center" wrapText="1"/>
    </xf>
    <xf numFmtId="0" fontId="0" fillId="0" borderId="0" xfId="0" applyBorder="1"/>
    <xf numFmtId="0" fontId="16" fillId="59" borderId="10" xfId="0" applyFont="1" applyFill="1" applyBorder="1" applyAlignment="1">
      <alignment horizontal="center" vertical="center" wrapText="1"/>
    </xf>
    <xf numFmtId="0" fontId="16" fillId="49" borderId="10" xfId="0" applyFont="1" applyFill="1" applyBorder="1" applyAlignment="1">
      <alignment horizontal="center" vertical="center" wrapText="1"/>
    </xf>
    <xf numFmtId="0" fontId="16" fillId="6" borderId="10" xfId="0" applyFont="1" applyFill="1" applyBorder="1" applyAlignment="1">
      <alignment horizontal="center" vertical="center" wrapText="1"/>
    </xf>
    <xf numFmtId="0" fontId="16" fillId="46" borderId="117" xfId="0" applyFont="1" applyFill="1" applyBorder="1" applyAlignment="1">
      <alignment horizontal="center" vertical="center" wrapText="1"/>
    </xf>
    <xf numFmtId="0" fontId="14" fillId="55" borderId="0" xfId="0" applyFont="1" applyFill="1" applyBorder="1" applyAlignment="1">
      <alignment horizontal="center" vertical="center" wrapText="1"/>
    </xf>
    <xf numFmtId="0" fontId="14" fillId="59" borderId="0" xfId="0" applyFont="1" applyFill="1" applyBorder="1" applyAlignment="1">
      <alignment horizontal="center" vertical="center" wrapText="1"/>
    </xf>
    <xf numFmtId="0" fontId="14" fillId="49" borderId="0"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6" fillId="46" borderId="0" xfId="0" quotePrefix="1" applyFont="1" applyFill="1" applyBorder="1" applyAlignment="1">
      <alignment horizontal="center" vertical="center" wrapText="1"/>
    </xf>
    <xf numFmtId="0" fontId="0" fillId="0" borderId="0" xfId="0" applyFill="1" applyBorder="1" applyAlignment="1">
      <alignment horizontal="center"/>
    </xf>
    <xf numFmtId="0" fontId="0" fillId="7" borderId="0" xfId="0" applyFill="1"/>
    <xf numFmtId="0" fontId="0" fillId="7" borderId="0" xfId="0" applyFill="1" applyBorder="1" applyAlignment="1">
      <alignment horizontal="center"/>
    </xf>
    <xf numFmtId="0" fontId="0" fillId="7" borderId="13" xfId="0" applyFill="1" applyBorder="1"/>
    <xf numFmtId="0" fontId="64" fillId="0" borderId="9" xfId="0" applyFont="1" applyBorder="1" applyAlignment="1">
      <alignment horizontal="center" vertical="center" wrapText="1"/>
    </xf>
    <xf numFmtId="0" fontId="16" fillId="36" borderId="10" xfId="0" applyFont="1" applyFill="1" applyBorder="1" applyAlignment="1">
      <alignment horizontal="justify" vertical="center" wrapText="1"/>
    </xf>
    <xf numFmtId="0" fontId="64" fillId="36" borderId="9" xfId="0" applyFont="1" applyFill="1" applyBorder="1" applyAlignment="1">
      <alignment horizontal="center" vertical="center" wrapText="1"/>
    </xf>
    <xf numFmtId="2" fontId="0" fillId="0" borderId="0" xfId="0" applyNumberFormat="1"/>
    <xf numFmtId="0" fontId="0" fillId="0" borderId="11" xfId="0" applyBorder="1" applyAlignment="1">
      <alignment horizontal="center"/>
    </xf>
    <xf numFmtId="0" fontId="0" fillId="0" borderId="45" xfId="0" applyBorder="1" applyAlignment="1">
      <alignment horizontal="center"/>
    </xf>
    <xf numFmtId="0" fontId="0" fillId="0" borderId="7" xfId="0" applyBorder="1" applyAlignment="1">
      <alignment horizontal="center"/>
    </xf>
    <xf numFmtId="1" fontId="0" fillId="0" borderId="45" xfId="0" applyNumberFormat="1" applyBorder="1" applyAlignment="1">
      <alignment horizontal="center"/>
    </xf>
    <xf numFmtId="1" fontId="0" fillId="0" borderId="7" xfId="0" applyNumberFormat="1" applyBorder="1" applyAlignment="1">
      <alignment horizontal="center"/>
    </xf>
    <xf numFmtId="1" fontId="0" fillId="0" borderId="44" xfId="0" applyNumberFormat="1" applyBorder="1" applyAlignment="1">
      <alignment horizontal="center"/>
    </xf>
    <xf numFmtId="1" fontId="0" fillId="0" borderId="9" xfId="0" applyNumberFormat="1" applyBorder="1" applyAlignment="1">
      <alignment horizontal="center"/>
    </xf>
    <xf numFmtId="0" fontId="16" fillId="0" borderId="44" xfId="0" applyFont="1" applyBorder="1" applyAlignment="1">
      <alignment horizontal="justify" vertical="center" wrapText="1"/>
    </xf>
    <xf numFmtId="0" fontId="16" fillId="36" borderId="44" xfId="0" applyFont="1" applyFill="1" applyBorder="1" applyAlignment="1">
      <alignment horizontal="justify" vertical="center" wrapText="1"/>
    </xf>
    <xf numFmtId="0" fontId="64" fillId="36" borderId="7" xfId="0" applyFont="1" applyFill="1" applyBorder="1" applyAlignment="1">
      <alignment horizontal="center" vertical="center" wrapText="1"/>
    </xf>
    <xf numFmtId="0" fontId="0" fillId="0" borderId="36" xfId="0" applyBorder="1" applyAlignment="1">
      <alignment horizontal="center"/>
    </xf>
    <xf numFmtId="0" fontId="0" fillId="0" borderId="35" xfId="0" applyBorder="1" applyAlignment="1">
      <alignment horizontal="center"/>
    </xf>
    <xf numFmtId="0" fontId="0" fillId="0" borderId="34" xfId="0" applyBorder="1" applyAlignment="1">
      <alignment horizontal="center"/>
    </xf>
    <xf numFmtId="0" fontId="0" fillId="0" borderId="32" xfId="0" applyBorder="1" applyAlignment="1">
      <alignment horizontal="center"/>
    </xf>
    <xf numFmtId="0" fontId="0" fillId="0" borderId="37" xfId="0" applyBorder="1" applyAlignment="1">
      <alignment horizontal="center"/>
    </xf>
    <xf numFmtId="0" fontId="0" fillId="0" borderId="14" xfId="0" applyBorder="1" applyAlignment="1">
      <alignment horizontal="center"/>
    </xf>
    <xf numFmtId="0" fontId="0" fillId="0" borderId="55" xfId="0" applyBorder="1" applyAlignment="1">
      <alignment horizontal="center"/>
    </xf>
    <xf numFmtId="0" fontId="0" fillId="0" borderId="39" xfId="0" applyBorder="1" applyAlignment="1">
      <alignment horizontal="center"/>
    </xf>
    <xf numFmtId="0" fontId="65" fillId="7" borderId="118" xfId="0" applyFont="1" applyFill="1" applyBorder="1" applyAlignment="1">
      <alignment horizontal="center" vertical="center" wrapText="1"/>
    </xf>
    <xf numFmtId="0" fontId="2" fillId="7" borderId="70" xfId="0" applyFont="1" applyFill="1" applyBorder="1"/>
    <xf numFmtId="0" fontId="2" fillId="7" borderId="70" xfId="0" applyFont="1" applyFill="1" applyBorder="1" applyAlignment="1">
      <alignment horizontal="center"/>
    </xf>
    <xf numFmtId="0" fontId="2" fillId="7" borderId="118" xfId="0" applyFont="1" applyFill="1" applyBorder="1" applyAlignment="1">
      <alignment horizontal="left"/>
    </xf>
    <xf numFmtId="0" fontId="2" fillId="7" borderId="52" xfId="0" applyFont="1" applyFill="1" applyBorder="1" applyAlignment="1">
      <alignment horizontal="center"/>
    </xf>
    <xf numFmtId="0" fontId="16" fillId="0" borderId="41" xfId="0" applyFont="1" applyBorder="1" applyAlignment="1">
      <alignment horizontal="justify" vertical="center" wrapText="1"/>
    </xf>
    <xf numFmtId="0" fontId="0" fillId="0" borderId="63" xfId="0" applyBorder="1" applyAlignment="1">
      <alignment horizontal="center"/>
    </xf>
    <xf numFmtId="0" fontId="0" fillId="38" borderId="118" xfId="0" applyFill="1" applyBorder="1" applyAlignment="1">
      <alignment horizontal="center"/>
    </xf>
    <xf numFmtId="0" fontId="0" fillId="38" borderId="70" xfId="0" applyFill="1" applyBorder="1" applyAlignment="1">
      <alignment horizontal="center"/>
    </xf>
    <xf numFmtId="0" fontId="0" fillId="38" borderId="39" xfId="0" applyFill="1" applyBorder="1"/>
    <xf numFmtId="0" fontId="0" fillId="38" borderId="37" xfId="0" applyFill="1" applyBorder="1"/>
    <xf numFmtId="0" fontId="0" fillId="38" borderId="36" xfId="0" applyFill="1" applyBorder="1"/>
    <xf numFmtId="0" fontId="0" fillId="38" borderId="35" xfId="0" applyFill="1" applyBorder="1"/>
    <xf numFmtId="0" fontId="0" fillId="38" borderId="34" xfId="0" applyFill="1" applyBorder="1"/>
    <xf numFmtId="0" fontId="0" fillId="38" borderId="32" xfId="0" applyFill="1" applyBorder="1"/>
    <xf numFmtId="0" fontId="0" fillId="16" borderId="118" xfId="0" applyFill="1" applyBorder="1" applyAlignment="1">
      <alignment horizontal="center"/>
    </xf>
    <xf numFmtId="0" fontId="0" fillId="16" borderId="70" xfId="0" applyFill="1" applyBorder="1" applyAlignment="1">
      <alignment horizontal="center"/>
    </xf>
    <xf numFmtId="0" fontId="0" fillId="16" borderId="39" xfId="0" applyFill="1" applyBorder="1"/>
    <xf numFmtId="0" fontId="0" fillId="16" borderId="37" xfId="0" applyFill="1" applyBorder="1"/>
    <xf numFmtId="0" fontId="0" fillId="16" borderId="36" xfId="0" applyFill="1" applyBorder="1"/>
    <xf numFmtId="0" fontId="0" fillId="16" borderId="35" xfId="0" applyFill="1" applyBorder="1"/>
    <xf numFmtId="0" fontId="0" fillId="16" borderId="34" xfId="0" applyFill="1" applyBorder="1"/>
    <xf numFmtId="0" fontId="0" fillId="16" borderId="32" xfId="0" applyFill="1" applyBorder="1"/>
    <xf numFmtId="0" fontId="0" fillId="5" borderId="118" xfId="0" applyFill="1" applyBorder="1" applyAlignment="1">
      <alignment horizontal="center"/>
    </xf>
    <xf numFmtId="0" fontId="0" fillId="5" borderId="70" xfId="0" applyFill="1" applyBorder="1" applyAlignment="1">
      <alignment horizontal="center"/>
    </xf>
    <xf numFmtId="0" fontId="0" fillId="5" borderId="39" xfId="0" applyFill="1" applyBorder="1"/>
    <xf numFmtId="0" fontId="0" fillId="5" borderId="37" xfId="0" applyFill="1" applyBorder="1"/>
    <xf numFmtId="0" fontId="0" fillId="5" borderId="36" xfId="0" applyFill="1" applyBorder="1"/>
    <xf numFmtId="0" fontId="0" fillId="5" borderId="35" xfId="0" applyFill="1" applyBorder="1"/>
    <xf numFmtId="0" fontId="0" fillId="5" borderId="34" xfId="0" applyFill="1" applyBorder="1"/>
    <xf numFmtId="0" fontId="0" fillId="5" borderId="32" xfId="0" applyFill="1" applyBorder="1"/>
    <xf numFmtId="0" fontId="16" fillId="37" borderId="31" xfId="0" applyFont="1" applyFill="1" applyBorder="1" applyAlignment="1">
      <alignment horizontal="justify" vertical="center" wrapText="1"/>
    </xf>
    <xf numFmtId="0" fontId="16" fillId="37" borderId="8" xfId="0" applyFont="1" applyFill="1" applyBorder="1" applyAlignment="1">
      <alignment horizontal="justify" vertical="center" wrapText="1"/>
    </xf>
    <xf numFmtId="0" fontId="16" fillId="34" borderId="31" xfId="0" applyFont="1" applyFill="1" applyBorder="1" applyAlignment="1">
      <alignment horizontal="justify" vertical="center" wrapText="1"/>
    </xf>
    <xf numFmtId="0" fontId="16" fillId="0" borderId="119" xfId="0" applyFont="1" applyBorder="1" applyAlignment="1">
      <alignment horizontal="center" vertical="center" wrapText="1"/>
    </xf>
    <xf numFmtId="0" fontId="16" fillId="51" borderId="106" xfId="0" applyFont="1" applyFill="1" applyBorder="1" applyAlignment="1">
      <alignment horizontal="center" vertical="center" wrapText="1"/>
    </xf>
    <xf numFmtId="0" fontId="16" fillId="51" borderId="120" xfId="0" applyFont="1" applyFill="1" applyBorder="1" applyAlignment="1">
      <alignment horizontal="center" vertical="center" wrapText="1"/>
    </xf>
    <xf numFmtId="0" fontId="16" fillId="36" borderId="106" xfId="0" applyFont="1" applyFill="1" applyBorder="1" applyAlignment="1">
      <alignment horizontal="center" vertical="center" wrapText="1"/>
    </xf>
    <xf numFmtId="0" fontId="16" fillId="36" borderId="120" xfId="0" applyFont="1" applyFill="1" applyBorder="1" applyAlignment="1">
      <alignment horizontal="center" vertical="center" wrapText="1"/>
    </xf>
    <xf numFmtId="0" fontId="16" fillId="55" borderId="120" xfId="0" applyFont="1" applyFill="1" applyBorder="1" applyAlignment="1">
      <alignment horizontal="center" vertical="center" wrapText="1"/>
    </xf>
    <xf numFmtId="0" fontId="16" fillId="49" borderId="120" xfId="0" applyFont="1" applyFill="1" applyBorder="1" applyAlignment="1">
      <alignment horizontal="center" vertical="center" wrapText="1"/>
    </xf>
    <xf numFmtId="0" fontId="14" fillId="51" borderId="9" xfId="0" applyFont="1" applyFill="1" applyBorder="1" applyAlignment="1">
      <alignment horizontal="center" vertical="center" wrapText="1"/>
    </xf>
    <xf numFmtId="0" fontId="14" fillId="51" borderId="101" xfId="0" applyFont="1" applyFill="1" applyBorder="1" applyAlignment="1">
      <alignment horizontal="center" vertical="center" wrapText="1"/>
    </xf>
    <xf numFmtId="0" fontId="14" fillId="36" borderId="9" xfId="0" applyFont="1" applyFill="1" applyBorder="1" applyAlignment="1">
      <alignment horizontal="center" vertical="center" wrapText="1"/>
    </xf>
    <xf numFmtId="0" fontId="14" fillId="36" borderId="101" xfId="0" applyFont="1" applyFill="1" applyBorder="1" applyAlignment="1">
      <alignment horizontal="center" vertical="center" wrapText="1"/>
    </xf>
    <xf numFmtId="0" fontId="14" fillId="55" borderId="101" xfId="0" applyFont="1" applyFill="1" applyBorder="1" applyAlignment="1">
      <alignment horizontal="center" vertical="center" wrapText="1"/>
    </xf>
    <xf numFmtId="0" fontId="14" fillId="49" borderId="101" xfId="0" applyFont="1" applyFill="1" applyBorder="1" applyAlignment="1">
      <alignment horizontal="center" vertical="center" wrapText="1"/>
    </xf>
    <xf numFmtId="0" fontId="16" fillId="47" borderId="93" xfId="0" applyFont="1" applyFill="1" applyBorder="1" applyAlignment="1">
      <alignment horizontal="center" vertical="center" wrapText="1"/>
    </xf>
    <xf numFmtId="0" fontId="16" fillId="33" borderId="93" xfId="0" applyFont="1" applyFill="1" applyBorder="1" applyAlignment="1">
      <alignment horizontal="center" vertical="center" wrapText="1"/>
    </xf>
    <xf numFmtId="0" fontId="16" fillId="52" borderId="93" xfId="0" applyFont="1" applyFill="1" applyBorder="1" applyAlignment="1">
      <alignment horizontal="center" vertical="center" wrapText="1"/>
    </xf>
    <xf numFmtId="0" fontId="16" fillId="60" borderId="93" xfId="0" applyFont="1" applyFill="1" applyBorder="1" applyAlignment="1">
      <alignment horizontal="center" vertical="center" wrapText="1"/>
    </xf>
    <xf numFmtId="0" fontId="16" fillId="60" borderId="121" xfId="0" applyFont="1" applyFill="1" applyBorder="1" applyAlignment="1">
      <alignment horizontal="center" vertical="center" wrapText="1"/>
    </xf>
    <xf numFmtId="0" fontId="14" fillId="51" borderId="122" xfId="0" applyFont="1" applyFill="1" applyBorder="1" applyAlignment="1">
      <alignment horizontal="center" vertical="center" wrapText="1"/>
    </xf>
    <xf numFmtId="0" fontId="14" fillId="51" borderId="123" xfId="0" applyFont="1" applyFill="1" applyBorder="1" applyAlignment="1">
      <alignment horizontal="center" vertical="center" wrapText="1"/>
    </xf>
    <xf numFmtId="0" fontId="14" fillId="36" borderId="122" xfId="0" applyFont="1" applyFill="1" applyBorder="1" applyAlignment="1">
      <alignment horizontal="center" vertical="center" wrapText="1"/>
    </xf>
    <xf numFmtId="0" fontId="14" fillId="36" borderId="123" xfId="0" applyFont="1" applyFill="1" applyBorder="1" applyAlignment="1">
      <alignment horizontal="center" vertical="center" wrapText="1"/>
    </xf>
    <xf numFmtId="0" fontId="14" fillId="55" borderId="123" xfId="0" applyFont="1" applyFill="1" applyBorder="1" applyAlignment="1">
      <alignment horizontal="center" vertical="center" wrapText="1"/>
    </xf>
    <xf numFmtId="0" fontId="14" fillId="49" borderId="123" xfId="0" applyFont="1" applyFill="1" applyBorder="1" applyAlignment="1">
      <alignment horizontal="center" vertical="center" wrapText="1"/>
    </xf>
    <xf numFmtId="0" fontId="14" fillId="60" borderId="124" xfId="0" applyFont="1" applyFill="1" applyBorder="1" applyAlignment="1">
      <alignment horizontal="center" vertical="center" wrapText="1"/>
    </xf>
    <xf numFmtId="0" fontId="14" fillId="51" borderId="0" xfId="0" applyFont="1" applyFill="1" applyAlignment="1">
      <alignment horizontal="center" vertical="center" wrapText="1"/>
    </xf>
    <xf numFmtId="0" fontId="14" fillId="45" borderId="0" xfId="0" applyFont="1" applyFill="1" applyAlignment="1">
      <alignment horizontal="center" vertical="center" wrapText="1"/>
    </xf>
    <xf numFmtId="0" fontId="14" fillId="55" borderId="0" xfId="0" applyFont="1" applyFill="1" applyAlignment="1">
      <alignment horizontal="center" vertical="center" wrapText="1"/>
    </xf>
    <xf numFmtId="0" fontId="14" fillId="49" borderId="125" xfId="0" applyFont="1" applyFill="1" applyBorder="1" applyAlignment="1">
      <alignment horizontal="center" vertical="center" wrapText="1"/>
    </xf>
    <xf numFmtId="0" fontId="14" fillId="60" borderId="126" xfId="0" applyFont="1" applyFill="1" applyBorder="1" applyAlignment="1">
      <alignment horizontal="center" vertical="center" wrapText="1"/>
    </xf>
    <xf numFmtId="0" fontId="14" fillId="51" borderId="127" xfId="0" applyFont="1" applyFill="1" applyBorder="1" applyAlignment="1">
      <alignment horizontal="center" vertical="center" wrapText="1"/>
    </xf>
    <xf numFmtId="0" fontId="14" fillId="45" borderId="127" xfId="0" applyFont="1" applyFill="1" applyBorder="1" applyAlignment="1">
      <alignment horizontal="center" vertical="center" wrapText="1"/>
    </xf>
    <xf numFmtId="0" fontId="14" fillId="55" borderId="127" xfId="0" applyFont="1" applyFill="1" applyBorder="1" applyAlignment="1">
      <alignment horizontal="center" vertical="center" wrapText="1"/>
    </xf>
    <xf numFmtId="0" fontId="14" fillId="49" borderId="128" xfId="0" applyFont="1" applyFill="1" applyBorder="1" applyAlignment="1">
      <alignment horizontal="center" vertical="center" wrapText="1"/>
    </xf>
    <xf numFmtId="0" fontId="16" fillId="60" borderId="0" xfId="0" applyFont="1" applyFill="1" applyBorder="1" applyAlignment="1">
      <alignment horizontal="center" vertical="center" wrapText="1"/>
    </xf>
    <xf numFmtId="0" fontId="16" fillId="51" borderId="129" xfId="0" applyFont="1" applyFill="1" applyBorder="1" applyAlignment="1">
      <alignment horizontal="center" vertical="center" wrapText="1"/>
    </xf>
    <xf numFmtId="0" fontId="14" fillId="51" borderId="29" xfId="0" applyFont="1" applyFill="1" applyBorder="1" applyAlignment="1">
      <alignment horizontal="center" vertical="center" wrapText="1"/>
    </xf>
    <xf numFmtId="0" fontId="16" fillId="36" borderId="0" xfId="0" applyFont="1" applyFill="1" applyBorder="1" applyAlignment="1">
      <alignment horizontal="center" vertical="center" wrapText="1"/>
    </xf>
    <xf numFmtId="0" fontId="0" fillId="23" borderId="13" xfId="0" applyFill="1" applyBorder="1"/>
    <xf numFmtId="0" fontId="0" fillId="5" borderId="13" xfId="0" applyFill="1" applyBorder="1"/>
    <xf numFmtId="0" fontId="2" fillId="0" borderId="0" xfId="0" applyFont="1" applyAlignment="1">
      <alignment horizontal="center"/>
    </xf>
    <xf numFmtId="0" fontId="0" fillId="16" borderId="13" xfId="0" applyFill="1" applyBorder="1"/>
    <xf numFmtId="0" fontId="0" fillId="16" borderId="39" xfId="0" applyFill="1" applyBorder="1" applyAlignment="1">
      <alignment horizontal="center"/>
    </xf>
    <xf numFmtId="0" fontId="0" fillId="16" borderId="37" xfId="0" applyFill="1" applyBorder="1" applyAlignment="1">
      <alignment horizontal="center"/>
    </xf>
    <xf numFmtId="0" fontId="0" fillId="16" borderId="36" xfId="0" applyFill="1" applyBorder="1" applyAlignment="1">
      <alignment horizontal="center"/>
    </xf>
    <xf numFmtId="0" fontId="0" fillId="16" borderId="35" xfId="0" applyFill="1" applyBorder="1" applyAlignment="1">
      <alignment horizontal="center"/>
    </xf>
    <xf numFmtId="0" fontId="0" fillId="16" borderId="34" xfId="0" applyFill="1" applyBorder="1" applyAlignment="1">
      <alignment horizontal="center"/>
    </xf>
    <xf numFmtId="0" fontId="0" fillId="16" borderId="32" xfId="0" applyFill="1" applyBorder="1" applyAlignment="1">
      <alignment horizontal="center"/>
    </xf>
    <xf numFmtId="0" fontId="14" fillId="38" borderId="13" xfId="0" applyFont="1" applyFill="1" applyBorder="1" applyAlignment="1">
      <alignment horizontal="center" vertical="center" wrapText="1"/>
    </xf>
    <xf numFmtId="0" fontId="0" fillId="38" borderId="13" xfId="0" applyFill="1" applyBorder="1"/>
    <xf numFmtId="0" fontId="0" fillId="38" borderId="0" xfId="0" applyFill="1"/>
    <xf numFmtId="0" fontId="0" fillId="38" borderId="36" xfId="0" applyFill="1" applyBorder="1" applyAlignment="1">
      <alignment horizontal="center"/>
    </xf>
    <xf numFmtId="0" fontId="0" fillId="38" borderId="35" xfId="0" applyFill="1" applyBorder="1" applyAlignment="1">
      <alignment horizontal="center"/>
    </xf>
    <xf numFmtId="0" fontId="0" fillId="38" borderId="34" xfId="0" applyFill="1" applyBorder="1" applyAlignment="1">
      <alignment horizontal="center"/>
    </xf>
    <xf numFmtId="0" fontId="0" fillId="38" borderId="32" xfId="0" applyFill="1" applyBorder="1" applyAlignment="1">
      <alignment horizontal="center"/>
    </xf>
    <xf numFmtId="0" fontId="0" fillId="23" borderId="39" xfId="0" applyFill="1" applyBorder="1" applyAlignment="1">
      <alignment horizontal="center"/>
    </xf>
    <xf numFmtId="0" fontId="0" fillId="23" borderId="37" xfId="0" applyFill="1" applyBorder="1" applyAlignment="1">
      <alignment horizontal="center"/>
    </xf>
    <xf numFmtId="0" fontId="0" fillId="23" borderId="36" xfId="0" applyFill="1" applyBorder="1" applyAlignment="1">
      <alignment horizontal="center"/>
    </xf>
    <xf numFmtId="0" fontId="0" fillId="23" borderId="35" xfId="0" applyFill="1" applyBorder="1" applyAlignment="1">
      <alignment horizontal="center"/>
    </xf>
    <xf numFmtId="0" fontId="0" fillId="23" borderId="34" xfId="0" applyFill="1" applyBorder="1" applyAlignment="1">
      <alignment horizontal="center"/>
    </xf>
    <xf numFmtId="0" fontId="0" fillId="23" borderId="32" xfId="0" applyFill="1" applyBorder="1" applyAlignment="1">
      <alignment horizontal="center"/>
    </xf>
    <xf numFmtId="0" fontId="0" fillId="5" borderId="0" xfId="0" applyFill="1"/>
    <xf numFmtId="0" fontId="0" fillId="5" borderId="36" xfId="0" applyFill="1" applyBorder="1" applyAlignment="1">
      <alignment horizontal="center"/>
    </xf>
    <xf numFmtId="0" fontId="0" fillId="5" borderId="35" xfId="0" applyFill="1" applyBorder="1" applyAlignment="1">
      <alignment horizontal="center"/>
    </xf>
    <xf numFmtId="0" fontId="14" fillId="5" borderId="16" xfId="0" applyFont="1" applyFill="1" applyBorder="1" applyAlignment="1">
      <alignment horizontal="center" vertical="center" wrapText="1"/>
    </xf>
    <xf numFmtId="0" fontId="0" fillId="5" borderId="16" xfId="0" applyFill="1" applyBorder="1"/>
    <xf numFmtId="0" fontId="0" fillId="5" borderId="47" xfId="0" applyFill="1" applyBorder="1" applyAlignment="1">
      <alignment horizontal="center"/>
    </xf>
    <xf numFmtId="0" fontId="0" fillId="5" borderId="89" xfId="0" applyFill="1" applyBorder="1" applyAlignment="1">
      <alignment horizontal="center"/>
    </xf>
    <xf numFmtId="0" fontId="14" fillId="16" borderId="39" xfId="0" applyFont="1" applyFill="1" applyBorder="1" applyAlignment="1">
      <alignment horizontal="center" vertical="center" wrapText="1"/>
    </xf>
    <xf numFmtId="0" fontId="0" fillId="16" borderId="38" xfId="0" applyFill="1" applyBorder="1"/>
    <xf numFmtId="0" fontId="0" fillId="16" borderId="20" xfId="0" applyFill="1" applyBorder="1"/>
    <xf numFmtId="0" fontId="14" fillId="16" borderId="36" xfId="0" applyFont="1" applyFill="1" applyBorder="1" applyAlignment="1">
      <alignment horizontal="center" vertical="center" wrapText="1"/>
    </xf>
    <xf numFmtId="0" fontId="0" fillId="16" borderId="0" xfId="0" applyFill="1" applyBorder="1"/>
    <xf numFmtId="0" fontId="14" fillId="16" borderId="34" xfId="0" applyFont="1" applyFill="1" applyBorder="1" applyAlignment="1">
      <alignment horizontal="center" vertical="center" wrapText="1"/>
    </xf>
    <xf numFmtId="0" fontId="0" fillId="16" borderId="33" xfId="0" applyFill="1" applyBorder="1"/>
    <xf numFmtId="0" fontId="0" fillId="16" borderId="29" xfId="0" applyFill="1" applyBorder="1"/>
    <xf numFmtId="0" fontId="14" fillId="5" borderId="27" xfId="0" applyFont="1" applyFill="1" applyBorder="1" applyAlignment="1">
      <alignment horizontal="center" vertical="center" wrapText="1"/>
    </xf>
    <xf numFmtId="0" fontId="0" fillId="5" borderId="27" xfId="0" applyFill="1" applyBorder="1"/>
    <xf numFmtId="0" fontId="0" fillId="5" borderId="114" xfId="0" applyFill="1" applyBorder="1" applyAlignment="1">
      <alignment horizontal="center"/>
    </xf>
    <xf numFmtId="0" fontId="0" fillId="5" borderId="115" xfId="0" applyFill="1" applyBorder="1" applyAlignment="1">
      <alignment horizontal="center"/>
    </xf>
    <xf numFmtId="0" fontId="14" fillId="38" borderId="16" xfId="0" applyFont="1" applyFill="1" applyBorder="1" applyAlignment="1">
      <alignment horizontal="center" vertical="center" wrapText="1"/>
    </xf>
    <xf numFmtId="0" fontId="0" fillId="38" borderId="16" xfId="0" applyFill="1" applyBorder="1"/>
    <xf numFmtId="0" fontId="0" fillId="38" borderId="47" xfId="0" applyFill="1" applyBorder="1" applyAlignment="1">
      <alignment horizontal="center"/>
    </xf>
    <xf numFmtId="0" fontId="0" fillId="38" borderId="89" xfId="0" applyFill="1" applyBorder="1" applyAlignment="1">
      <alignment horizontal="center"/>
    </xf>
    <xf numFmtId="0" fontId="14" fillId="23" borderId="39" xfId="0" applyFont="1" applyFill="1" applyBorder="1" applyAlignment="1">
      <alignment horizontal="center" vertical="center" wrapText="1"/>
    </xf>
    <xf numFmtId="0" fontId="0" fillId="23" borderId="38" xfId="0" applyFill="1" applyBorder="1"/>
    <xf numFmtId="0" fontId="0" fillId="23" borderId="20" xfId="0" applyFill="1" applyBorder="1"/>
    <xf numFmtId="0" fontId="14" fillId="23" borderId="36" xfId="0" applyFont="1" applyFill="1" applyBorder="1" applyAlignment="1">
      <alignment horizontal="center" vertical="center" wrapText="1"/>
    </xf>
    <xf numFmtId="0" fontId="0" fillId="23" borderId="0" xfId="0" applyFill="1" applyBorder="1"/>
    <xf numFmtId="0" fontId="14" fillId="23" borderId="34" xfId="0" applyFont="1" applyFill="1" applyBorder="1" applyAlignment="1">
      <alignment horizontal="center" vertical="center" wrapText="1"/>
    </xf>
    <xf numFmtId="0" fontId="0" fillId="23" borderId="33" xfId="0" applyFill="1" applyBorder="1"/>
    <xf numFmtId="0" fontId="0" fillId="23" borderId="29" xfId="0" applyFill="1" applyBorder="1"/>
    <xf numFmtId="0" fontId="49" fillId="9" borderId="0" xfId="6" applyFont="1" applyFill="1"/>
    <xf numFmtId="0" fontId="45" fillId="9" borderId="0" xfId="6" applyFont="1" applyFill="1"/>
    <xf numFmtId="0" fontId="29" fillId="9" borderId="13" xfId="0" applyFont="1" applyFill="1" applyBorder="1" applyAlignment="1">
      <alignment horizontal="center"/>
    </xf>
    <xf numFmtId="0" fontId="29" fillId="9" borderId="33" xfId="0" applyFont="1" applyFill="1" applyBorder="1" applyAlignment="1">
      <alignment horizontal="center"/>
    </xf>
    <xf numFmtId="0" fontId="44" fillId="9" borderId="38" xfId="0" applyFont="1" applyFill="1" applyBorder="1" applyAlignment="1">
      <alignment horizontal="center"/>
    </xf>
    <xf numFmtId="0" fontId="44" fillId="9" borderId="13" xfId="0" applyFont="1" applyFill="1" applyBorder="1" applyAlignment="1">
      <alignment horizontal="center"/>
    </xf>
    <xf numFmtId="0" fontId="44" fillId="9" borderId="33" xfId="0" applyFont="1" applyFill="1" applyBorder="1" applyAlignment="1">
      <alignment horizontal="center"/>
    </xf>
    <xf numFmtId="1" fontId="26" fillId="18" borderId="60" xfId="2" applyNumberFormat="1" applyFont="1" applyFill="1" applyBorder="1" applyAlignment="1">
      <alignment horizontal="center" vertical="center"/>
    </xf>
    <xf numFmtId="0" fontId="24" fillId="0" borderId="0" xfId="2" applyFont="1" applyBorder="1"/>
    <xf numFmtId="0" fontId="24" fillId="0" borderId="12" xfId="2" applyFont="1" applyBorder="1"/>
    <xf numFmtId="0" fontId="24" fillId="0" borderId="10" xfId="2" applyFont="1" applyBorder="1"/>
    <xf numFmtId="0" fontId="26" fillId="0" borderId="68" xfId="2" applyFont="1" applyBorder="1" applyAlignment="1">
      <alignment vertical="center"/>
    </xf>
    <xf numFmtId="0" fontId="26" fillId="0" borderId="0" xfId="2" applyFont="1" applyBorder="1" applyAlignment="1">
      <alignment vertical="center"/>
    </xf>
    <xf numFmtId="0" fontId="26" fillId="0" borderId="130" xfId="2" applyFont="1" applyBorder="1" applyAlignment="1">
      <alignment vertical="center"/>
    </xf>
    <xf numFmtId="0" fontId="26" fillId="0" borderId="131" xfId="2" applyFont="1" applyBorder="1" applyAlignment="1">
      <alignment horizontal="center" vertical="center"/>
    </xf>
    <xf numFmtId="0" fontId="26" fillId="0" borderId="132" xfId="2" applyFont="1" applyBorder="1" applyAlignment="1">
      <alignment horizontal="center" vertical="center"/>
    </xf>
    <xf numFmtId="0" fontId="26" fillId="0" borderId="133" xfId="2" applyFont="1" applyBorder="1" applyAlignment="1">
      <alignment horizontal="center" vertical="center"/>
    </xf>
    <xf numFmtId="0" fontId="26" fillId="19" borderId="134" xfId="2" applyFont="1" applyFill="1" applyBorder="1" applyAlignment="1">
      <alignment horizontal="center" vertical="center"/>
    </xf>
    <xf numFmtId="0" fontId="26" fillId="18" borderId="133" xfId="2" applyFont="1" applyFill="1" applyBorder="1" applyAlignment="1">
      <alignment horizontal="center" vertical="center"/>
    </xf>
    <xf numFmtId="1" fontId="26" fillId="8" borderId="135" xfId="2" applyNumberFormat="1" applyFont="1" applyFill="1" applyBorder="1" applyAlignment="1">
      <alignment horizontal="center" vertical="center"/>
    </xf>
    <xf numFmtId="1" fontId="26" fillId="8" borderId="96" xfId="2" applyNumberFormat="1" applyFont="1" applyFill="1" applyBorder="1" applyAlignment="1">
      <alignment horizontal="center" vertical="center"/>
    </xf>
    <xf numFmtId="1" fontId="26" fillId="8" borderId="94" xfId="2" applyNumberFormat="1" applyFont="1" applyFill="1" applyBorder="1" applyAlignment="1">
      <alignment horizontal="center" vertical="center"/>
    </xf>
    <xf numFmtId="1" fontId="26" fillId="8" borderId="97" xfId="2" applyNumberFormat="1" applyFont="1" applyFill="1" applyBorder="1" applyAlignment="1">
      <alignment horizontal="center" vertical="center"/>
    </xf>
    <xf numFmtId="0" fontId="26" fillId="0" borderId="107" xfId="2" applyFont="1" applyBorder="1" applyAlignment="1">
      <alignment vertical="center"/>
    </xf>
    <xf numFmtId="1" fontId="26" fillId="18" borderId="136" xfId="2" applyNumberFormat="1" applyFont="1" applyFill="1" applyBorder="1" applyAlignment="1">
      <alignment horizontal="center" vertical="center"/>
    </xf>
    <xf numFmtId="0" fontId="24" fillId="0" borderId="137" xfId="2" applyFont="1" applyBorder="1"/>
    <xf numFmtId="0" fontId="24" fillId="0" borderId="0" xfId="2" applyFont="1" applyBorder="1" applyAlignment="1">
      <alignment vertical="top"/>
    </xf>
    <xf numFmtId="0" fontId="24" fillId="0" borderId="93" xfId="2" applyFont="1" applyBorder="1"/>
    <xf numFmtId="0" fontId="24" fillId="0" borderId="0" xfId="2" applyFont="1" applyBorder="1" applyAlignment="1">
      <alignment horizontal="center" vertical="top"/>
    </xf>
    <xf numFmtId="1" fontId="24" fillId="0" borderId="0" xfId="2" applyNumberFormat="1" applyFont="1" applyBorder="1" applyAlignment="1">
      <alignment horizontal="center" vertical="top"/>
    </xf>
    <xf numFmtId="0" fontId="24" fillId="0" borderId="113" xfId="2" applyFont="1" applyBorder="1"/>
    <xf numFmtId="0" fontId="24" fillId="0" borderId="99" xfId="2" applyFont="1" applyBorder="1"/>
    <xf numFmtId="0" fontId="24" fillId="0" borderId="138" xfId="2" applyFont="1" applyBorder="1"/>
    <xf numFmtId="0" fontId="24" fillId="0" borderId="138" xfId="2" applyFont="1" applyBorder="1" applyAlignment="1">
      <alignment horizontal="left" vertical="top"/>
    </xf>
    <xf numFmtId="0" fontId="24" fillId="0" borderId="99" xfId="2" applyFont="1" applyBorder="1" applyAlignment="1">
      <alignment horizontal="left" vertical="top"/>
    </xf>
    <xf numFmtId="1" fontId="24" fillId="0" borderId="99" xfId="2" applyNumberFormat="1" applyFont="1" applyBorder="1" applyAlignment="1">
      <alignment horizontal="left" vertical="top"/>
    </xf>
    <xf numFmtId="0" fontId="24" fillId="0" borderId="100" xfId="2" applyFont="1" applyBorder="1"/>
    <xf numFmtId="0" fontId="25" fillId="9" borderId="0" xfId="2" applyFont="1" applyFill="1" applyBorder="1" applyAlignment="1">
      <alignment vertical="top"/>
    </xf>
    <xf numFmtId="0" fontId="24" fillId="9" borderId="0" xfId="2" applyFont="1" applyFill="1" applyBorder="1"/>
    <xf numFmtId="1" fontId="24" fillId="9" borderId="98" xfId="2" applyNumberFormat="1" applyFont="1" applyFill="1" applyBorder="1" applyAlignment="1">
      <alignment horizontal="right" vertical="top"/>
    </xf>
    <xf numFmtId="0" fontId="24" fillId="9" borderId="0" xfId="2" applyFont="1" applyFill="1" applyBorder="1" applyAlignment="1">
      <alignment vertical="top"/>
    </xf>
    <xf numFmtId="0" fontId="24" fillId="9" borderId="98" xfId="2" applyFont="1" applyFill="1" applyBorder="1" applyAlignment="1">
      <alignment horizontal="right" vertical="top"/>
    </xf>
    <xf numFmtId="0" fontId="26" fillId="7" borderId="46" xfId="2" applyFont="1" applyFill="1" applyBorder="1"/>
    <xf numFmtId="0" fontId="26" fillId="7" borderId="52" xfId="2" applyFont="1" applyFill="1" applyBorder="1" applyAlignment="1">
      <alignment horizontal="center"/>
    </xf>
    <xf numFmtId="0" fontId="26" fillId="7" borderId="53" xfId="2" applyFont="1" applyFill="1" applyBorder="1" applyAlignment="1">
      <alignment horizontal="center"/>
    </xf>
    <xf numFmtId="0" fontId="26" fillId="7" borderId="20" xfId="2" applyFont="1" applyFill="1" applyBorder="1" applyAlignment="1">
      <alignment horizontal="center"/>
    </xf>
    <xf numFmtId="0" fontId="26" fillId="7" borderId="38" xfId="2" applyFont="1" applyFill="1" applyBorder="1" applyAlignment="1">
      <alignment horizontal="center"/>
    </xf>
    <xf numFmtId="0" fontId="26" fillId="7" borderId="45" xfId="2" applyFont="1" applyFill="1" applyBorder="1"/>
    <xf numFmtId="0" fontId="26" fillId="7" borderId="28" xfId="2" applyFont="1" applyFill="1" applyBorder="1" applyAlignment="1">
      <alignment horizontal="center"/>
    </xf>
    <xf numFmtId="0" fontId="26" fillId="7" borderId="50" xfId="2" applyFont="1" applyFill="1" applyBorder="1" applyAlignment="1">
      <alignment horizontal="center"/>
    </xf>
    <xf numFmtId="0" fontId="26" fillId="7" borderId="0" xfId="2" applyFont="1" applyFill="1" applyAlignment="1">
      <alignment horizontal="center"/>
    </xf>
    <xf numFmtId="0" fontId="26" fillId="7" borderId="69" xfId="2" applyFont="1" applyFill="1" applyBorder="1" applyAlignment="1">
      <alignment horizontal="center"/>
    </xf>
    <xf numFmtId="0" fontId="26" fillId="7" borderId="68" xfId="2" applyFont="1" applyFill="1" applyBorder="1" applyAlignment="1">
      <alignment horizontal="center"/>
    </xf>
    <xf numFmtId="0" fontId="26" fillId="7" borderId="66" xfId="2" applyFont="1" applyFill="1" applyBorder="1" applyAlignment="1">
      <alignment horizontal="center"/>
    </xf>
    <xf numFmtId="0" fontId="24" fillId="3" borderId="41" xfId="2" applyFont="1" applyFill="1" applyBorder="1"/>
    <xf numFmtId="0" fontId="24" fillId="3" borderId="40" xfId="2" applyFont="1" applyFill="1" applyBorder="1"/>
    <xf numFmtId="0" fontId="24" fillId="3" borderId="30" xfId="2" applyFont="1" applyFill="1" applyBorder="1"/>
    <xf numFmtId="0" fontId="44" fillId="0" borderId="31" xfId="6" applyFont="1" applyBorder="1" applyAlignment="1">
      <alignment horizontal="center" vertical="center" wrapText="1"/>
    </xf>
    <xf numFmtId="0" fontId="44" fillId="34" borderId="10" xfId="6" applyFont="1" applyFill="1" applyBorder="1" applyAlignment="1">
      <alignment horizontal="center" vertical="center" wrapText="1"/>
    </xf>
    <xf numFmtId="0" fontId="44" fillId="0" borderId="10" xfId="6" applyFont="1" applyBorder="1" applyAlignment="1">
      <alignment horizontal="center" vertical="center" wrapText="1"/>
    </xf>
    <xf numFmtId="0" fontId="16" fillId="0" borderId="12" xfId="0" applyFont="1" applyBorder="1" applyAlignment="1">
      <alignment horizontal="left" vertical="center" wrapText="1"/>
    </xf>
    <xf numFmtId="0" fontId="16" fillId="0" borderId="10" xfId="0" applyFont="1" applyBorder="1" applyAlignment="1">
      <alignment horizontal="left" vertical="center" wrapText="1"/>
    </xf>
    <xf numFmtId="0" fontId="16" fillId="0" borderId="12" xfId="0" applyFont="1" applyBorder="1" applyAlignment="1">
      <alignment horizontal="center" vertical="center" wrapText="1"/>
    </xf>
    <xf numFmtId="0" fontId="16" fillId="0" borderId="10" xfId="0" applyFont="1" applyBorder="1" applyAlignment="1">
      <alignment horizontal="center" vertical="center" wrapText="1"/>
    </xf>
    <xf numFmtId="0" fontId="0" fillId="0" borderId="41" xfId="0" applyBorder="1" applyAlignment="1">
      <alignment horizontal="left"/>
    </xf>
    <xf numFmtId="0" fontId="0" fillId="0" borderId="40" xfId="0" applyBorder="1" applyAlignment="1">
      <alignment horizontal="left"/>
    </xf>
    <xf numFmtId="0" fontId="0" fillId="0" borderId="30" xfId="0" applyBorder="1" applyAlignment="1">
      <alignment horizontal="left"/>
    </xf>
    <xf numFmtId="0" fontId="16" fillId="34" borderId="41" xfId="0" applyFont="1" applyFill="1" applyBorder="1" applyAlignment="1">
      <alignment horizontal="center" vertical="center" wrapText="1"/>
    </xf>
    <xf numFmtId="0" fontId="16" fillId="34" borderId="40" xfId="0" applyFont="1" applyFill="1" applyBorder="1" applyAlignment="1">
      <alignment horizontal="center" vertical="center" wrapText="1"/>
    </xf>
    <xf numFmtId="0" fontId="16" fillId="34" borderId="30" xfId="0" applyFont="1" applyFill="1" applyBorder="1" applyAlignment="1">
      <alignment horizontal="center" vertical="center" wrapText="1"/>
    </xf>
    <xf numFmtId="0" fontId="14" fillId="37" borderId="45" xfId="0" applyFont="1" applyFill="1" applyBorder="1" applyAlignment="1">
      <alignment horizontal="center" vertical="center" wrapText="1"/>
    </xf>
    <xf numFmtId="0" fontId="14" fillId="37" borderId="0" xfId="0" applyFont="1" applyFill="1" applyBorder="1" applyAlignment="1">
      <alignment horizontal="center" vertical="center" wrapText="1"/>
    </xf>
    <xf numFmtId="0" fontId="14" fillId="34" borderId="41" xfId="0" applyFont="1" applyFill="1" applyBorder="1" applyAlignment="1">
      <alignment horizontal="center" vertical="center" wrapText="1"/>
    </xf>
    <xf numFmtId="0" fontId="14" fillId="34" borderId="40" xfId="0" applyFont="1" applyFill="1" applyBorder="1" applyAlignment="1">
      <alignment horizontal="center" vertical="center" wrapText="1"/>
    </xf>
    <xf numFmtId="0" fontId="14" fillId="34" borderId="30" xfId="0" applyFont="1" applyFill="1" applyBorder="1" applyAlignment="1">
      <alignment horizontal="center" vertical="center" wrapText="1"/>
    </xf>
    <xf numFmtId="0" fontId="14" fillId="37" borderId="41" xfId="0" applyFont="1" applyFill="1" applyBorder="1" applyAlignment="1">
      <alignment horizontal="center" vertical="center" wrapText="1"/>
    </xf>
    <xf numFmtId="0" fontId="14" fillId="37" borderId="40" xfId="0" applyFont="1" applyFill="1" applyBorder="1" applyAlignment="1">
      <alignment horizontal="center" vertical="center" wrapText="1"/>
    </xf>
    <xf numFmtId="0" fontId="14" fillId="37" borderId="30" xfId="0" applyFont="1" applyFill="1" applyBorder="1" applyAlignment="1">
      <alignment horizontal="center" vertical="center" wrapText="1"/>
    </xf>
    <xf numFmtId="0" fontId="16" fillId="37" borderId="45" xfId="0" applyFont="1" applyFill="1" applyBorder="1" applyAlignment="1">
      <alignment horizontal="center" vertical="center" wrapText="1"/>
    </xf>
    <xf numFmtId="0" fontId="16" fillId="37" borderId="0" xfId="0" applyFont="1" applyFill="1" applyBorder="1" applyAlignment="1">
      <alignment horizontal="center" vertical="center" wrapText="1"/>
    </xf>
    <xf numFmtId="0" fontId="14" fillId="37" borderId="41" xfId="0" applyFont="1" applyFill="1" applyBorder="1" applyAlignment="1">
      <alignment horizontal="center" vertical="center"/>
    </xf>
    <xf numFmtId="0" fontId="14" fillId="37" borderId="40" xfId="0" applyFont="1" applyFill="1" applyBorder="1" applyAlignment="1">
      <alignment horizontal="center" vertical="center"/>
    </xf>
    <xf numFmtId="0" fontId="14" fillId="37" borderId="30" xfId="0" applyFont="1" applyFill="1" applyBorder="1" applyAlignment="1">
      <alignment horizontal="center" vertical="center"/>
    </xf>
    <xf numFmtId="0" fontId="29" fillId="0" borderId="0" xfId="0" applyFont="1" applyAlignment="1">
      <alignment horizontal="left" wrapText="1"/>
    </xf>
    <xf numFmtId="0" fontId="29" fillId="0" borderId="45" xfId="0" applyFont="1" applyBorder="1" applyAlignment="1">
      <alignment horizontal="left" wrapText="1"/>
    </xf>
    <xf numFmtId="0" fontId="29" fillId="0" borderId="0" xfId="0" applyFont="1" applyBorder="1" applyAlignment="1">
      <alignment horizontal="left" wrapText="1"/>
    </xf>
    <xf numFmtId="0" fontId="29" fillId="0" borderId="20" xfId="0" applyFont="1" applyBorder="1" applyAlignment="1">
      <alignment horizontal="left" wrapText="1"/>
    </xf>
    <xf numFmtId="0" fontId="26" fillId="7" borderId="53" xfId="2" applyFont="1" applyFill="1" applyBorder="1" applyAlignment="1">
      <alignment horizontal="center"/>
    </xf>
    <xf numFmtId="0" fontId="26" fillId="7" borderId="71" xfId="2" applyFont="1" applyFill="1" applyBorder="1" applyAlignment="1">
      <alignment horizontal="center"/>
    </xf>
    <xf numFmtId="0" fontId="17" fillId="9" borderId="0" xfId="0" applyFont="1" applyFill="1" applyAlignment="1">
      <alignment horizontal="left" vertical="center"/>
    </xf>
    <xf numFmtId="0" fontId="17" fillId="9" borderId="7" xfId="0" applyFont="1" applyFill="1" applyBorder="1" applyAlignment="1">
      <alignment horizontal="left" vertical="center"/>
    </xf>
    <xf numFmtId="0" fontId="17" fillId="9" borderId="29" xfId="0" applyFont="1" applyFill="1" applyBorder="1" applyAlignment="1">
      <alignment horizontal="justify" vertical="center"/>
    </xf>
    <xf numFmtId="0" fontId="17" fillId="9" borderId="9" xfId="0" applyFont="1" applyFill="1" applyBorder="1" applyAlignment="1">
      <alignment horizontal="justify" vertical="center"/>
    </xf>
    <xf numFmtId="0" fontId="14" fillId="9" borderId="65" xfId="0" applyFont="1" applyFill="1" applyBorder="1"/>
    <xf numFmtId="0" fontId="14" fillId="9" borderId="64" xfId="0" applyFont="1" applyFill="1" applyBorder="1"/>
    <xf numFmtId="0" fontId="14" fillId="9" borderId="74" xfId="0" applyFont="1" applyFill="1" applyBorder="1"/>
    <xf numFmtId="0" fontId="14" fillId="9" borderId="63" xfId="0" applyFont="1" applyFill="1" applyBorder="1"/>
    <xf numFmtId="0" fontId="14" fillId="9" borderId="75" xfId="0" applyFont="1" applyFill="1" applyBorder="1"/>
    <xf numFmtId="0" fontId="14" fillId="9" borderId="76" xfId="0" applyFont="1" applyFill="1" applyBorder="1"/>
    <xf numFmtId="0" fontId="14" fillId="9" borderId="56" xfId="0" applyFont="1" applyFill="1" applyBorder="1"/>
    <xf numFmtId="0" fontId="14" fillId="9" borderId="57" xfId="0" applyFont="1" applyFill="1" applyBorder="1"/>
    <xf numFmtId="0" fontId="14" fillId="9" borderId="55" xfId="0" applyFont="1" applyFill="1" applyBorder="1"/>
    <xf numFmtId="0" fontId="14" fillId="9" borderId="58" xfId="0" applyFont="1" applyFill="1" applyBorder="1"/>
    <xf numFmtId="0" fontId="17" fillId="9" borderId="20" xfId="0" applyFont="1" applyFill="1" applyBorder="1" applyAlignment="1">
      <alignment vertical="center"/>
    </xf>
    <xf numFmtId="0" fontId="17" fillId="9" borderId="11" xfId="0" applyFont="1" applyFill="1" applyBorder="1" applyAlignment="1">
      <alignment vertical="center"/>
    </xf>
    <xf numFmtId="0" fontId="16" fillId="0" borderId="92" xfId="0" applyFont="1" applyBorder="1" applyAlignment="1">
      <alignment horizontal="center" vertical="center"/>
    </xf>
    <xf numFmtId="0" fontId="16" fillId="0" borderId="93" xfId="0" applyFont="1" applyBorder="1" applyAlignment="1">
      <alignment horizontal="center" vertical="center"/>
    </xf>
    <xf numFmtId="0" fontId="14" fillId="0" borderId="12" xfId="0" applyFont="1" applyBorder="1" applyAlignment="1">
      <alignment horizontal="justify" vertical="center" wrapText="1"/>
    </xf>
    <xf numFmtId="0" fontId="14" fillId="0" borderId="10" xfId="0" applyFont="1" applyBorder="1" applyAlignment="1">
      <alignment horizontal="justify" vertical="center" wrapText="1"/>
    </xf>
    <xf numFmtId="0" fontId="0" fillId="0" borderId="40" xfId="0" applyBorder="1" applyAlignment="1">
      <alignment horizontal="left" vertical="top" wrapText="1"/>
    </xf>
    <xf numFmtId="0" fontId="0" fillId="0" borderId="102" xfId="0" applyBorder="1" applyAlignment="1">
      <alignment horizontal="left" vertical="top" wrapText="1"/>
    </xf>
    <xf numFmtId="1" fontId="16" fillId="0" borderId="12" xfId="0" applyNumberFormat="1" applyFont="1" applyBorder="1" applyAlignment="1">
      <alignment horizontal="center" vertical="center" wrapText="1"/>
    </xf>
    <xf numFmtId="1" fontId="16" fillId="0" borderId="10" xfId="0" applyNumberFormat="1" applyFont="1" applyBorder="1" applyAlignment="1">
      <alignment horizontal="center" vertical="center" wrapText="1"/>
    </xf>
    <xf numFmtId="0" fontId="0" fillId="0" borderId="29" xfId="0" applyBorder="1" applyAlignment="1">
      <alignment horizontal="left" vertical="top" wrapText="1"/>
    </xf>
    <xf numFmtId="0" fontId="0" fillId="0" borderId="101" xfId="0" applyBorder="1" applyAlignment="1">
      <alignment horizontal="left" vertical="top" wrapText="1"/>
    </xf>
    <xf numFmtId="0" fontId="14" fillId="0" borderId="12" xfId="0" applyFont="1" applyBorder="1" applyAlignment="1">
      <alignment horizontal="center" vertical="center" wrapText="1"/>
    </xf>
    <xf numFmtId="0" fontId="14" fillId="0" borderId="10" xfId="0" applyFont="1" applyBorder="1" applyAlignment="1">
      <alignment horizontal="center" vertical="center" wrapText="1"/>
    </xf>
    <xf numFmtId="0" fontId="55" fillId="10" borderId="12" xfId="0" applyFont="1" applyFill="1" applyBorder="1" applyAlignment="1">
      <alignment horizontal="center" vertical="center" wrapText="1"/>
    </xf>
    <xf numFmtId="0" fontId="55" fillId="10" borderId="10" xfId="0" applyFont="1" applyFill="1" applyBorder="1" applyAlignment="1">
      <alignment horizontal="center" vertical="center" wrapText="1"/>
    </xf>
    <xf numFmtId="0" fontId="16" fillId="0" borderId="12" xfId="0" applyFont="1" applyBorder="1" applyAlignment="1">
      <alignment horizontal="justify" vertical="center" wrapText="1"/>
    </xf>
    <xf numFmtId="0" fontId="16" fillId="0" borderId="10" xfId="0" applyFont="1" applyBorder="1" applyAlignment="1">
      <alignment horizontal="justify" vertical="center" wrapText="1"/>
    </xf>
    <xf numFmtId="0" fontId="55" fillId="33" borderId="12" xfId="0" applyFont="1" applyFill="1" applyBorder="1" applyAlignment="1">
      <alignment horizontal="center" vertical="center" wrapText="1"/>
    </xf>
    <xf numFmtId="0" fontId="55" fillId="33" borderId="10" xfId="0" applyFont="1" applyFill="1" applyBorder="1" applyAlignment="1">
      <alignment horizontal="center" vertical="center" wrapText="1"/>
    </xf>
    <xf numFmtId="1" fontId="55" fillId="33" borderId="12" xfId="0" applyNumberFormat="1" applyFont="1" applyFill="1" applyBorder="1" applyAlignment="1">
      <alignment horizontal="center" vertical="center" wrapText="1"/>
    </xf>
    <xf numFmtId="1" fontId="55" fillId="33" borderId="10" xfId="0" applyNumberFormat="1" applyFont="1" applyFill="1" applyBorder="1" applyAlignment="1">
      <alignment horizontal="center" vertical="center" wrapText="1"/>
    </xf>
    <xf numFmtId="0" fontId="53" fillId="33" borderId="12" xfId="0" applyFont="1" applyFill="1" applyBorder="1" applyAlignment="1">
      <alignment horizontal="justify" vertical="center" wrapText="1"/>
    </xf>
    <xf numFmtId="0" fontId="53" fillId="33" borderId="10" xfId="0" applyFont="1" applyFill="1" applyBorder="1" applyAlignment="1">
      <alignment horizontal="justify" vertical="center" wrapText="1"/>
    </xf>
    <xf numFmtId="0" fontId="0" fillId="0" borderId="20" xfId="0" applyBorder="1" applyAlignment="1">
      <alignment horizontal="left" vertical="top" wrapText="1"/>
    </xf>
    <xf numFmtId="0" fontId="0" fillId="0" borderId="109" xfId="0" applyBorder="1" applyAlignment="1">
      <alignment horizontal="left" vertical="top" wrapText="1"/>
    </xf>
    <xf numFmtId="0" fontId="0" fillId="0" borderId="0" xfId="0" applyAlignment="1">
      <alignment horizontal="left" vertical="top" wrapText="1"/>
    </xf>
    <xf numFmtId="0" fontId="0" fillId="0" borderId="98" xfId="0" applyBorder="1" applyAlignment="1">
      <alignment horizontal="left" vertical="top" wrapText="1"/>
    </xf>
    <xf numFmtId="0" fontId="55" fillId="33" borderId="12" xfId="0" applyFont="1" applyFill="1" applyBorder="1" applyAlignment="1">
      <alignment horizontal="justify" vertical="center" wrapText="1"/>
    </xf>
    <xf numFmtId="0" fontId="55" fillId="33" borderId="10" xfId="0" applyFont="1" applyFill="1" applyBorder="1" applyAlignment="1">
      <alignment horizontal="justify" vertical="center" wrapText="1"/>
    </xf>
  </cellXfs>
  <cellStyles count="11">
    <cellStyle name="Calcul" xfId="10" builtinId="22"/>
    <cellStyle name="Comma 2" xfId="7"/>
    <cellStyle name="Milliers [0]" xfId="3"/>
    <cellStyle name="Monétaire [0]" xfId="4"/>
    <cellStyle name="Normal" xfId="0" builtinId="0"/>
    <cellStyle name="Normal 2" xfId="2"/>
    <cellStyle name="Normal 3" xfId="6"/>
    <cellStyle name="Normal_PPMEET" xfId="5"/>
    <cellStyle name="Pourcentage" xfId="1" builtinId="5"/>
    <cellStyle name="Satisfaisant" xfId="8" builtinId="26"/>
    <cellStyle name="Sortie" xfId="9" builtinId="21"/>
  </cellStyles>
  <dxfs count="37">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b/>
        <i val="0"/>
      </font>
    </dxf>
    <dxf>
      <font>
        <b val="0"/>
        <i val="0"/>
        <u/>
      </font>
    </dxf>
    <dxf>
      <font>
        <b/>
        <i val="0"/>
      </font>
    </dxf>
    <dxf>
      <font>
        <b val="0"/>
        <i val="0"/>
        <u/>
      </font>
    </dxf>
    <dxf>
      <font>
        <b/>
        <i val="0"/>
      </font>
    </dxf>
    <dxf>
      <font>
        <b val="0"/>
        <i val="0"/>
        <u/>
      </font>
    </dxf>
    <dxf>
      <font>
        <b/>
        <i val="0"/>
      </font>
    </dxf>
    <dxf>
      <font>
        <b val="0"/>
        <i val="0"/>
        <u/>
      </font>
    </dxf>
    <dxf>
      <font>
        <b/>
        <i val="0"/>
      </font>
    </dxf>
    <dxf>
      <font>
        <b val="0"/>
        <i val="0"/>
        <u/>
      </font>
    </dxf>
    <dxf>
      <font>
        <b/>
        <i val="0"/>
      </font>
    </dxf>
    <dxf>
      <font>
        <b val="0"/>
        <i val="0"/>
        <u/>
      </font>
    </dxf>
    <dxf>
      <font>
        <b/>
        <i val="0"/>
      </font>
    </dxf>
    <dxf>
      <font>
        <b val="0"/>
        <i val="0"/>
        <u/>
      </font>
    </dxf>
    <dxf>
      <font>
        <b/>
        <i val="0"/>
      </font>
    </dxf>
    <dxf>
      <font>
        <b val="0"/>
        <i val="0"/>
        <u/>
      </font>
    </dxf>
    <dxf>
      <font>
        <b/>
        <i val="0"/>
      </font>
    </dxf>
    <dxf>
      <font>
        <b val="0"/>
        <i val="0"/>
        <u/>
      </font>
    </dxf>
    <dxf>
      <font>
        <b/>
        <i val="0"/>
      </font>
    </dxf>
    <dxf>
      <font>
        <b val="0"/>
        <i val="0"/>
        <u/>
      </font>
    </dxf>
    <dxf>
      <fill>
        <patternFill>
          <bgColor rgb="FF92D050"/>
        </patternFill>
      </fill>
    </dxf>
    <dxf>
      <font>
        <color rgb="FF9C6500"/>
      </font>
      <fill>
        <patternFill>
          <bgColor rgb="FFFFEB9C"/>
        </patternFill>
      </fill>
    </dxf>
    <dxf>
      <fill>
        <patternFill>
          <bgColor theme="3" tint="0.39994506668294322"/>
        </patternFill>
      </fill>
    </dxf>
    <dxf>
      <fill>
        <patternFill>
          <bgColor rgb="FFFFC000"/>
        </patternFill>
      </fill>
    </dxf>
    <dxf>
      <font>
        <condense val="0"/>
        <extend val="0"/>
        <color rgb="FF9C0006"/>
      </font>
      <fill>
        <patternFill>
          <bgColor rgb="FFFFC7CE"/>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externalLink" Target="externalLinks/externalLink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1.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4.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2.xml"/><Relationship Id="rId38"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NT/MeuRE/Regles/MeuRE/Regles/GenerationVill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TNT/MeuRE/Regles/MeuRE/Regles/GenerationPNJ.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TNT/MeuRE/Regles/Personnage_A3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NT/MeuRE/Regles/MeuRE/Regles/GenerationArtisan.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TNT/MeuRE/Regles/MeuRE/Regles/GenerationFamilleBlas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ille"/>
      <sheetName val="Profession"/>
      <sheetName val="A-ZProf"/>
      <sheetName val="Paramètres"/>
      <sheetName val="Métiers"/>
    </sheetNames>
    <sheetDataSet>
      <sheetData sheetId="0">
        <row r="1">
          <cell r="A1">
            <v>1</v>
          </cell>
          <cell r="B1" t="str">
            <v>caverne</v>
          </cell>
          <cell r="C1">
            <v>1</v>
          </cell>
          <cell r="D1" t="str">
            <v>pêche</v>
          </cell>
          <cell r="E1" t="str">
            <v>pêche</v>
          </cell>
          <cell r="F1" t="str">
            <v>pêche</v>
          </cell>
          <cell r="G1" t="str">
            <v>pêche</v>
          </cell>
          <cell r="H1" t="str">
            <v>pêche</v>
          </cell>
          <cell r="I1" t="str">
            <v>pêche</v>
          </cell>
          <cell r="J1" t="str">
            <v>pêche</v>
          </cell>
          <cell r="K1" t="str">
            <v>pêche</v>
          </cell>
          <cell r="L1" t="str">
            <v>pêche</v>
          </cell>
          <cell r="M1" t="str">
            <v>pêche</v>
          </cell>
          <cell r="N1" t="str">
            <v>pêche</v>
          </cell>
          <cell r="O1" t="str">
            <v>pêche</v>
          </cell>
          <cell r="P1" t="str">
            <v>pêche</v>
          </cell>
          <cell r="Q1" t="str">
            <v>poterie</v>
          </cell>
          <cell r="R1" t="str">
            <v>mobilier</v>
          </cell>
          <cell r="S1" t="str">
            <v>philosophie</v>
          </cell>
          <cell r="T1" t="str">
            <v>écrits</v>
          </cell>
          <cell r="U1" t="str">
            <v>librairie</v>
          </cell>
          <cell r="V1" t="str">
            <v>récente</v>
          </cell>
          <cell r="W1">
            <v>5</v>
          </cell>
          <cell r="X1" t="str">
            <v>faubourg</v>
          </cell>
          <cell r="Y1" t="str">
            <v>SO</v>
          </cell>
          <cell r="Z1" t="str">
            <v>très pauvre</v>
          </cell>
          <cell r="AA1">
            <v>0.5</v>
          </cell>
          <cell r="AB1" t="str">
            <v>plèbe</v>
          </cell>
          <cell r="AC1" t="str">
            <v>marché</v>
          </cell>
          <cell r="AD1">
            <v>0</v>
          </cell>
          <cell r="AE1">
            <v>0</v>
          </cell>
          <cell r="AF1">
            <v>40</v>
          </cell>
          <cell r="AG1" t="str">
            <v>nulle</v>
          </cell>
          <cell r="AH1">
            <v>0.1</v>
          </cell>
          <cell r="AI1" t="str">
            <v>bois</v>
          </cell>
          <cell r="AJ1" t="str">
            <v>barbacane</v>
          </cell>
          <cell r="AK1" t="str">
            <v>SO</v>
          </cell>
          <cell r="AL1" t="str">
            <v>3x3</v>
          </cell>
          <cell r="AM1">
            <v>0</v>
          </cell>
          <cell r="AN1" t="str">
            <v>route</v>
          </cell>
          <cell r="AO1" t="str">
            <v>compact</v>
          </cell>
          <cell r="AP1" t="str">
            <v>nulle</v>
          </cell>
          <cell r="AQ1" t="str">
            <v>danger !</v>
          </cell>
          <cell r="AR1" t="str">
            <v xml:space="preserve"> - -</v>
          </cell>
          <cell r="AS1" t="str">
            <v xml:space="preserve"> </v>
          </cell>
          <cell r="AX1">
            <v>0</v>
          </cell>
          <cell r="AY1">
            <v>0</v>
          </cell>
          <cell r="AZ1">
            <v>0</v>
          </cell>
        </row>
        <row r="2">
          <cell r="A2">
            <v>2</v>
          </cell>
          <cell r="B2" t="str">
            <v>colline</v>
          </cell>
          <cell r="C2">
            <v>1</v>
          </cell>
          <cell r="D2" t="str">
            <v>pêche</v>
          </cell>
          <cell r="E2" t="str">
            <v>pêche</v>
          </cell>
          <cell r="F2" t="str">
            <v>pêche</v>
          </cell>
          <cell r="G2" t="str">
            <v>pêche</v>
          </cell>
          <cell r="H2" t="str">
            <v>pêche</v>
          </cell>
          <cell r="I2" t="str">
            <v>pêche</v>
          </cell>
          <cell r="J2" t="str">
            <v>pêche</v>
          </cell>
          <cell r="K2" t="str">
            <v>pêche</v>
          </cell>
          <cell r="L2" t="str">
            <v>pêche</v>
          </cell>
          <cell r="M2" t="str">
            <v>pêche</v>
          </cell>
          <cell r="N2" t="str">
            <v>pêche</v>
          </cell>
          <cell r="O2" t="str">
            <v>pêche</v>
          </cell>
          <cell r="P2" t="str">
            <v>pêche</v>
          </cell>
          <cell r="Q2" t="str">
            <v>poterie</v>
          </cell>
          <cell r="R2" t="str">
            <v>mobilier</v>
          </cell>
          <cell r="S2" t="str">
            <v>philosophie</v>
          </cell>
          <cell r="T2" t="str">
            <v>écrits</v>
          </cell>
          <cell r="U2" t="str">
            <v>librairie</v>
          </cell>
          <cell r="V2" t="str">
            <v>récente</v>
          </cell>
          <cell r="W2">
            <v>1</v>
          </cell>
          <cell r="X2" t="str">
            <v>faubourg</v>
          </cell>
          <cell r="Y2" t="str">
            <v>SO</v>
          </cell>
          <cell r="Z2" t="str">
            <v>très pauvre</v>
          </cell>
          <cell r="AA2">
            <v>0.5</v>
          </cell>
          <cell r="AB2" t="str">
            <v>plèbe</v>
          </cell>
          <cell r="AC2" t="str">
            <v>marché</v>
          </cell>
          <cell r="AD2">
            <v>0</v>
          </cell>
          <cell r="AE2">
            <v>0</v>
          </cell>
          <cell r="AF2">
            <v>40</v>
          </cell>
          <cell r="AG2" t="str">
            <v>faible</v>
          </cell>
          <cell r="AH2">
            <v>0.5</v>
          </cell>
          <cell r="AI2" t="str">
            <v>bois</v>
          </cell>
          <cell r="AJ2" t="str">
            <v>bastille</v>
          </cell>
          <cell r="AK2" t="str">
            <v xml:space="preserve">S </v>
          </cell>
          <cell r="AL2" t="str">
            <v>3x3</v>
          </cell>
          <cell r="AM2">
            <v>0</v>
          </cell>
          <cell r="AN2" t="str">
            <v>route</v>
          </cell>
          <cell r="AO2" t="str">
            <v>compact</v>
          </cell>
          <cell r="AP2" t="str">
            <v>nulle</v>
          </cell>
          <cell r="AQ2" t="str">
            <v>peu sûr</v>
          </cell>
          <cell r="AR2" t="str">
            <v xml:space="preserve"> - -</v>
          </cell>
          <cell r="AS2" t="str">
            <v xml:space="preserve"> </v>
          </cell>
          <cell r="AX2" t="str">
            <v>agriculture</v>
          </cell>
          <cell r="AY2" t="str">
            <v>alcool</v>
          </cell>
          <cell r="AZ2" t="str">
            <v>philosophie</v>
          </cell>
        </row>
        <row r="3">
          <cell r="A3">
            <v>3</v>
          </cell>
          <cell r="B3" t="str">
            <v>colline</v>
          </cell>
          <cell r="C3">
            <v>1</v>
          </cell>
          <cell r="D3" t="str">
            <v>pêche</v>
          </cell>
          <cell r="E3" t="str">
            <v>pêche</v>
          </cell>
          <cell r="F3" t="str">
            <v>pêche</v>
          </cell>
          <cell r="G3" t="str">
            <v>pêche</v>
          </cell>
          <cell r="H3" t="str">
            <v>pêche</v>
          </cell>
          <cell r="I3" t="str">
            <v>pêche</v>
          </cell>
          <cell r="J3" t="str">
            <v>pêche</v>
          </cell>
          <cell r="K3" t="str">
            <v>pêche</v>
          </cell>
          <cell r="L3" t="str">
            <v>pêche</v>
          </cell>
          <cell r="M3" t="str">
            <v>pêche</v>
          </cell>
          <cell r="N3" t="str">
            <v>pêche</v>
          </cell>
          <cell r="O3" t="str">
            <v>pêche</v>
          </cell>
          <cell r="P3" t="str">
            <v>pêche</v>
          </cell>
          <cell r="Q3" t="str">
            <v>poterie</v>
          </cell>
          <cell r="R3" t="str">
            <v>mobilier</v>
          </cell>
          <cell r="S3" t="str">
            <v>philosophie</v>
          </cell>
          <cell r="T3" t="str">
            <v>écrits</v>
          </cell>
          <cell r="U3" t="str">
            <v>librairie</v>
          </cell>
          <cell r="V3" t="str">
            <v>récente</v>
          </cell>
          <cell r="W3">
            <v>1</v>
          </cell>
          <cell r="X3" t="str">
            <v>faubourg</v>
          </cell>
          <cell r="Y3" t="str">
            <v>SE</v>
          </cell>
          <cell r="Z3" t="str">
            <v>très pauvre</v>
          </cell>
          <cell r="AA3">
            <v>0.5</v>
          </cell>
          <cell r="AB3" t="str">
            <v>plèbe</v>
          </cell>
          <cell r="AC3" t="str">
            <v>marché</v>
          </cell>
          <cell r="AD3">
            <v>0</v>
          </cell>
          <cell r="AE3">
            <v>0</v>
          </cell>
          <cell r="AF3">
            <v>40</v>
          </cell>
          <cell r="AG3" t="str">
            <v>faible</v>
          </cell>
          <cell r="AH3">
            <v>0.5</v>
          </cell>
          <cell r="AI3" t="str">
            <v>bois</v>
          </cell>
          <cell r="AJ3" t="str">
            <v>bastille</v>
          </cell>
          <cell r="AK3" t="str">
            <v>SE</v>
          </cell>
          <cell r="AL3" t="str">
            <v>3x3</v>
          </cell>
          <cell r="AM3">
            <v>0</v>
          </cell>
          <cell r="AN3" t="str">
            <v>route</v>
          </cell>
          <cell r="AO3" t="str">
            <v>compact</v>
          </cell>
          <cell r="AP3" t="str">
            <v>faible</v>
          </cell>
          <cell r="AQ3" t="str">
            <v>peu sûr</v>
          </cell>
          <cell r="AR3" t="str">
            <v xml:space="preserve"> - -</v>
          </cell>
          <cell r="AS3" t="str">
            <v xml:space="preserve"> </v>
          </cell>
          <cell r="AX3" t="str">
            <v>bois</v>
          </cell>
          <cell r="AY3" t="str">
            <v>arme</v>
          </cell>
          <cell r="AZ3" t="str">
            <v>architecture</v>
          </cell>
        </row>
        <row r="4">
          <cell r="A4">
            <v>4</v>
          </cell>
          <cell r="B4" t="str">
            <v>colline</v>
          </cell>
          <cell r="C4">
            <v>1</v>
          </cell>
          <cell r="D4" t="str">
            <v>pêche</v>
          </cell>
          <cell r="E4" t="str">
            <v>pêche</v>
          </cell>
          <cell r="F4" t="str">
            <v>pêche</v>
          </cell>
          <cell r="G4" t="str">
            <v>pêche</v>
          </cell>
          <cell r="H4" t="str">
            <v>chasse</v>
          </cell>
          <cell r="I4" t="str">
            <v>pêche</v>
          </cell>
          <cell r="J4" t="str">
            <v>pêche</v>
          </cell>
          <cell r="K4" t="str">
            <v>pêche</v>
          </cell>
          <cell r="L4" t="str">
            <v>pêche</v>
          </cell>
          <cell r="M4" t="str">
            <v>pêche</v>
          </cell>
          <cell r="N4" t="str">
            <v>chasse</v>
          </cell>
          <cell r="O4" t="str">
            <v>pêche</v>
          </cell>
          <cell r="P4" t="str">
            <v>pêche</v>
          </cell>
          <cell r="Q4" t="str">
            <v>poterie</v>
          </cell>
          <cell r="R4" t="str">
            <v>mobilier</v>
          </cell>
          <cell r="S4" t="str">
            <v>science</v>
          </cell>
          <cell r="T4" t="str">
            <v>étrange</v>
          </cell>
          <cell r="U4" t="str">
            <v>magie</v>
          </cell>
          <cell r="V4" t="str">
            <v>récente</v>
          </cell>
          <cell r="W4">
            <v>1</v>
          </cell>
          <cell r="X4" t="str">
            <v>faubourg</v>
          </cell>
          <cell r="Y4" t="str">
            <v>E</v>
          </cell>
          <cell r="Z4" t="str">
            <v>très pauvre</v>
          </cell>
          <cell r="AA4">
            <v>0.5</v>
          </cell>
          <cell r="AB4" t="str">
            <v>artisans</v>
          </cell>
          <cell r="AC4" t="str">
            <v>marché</v>
          </cell>
          <cell r="AD4">
            <v>0</v>
          </cell>
          <cell r="AE4">
            <v>0</v>
          </cell>
          <cell r="AF4">
            <v>40</v>
          </cell>
          <cell r="AG4" t="str">
            <v>faible</v>
          </cell>
          <cell r="AH4">
            <v>0.5</v>
          </cell>
          <cell r="AI4" t="str">
            <v>bois</v>
          </cell>
          <cell r="AJ4" t="str">
            <v>château</v>
          </cell>
          <cell r="AK4" t="str">
            <v>E</v>
          </cell>
          <cell r="AL4" t="str">
            <v>3x3</v>
          </cell>
          <cell r="AM4">
            <v>0</v>
          </cell>
          <cell r="AN4" t="str">
            <v>route</v>
          </cell>
          <cell r="AO4" t="str">
            <v>compact</v>
          </cell>
          <cell r="AP4" t="str">
            <v>faible</v>
          </cell>
          <cell r="AQ4" t="str">
            <v>moyenne</v>
          </cell>
          <cell r="AR4" t="str">
            <v xml:space="preserve"> - -</v>
          </cell>
          <cell r="AS4" t="str">
            <v xml:space="preserve"> </v>
          </cell>
          <cell r="AX4" t="str">
            <v>chasse</v>
          </cell>
          <cell r="AY4" t="str">
            <v>armure</v>
          </cell>
          <cell r="AZ4" t="str">
            <v>art noble</v>
          </cell>
        </row>
        <row r="5">
          <cell r="A5">
            <v>5</v>
          </cell>
          <cell r="B5" t="str">
            <v>colline</v>
          </cell>
          <cell r="C5">
            <v>2</v>
          </cell>
          <cell r="D5" t="str">
            <v>pêche</v>
          </cell>
          <cell r="E5" t="str">
            <v>chasse</v>
          </cell>
          <cell r="F5" t="str">
            <v>pêche</v>
          </cell>
          <cell r="G5" t="str">
            <v>pêche</v>
          </cell>
          <cell r="H5" t="str">
            <v>chasse</v>
          </cell>
          <cell r="I5" t="str">
            <v>pêche</v>
          </cell>
          <cell r="J5" t="str">
            <v>pêche</v>
          </cell>
          <cell r="K5" t="str">
            <v>pêche</v>
          </cell>
          <cell r="L5" t="str">
            <v>chasse</v>
          </cell>
          <cell r="M5" t="str">
            <v>pêche</v>
          </cell>
          <cell r="N5" t="str">
            <v>chasse</v>
          </cell>
          <cell r="O5" t="str">
            <v>pêche</v>
          </cell>
          <cell r="P5" t="str">
            <v>chasse</v>
          </cell>
          <cell r="Q5" t="str">
            <v>poterie</v>
          </cell>
          <cell r="R5" t="str">
            <v>mobilier</v>
          </cell>
          <cell r="S5" t="str">
            <v>religion</v>
          </cell>
          <cell r="T5" t="str">
            <v>ordre relig.</v>
          </cell>
          <cell r="U5" t="str">
            <v>relique</v>
          </cell>
          <cell r="V5" t="str">
            <v>ancienne</v>
          </cell>
          <cell r="W5">
            <v>1</v>
          </cell>
          <cell r="X5" t="str">
            <v>faubourg</v>
          </cell>
          <cell r="Y5" t="str">
            <v>périphérie</v>
          </cell>
          <cell r="Z5" t="str">
            <v>très pauvre</v>
          </cell>
          <cell r="AA5">
            <v>0.5</v>
          </cell>
          <cell r="AB5" t="str">
            <v>artisans</v>
          </cell>
          <cell r="AC5" t="str">
            <v>marché</v>
          </cell>
          <cell r="AD5">
            <v>0</v>
          </cell>
          <cell r="AE5">
            <v>0</v>
          </cell>
          <cell r="AF5">
            <v>40</v>
          </cell>
          <cell r="AG5" t="str">
            <v>faible</v>
          </cell>
          <cell r="AH5">
            <v>0.5</v>
          </cell>
          <cell r="AI5" t="str">
            <v>bois</v>
          </cell>
          <cell r="AJ5" t="str">
            <v>château</v>
          </cell>
          <cell r="AK5" t="str">
            <v>x</v>
          </cell>
          <cell r="AL5" t="str">
            <v>3x3</v>
          </cell>
          <cell r="AM5">
            <v>0</v>
          </cell>
          <cell r="AN5" t="str">
            <v>rivière</v>
          </cell>
          <cell r="AO5" t="str">
            <v>ruelles</v>
          </cell>
          <cell r="AP5" t="str">
            <v>faible</v>
          </cell>
          <cell r="AQ5" t="str">
            <v>moyenne</v>
          </cell>
          <cell r="AR5" t="str">
            <v xml:space="preserve"> - </v>
          </cell>
          <cell r="AS5" t="str">
            <v>connu</v>
          </cell>
          <cell r="AX5" t="str">
            <v>élevage</v>
          </cell>
          <cell r="AY5" t="str">
            <v>artisanat</v>
          </cell>
          <cell r="AZ5" t="str">
            <v>art populaire</v>
          </cell>
        </row>
        <row r="6">
          <cell r="A6">
            <v>6</v>
          </cell>
          <cell r="B6" t="str">
            <v>colline</v>
          </cell>
          <cell r="C6">
            <v>2</v>
          </cell>
          <cell r="D6" t="str">
            <v>pêche</v>
          </cell>
          <cell r="E6" t="str">
            <v>chasse</v>
          </cell>
          <cell r="F6" t="str">
            <v>pêche</v>
          </cell>
          <cell r="G6" t="str">
            <v>pêche</v>
          </cell>
          <cell r="H6" t="str">
            <v>chasse</v>
          </cell>
          <cell r="I6" t="str">
            <v>pêche</v>
          </cell>
          <cell r="J6" t="str">
            <v>pêche</v>
          </cell>
          <cell r="K6" t="str">
            <v>pêche</v>
          </cell>
          <cell r="L6" t="str">
            <v>chasse</v>
          </cell>
          <cell r="M6" t="str">
            <v>pêche</v>
          </cell>
          <cell r="N6" t="str">
            <v>chasse</v>
          </cell>
          <cell r="O6" t="str">
            <v>pêche</v>
          </cell>
          <cell r="P6" t="str">
            <v>chasse</v>
          </cell>
          <cell r="Q6" t="str">
            <v>poterie</v>
          </cell>
          <cell r="R6" t="str">
            <v>mobilier</v>
          </cell>
          <cell r="S6" t="str">
            <v>religion</v>
          </cell>
          <cell r="T6" t="str">
            <v>ordre relig.</v>
          </cell>
          <cell r="U6" t="str">
            <v>relique</v>
          </cell>
          <cell r="V6" t="str">
            <v>ancienne</v>
          </cell>
          <cell r="W6">
            <v>1</v>
          </cell>
          <cell r="X6" t="str">
            <v>faubourg</v>
          </cell>
          <cell r="Y6" t="str">
            <v>E</v>
          </cell>
          <cell r="Z6" t="str">
            <v>très pauvre</v>
          </cell>
          <cell r="AA6">
            <v>0.5</v>
          </cell>
          <cell r="AB6" t="str">
            <v>artisans</v>
          </cell>
          <cell r="AC6" t="str">
            <v>marché</v>
          </cell>
          <cell r="AD6">
            <v>0</v>
          </cell>
          <cell r="AE6">
            <v>0</v>
          </cell>
          <cell r="AF6">
            <v>40</v>
          </cell>
          <cell r="AG6" t="str">
            <v>faible</v>
          </cell>
          <cell r="AH6">
            <v>0.5</v>
          </cell>
          <cell r="AI6" t="str">
            <v>bois</v>
          </cell>
          <cell r="AJ6" t="str">
            <v>château</v>
          </cell>
          <cell r="AK6" t="str">
            <v>E</v>
          </cell>
          <cell r="AL6" t="str">
            <v>4x4</v>
          </cell>
          <cell r="AM6">
            <v>0</v>
          </cell>
          <cell r="AN6" t="str">
            <v>terrain</v>
          </cell>
          <cell r="AO6" t="str">
            <v>ruelles</v>
          </cell>
          <cell r="AP6" t="str">
            <v>moyenne</v>
          </cell>
          <cell r="AQ6" t="str">
            <v>moyenne</v>
          </cell>
          <cell r="AR6" t="str">
            <v xml:space="preserve"> - </v>
          </cell>
          <cell r="AS6" t="str">
            <v>connu</v>
          </cell>
          <cell r="AX6" t="str">
            <v>épices.fruit</v>
          </cell>
          <cell r="AY6" t="str">
            <v>construction</v>
          </cell>
          <cell r="AZ6" t="str">
            <v>commerce</v>
          </cell>
        </row>
        <row r="7">
          <cell r="A7">
            <v>7</v>
          </cell>
          <cell r="B7" t="str">
            <v>colline</v>
          </cell>
          <cell r="C7">
            <v>2</v>
          </cell>
          <cell r="D7" t="str">
            <v>pêche</v>
          </cell>
          <cell r="E7" t="str">
            <v>chasse</v>
          </cell>
          <cell r="F7" t="str">
            <v>pêche</v>
          </cell>
          <cell r="G7" t="str">
            <v>pêche</v>
          </cell>
          <cell r="H7" t="str">
            <v>chasse</v>
          </cell>
          <cell r="I7" t="str">
            <v>pêche</v>
          </cell>
          <cell r="J7" t="str">
            <v>pêche</v>
          </cell>
          <cell r="K7" t="str">
            <v>pêche</v>
          </cell>
          <cell r="L7" t="str">
            <v>chasse</v>
          </cell>
          <cell r="M7" t="str">
            <v>pêche</v>
          </cell>
          <cell r="N7" t="str">
            <v>chasse</v>
          </cell>
          <cell r="O7" t="str">
            <v>pêche</v>
          </cell>
          <cell r="P7" t="str">
            <v>chasse</v>
          </cell>
          <cell r="Q7" t="str">
            <v>poterie</v>
          </cell>
          <cell r="R7" t="str">
            <v>mobilier</v>
          </cell>
          <cell r="S7" t="str">
            <v>religion</v>
          </cell>
          <cell r="T7" t="str">
            <v>ordre relig.</v>
          </cell>
          <cell r="U7" t="str">
            <v>relique</v>
          </cell>
          <cell r="V7" t="str">
            <v>ancienne</v>
          </cell>
          <cell r="W7">
            <v>1</v>
          </cell>
          <cell r="X7" t="str">
            <v>faubourg</v>
          </cell>
          <cell r="Y7" t="str">
            <v>NO</v>
          </cell>
          <cell r="Z7" t="str">
            <v>très pauvre</v>
          </cell>
          <cell r="AA7">
            <v>0.5</v>
          </cell>
          <cell r="AB7" t="str">
            <v>artisans</v>
          </cell>
          <cell r="AC7" t="str">
            <v>marché</v>
          </cell>
          <cell r="AD7">
            <v>0</v>
          </cell>
          <cell r="AE7">
            <v>0</v>
          </cell>
          <cell r="AF7">
            <v>40</v>
          </cell>
          <cell r="AG7" t="str">
            <v>faible</v>
          </cell>
          <cell r="AH7">
            <v>0.5</v>
          </cell>
          <cell r="AI7" t="str">
            <v>bois</v>
          </cell>
          <cell r="AJ7" t="str">
            <v>château</v>
          </cell>
          <cell r="AK7" t="str">
            <v>NO</v>
          </cell>
          <cell r="AL7" t="str">
            <v>4x4</v>
          </cell>
          <cell r="AM7">
            <v>1</v>
          </cell>
          <cell r="AN7" t="str">
            <v>enclos</v>
          </cell>
          <cell r="AO7" t="str">
            <v>ruelles</v>
          </cell>
          <cell r="AP7" t="str">
            <v>moyenne</v>
          </cell>
          <cell r="AQ7" t="str">
            <v>moyenne</v>
          </cell>
          <cell r="AR7" t="str">
            <v xml:space="preserve"> =</v>
          </cell>
          <cell r="AS7" t="str">
            <v>connu</v>
          </cell>
          <cell r="AX7" t="str">
            <v>minerai</v>
          </cell>
          <cell r="AY7" t="str">
            <v>créature</v>
          </cell>
          <cell r="AZ7" t="str">
            <v>créature</v>
          </cell>
        </row>
        <row r="8">
          <cell r="A8">
            <v>8</v>
          </cell>
          <cell r="B8" t="str">
            <v>colline</v>
          </cell>
          <cell r="C8">
            <v>3</v>
          </cell>
          <cell r="D8" t="str">
            <v>pêche</v>
          </cell>
          <cell r="E8" t="str">
            <v>chasse</v>
          </cell>
          <cell r="F8" t="str">
            <v>pêche</v>
          </cell>
          <cell r="G8" t="str">
            <v>pêche</v>
          </cell>
          <cell r="H8" t="str">
            <v>chasse</v>
          </cell>
          <cell r="I8" t="str">
            <v>chasse</v>
          </cell>
          <cell r="J8" t="str">
            <v>pêche</v>
          </cell>
          <cell r="K8" t="str">
            <v>pêche</v>
          </cell>
          <cell r="L8" t="str">
            <v>chasse</v>
          </cell>
          <cell r="M8" t="str">
            <v>pêche</v>
          </cell>
          <cell r="N8" t="str">
            <v>chasse</v>
          </cell>
          <cell r="O8" t="str">
            <v>pêche</v>
          </cell>
          <cell r="P8" t="str">
            <v>chasse</v>
          </cell>
          <cell r="Q8" t="str">
            <v>poterie</v>
          </cell>
          <cell r="R8" t="str">
            <v>mobilier</v>
          </cell>
          <cell r="S8" t="str">
            <v>religion</v>
          </cell>
          <cell r="T8" t="str">
            <v>ordre relig.</v>
          </cell>
          <cell r="U8" t="str">
            <v>relique</v>
          </cell>
          <cell r="V8" t="str">
            <v>très récente</v>
          </cell>
          <cell r="W8">
            <v>1</v>
          </cell>
          <cell r="X8" t="str">
            <v>faubourg</v>
          </cell>
          <cell r="Y8" t="str">
            <v>N</v>
          </cell>
          <cell r="Z8" t="str">
            <v>très pauvre</v>
          </cell>
          <cell r="AA8">
            <v>0.5</v>
          </cell>
          <cell r="AB8" t="str">
            <v>artisans</v>
          </cell>
          <cell r="AC8" t="str">
            <v>marché</v>
          </cell>
          <cell r="AD8">
            <v>0</v>
          </cell>
          <cell r="AE8">
            <v>0</v>
          </cell>
          <cell r="AF8">
            <v>40</v>
          </cell>
          <cell r="AG8" t="str">
            <v>faible</v>
          </cell>
          <cell r="AH8">
            <v>0.5</v>
          </cell>
          <cell r="AI8" t="str">
            <v>bois</v>
          </cell>
          <cell r="AJ8" t="str">
            <v>château</v>
          </cell>
          <cell r="AK8" t="str">
            <v xml:space="preserve">N </v>
          </cell>
          <cell r="AL8" t="str">
            <v>4x4</v>
          </cell>
          <cell r="AM8">
            <v>1</v>
          </cell>
          <cell r="AN8" t="str">
            <v>mur</v>
          </cell>
          <cell r="AO8" t="str">
            <v>échévelé</v>
          </cell>
          <cell r="AP8" t="str">
            <v>moyenne</v>
          </cell>
          <cell r="AQ8" t="str">
            <v>sûr</v>
          </cell>
          <cell r="AR8" t="str">
            <v xml:space="preserve"> =</v>
          </cell>
          <cell r="AS8" t="str">
            <v>très connu</v>
          </cell>
          <cell r="AX8" t="str">
            <v>pêche</v>
          </cell>
          <cell r="AY8" t="str">
            <v>dressage</v>
          </cell>
          <cell r="AZ8" t="str">
            <v>culture</v>
          </cell>
        </row>
        <row r="9">
          <cell r="A9">
            <v>9</v>
          </cell>
          <cell r="B9" t="str">
            <v>colline</v>
          </cell>
          <cell r="C9">
            <v>3</v>
          </cell>
          <cell r="D9" t="str">
            <v>pêche</v>
          </cell>
          <cell r="E9" t="str">
            <v>chasse</v>
          </cell>
          <cell r="F9" t="str">
            <v>pêche</v>
          </cell>
          <cell r="G9" t="str">
            <v>pêche</v>
          </cell>
          <cell r="H9" t="str">
            <v>chasse</v>
          </cell>
          <cell r="I9" t="str">
            <v>chasse</v>
          </cell>
          <cell r="J9" t="str">
            <v>pêche</v>
          </cell>
          <cell r="K9" t="str">
            <v>pêche</v>
          </cell>
          <cell r="L9" t="str">
            <v>chasse</v>
          </cell>
          <cell r="M9" t="str">
            <v>pêche</v>
          </cell>
          <cell r="N9" t="str">
            <v>chasse</v>
          </cell>
          <cell r="O9" t="str">
            <v>pêche</v>
          </cell>
          <cell r="P9" t="str">
            <v>chasse</v>
          </cell>
          <cell r="Q9" t="str">
            <v>poterie</v>
          </cell>
          <cell r="R9" t="str">
            <v>mobilier</v>
          </cell>
          <cell r="S9" t="str">
            <v>religion</v>
          </cell>
          <cell r="T9" t="str">
            <v>ordre relig.</v>
          </cell>
          <cell r="U9" t="str">
            <v>relique</v>
          </cell>
          <cell r="V9" t="str">
            <v>très récente</v>
          </cell>
          <cell r="W9">
            <v>1</v>
          </cell>
          <cell r="X9" t="str">
            <v>faubourg</v>
          </cell>
          <cell r="Y9" t="str">
            <v>NE</v>
          </cell>
          <cell r="Z9" t="str">
            <v>très pauvre</v>
          </cell>
          <cell r="AA9">
            <v>0.5</v>
          </cell>
          <cell r="AB9" t="str">
            <v>artisans</v>
          </cell>
          <cell r="AC9" t="str">
            <v>marché</v>
          </cell>
          <cell r="AD9">
            <v>0</v>
          </cell>
          <cell r="AE9">
            <v>0</v>
          </cell>
          <cell r="AF9">
            <v>40</v>
          </cell>
          <cell r="AG9" t="str">
            <v>faible</v>
          </cell>
          <cell r="AH9">
            <v>0.5</v>
          </cell>
          <cell r="AI9" t="str">
            <v>bois</v>
          </cell>
          <cell r="AJ9" t="str">
            <v>château</v>
          </cell>
          <cell r="AK9" t="str">
            <v>NE</v>
          </cell>
          <cell r="AL9" t="str">
            <v>5x5</v>
          </cell>
          <cell r="AM9">
            <v>1</v>
          </cell>
          <cell r="AN9" t="str">
            <v>dénivelé</v>
          </cell>
          <cell r="AO9" t="str">
            <v>enclos</v>
          </cell>
          <cell r="AP9" t="str">
            <v>moyenne</v>
          </cell>
          <cell r="AQ9" t="str">
            <v>sûr</v>
          </cell>
          <cell r="AR9" t="str">
            <v xml:space="preserve"> =</v>
          </cell>
          <cell r="AS9" t="str">
            <v>très connu</v>
          </cell>
          <cell r="AX9" t="str">
            <v>pierre</v>
          </cell>
          <cell r="AY9" t="str">
            <v>fourrures</v>
          </cell>
          <cell r="AZ9" t="str">
            <v>économie</v>
          </cell>
        </row>
        <row r="10">
          <cell r="A10">
            <v>10</v>
          </cell>
          <cell r="B10" t="str">
            <v>colline</v>
          </cell>
          <cell r="C10">
            <v>4</v>
          </cell>
          <cell r="D10" t="str">
            <v>chasse</v>
          </cell>
          <cell r="E10" t="str">
            <v>chasse</v>
          </cell>
          <cell r="F10" t="str">
            <v>pêche</v>
          </cell>
          <cell r="G10" t="str">
            <v>pêche</v>
          </cell>
          <cell r="H10" t="str">
            <v>chasse</v>
          </cell>
          <cell r="I10" t="str">
            <v>chasse</v>
          </cell>
          <cell r="J10" t="str">
            <v>pêche</v>
          </cell>
          <cell r="K10" t="str">
            <v>pêche</v>
          </cell>
          <cell r="L10" t="str">
            <v>chasse</v>
          </cell>
          <cell r="M10" t="str">
            <v>pêche</v>
          </cell>
          <cell r="N10" t="str">
            <v>chasse</v>
          </cell>
          <cell r="O10" t="str">
            <v>pêche</v>
          </cell>
          <cell r="P10" t="str">
            <v>chasse</v>
          </cell>
          <cell r="Q10" t="str">
            <v>poterie</v>
          </cell>
          <cell r="R10" t="str">
            <v>mobilier</v>
          </cell>
          <cell r="S10" t="str">
            <v>religion</v>
          </cell>
          <cell r="T10" t="str">
            <v>ordre relig.</v>
          </cell>
          <cell r="U10" t="str">
            <v>relique</v>
          </cell>
          <cell r="V10" t="str">
            <v>très ancienne</v>
          </cell>
          <cell r="W10">
            <v>1</v>
          </cell>
          <cell r="X10" t="str">
            <v>faubourg</v>
          </cell>
          <cell r="Y10" t="str">
            <v>éloignée</v>
          </cell>
          <cell r="Z10" t="str">
            <v>très pauvre</v>
          </cell>
          <cell r="AA10">
            <v>0.5</v>
          </cell>
          <cell r="AB10" t="str">
            <v>artisans</v>
          </cell>
          <cell r="AC10" t="str">
            <v>marché</v>
          </cell>
          <cell r="AD10">
            <v>0</v>
          </cell>
          <cell r="AE10">
            <v>0</v>
          </cell>
          <cell r="AF10">
            <v>40</v>
          </cell>
          <cell r="AG10" t="str">
            <v>faible</v>
          </cell>
          <cell r="AH10">
            <v>0.5</v>
          </cell>
          <cell r="AI10" t="str">
            <v>bois</v>
          </cell>
          <cell r="AJ10" t="str">
            <v>château</v>
          </cell>
          <cell r="AK10" t="str">
            <v>x</v>
          </cell>
          <cell r="AL10" t="str">
            <v>5x5</v>
          </cell>
          <cell r="AM10">
            <v>1</v>
          </cell>
          <cell r="AN10" t="str">
            <v>cultivé</v>
          </cell>
          <cell r="AO10" t="str">
            <v>murés</v>
          </cell>
          <cell r="AP10" t="str">
            <v>forte</v>
          </cell>
          <cell r="AQ10" t="str">
            <v>très sûr</v>
          </cell>
          <cell r="AR10" t="str">
            <v xml:space="preserve"> =</v>
          </cell>
          <cell r="AS10" t="str">
            <v>unique</v>
          </cell>
          <cell r="AX10" t="str">
            <v>précieux</v>
          </cell>
          <cell r="AY10" t="str">
            <v>joute</v>
          </cell>
          <cell r="AZ10" t="str">
            <v>écrits</v>
          </cell>
        </row>
        <row r="11">
          <cell r="A11">
            <v>11</v>
          </cell>
          <cell r="B11" t="str">
            <v>colline</v>
          </cell>
          <cell r="C11" t="str">
            <v>dé10*</v>
          </cell>
          <cell r="D11" t="str">
            <v>chasse</v>
          </cell>
          <cell r="E11" t="str">
            <v>chasse</v>
          </cell>
          <cell r="F11" t="str">
            <v>pêche</v>
          </cell>
          <cell r="G11" t="str">
            <v>pêche</v>
          </cell>
          <cell r="H11" t="str">
            <v>chasse</v>
          </cell>
          <cell r="I11" t="str">
            <v>chasse</v>
          </cell>
          <cell r="J11" t="str">
            <v>pêche</v>
          </cell>
          <cell r="K11" t="str">
            <v>pêche</v>
          </cell>
          <cell r="L11" t="str">
            <v>chasse</v>
          </cell>
          <cell r="M11" t="str">
            <v>pêche</v>
          </cell>
          <cell r="N11" t="str">
            <v>chasse</v>
          </cell>
          <cell r="O11" t="str">
            <v>pêche</v>
          </cell>
          <cell r="P11" t="str">
            <v>chasse</v>
          </cell>
          <cell r="Q11" t="str">
            <v>poterie</v>
          </cell>
          <cell r="R11" t="str">
            <v>mobilier</v>
          </cell>
          <cell r="S11" t="str">
            <v>religion</v>
          </cell>
          <cell r="T11" t="str">
            <v>ordre relig.</v>
          </cell>
          <cell r="U11" t="str">
            <v>relique</v>
          </cell>
          <cell r="W11">
            <v>1</v>
          </cell>
          <cell r="X11" t="str">
            <v>faubourg</v>
          </cell>
          <cell r="Z11" t="str">
            <v>pauvre</v>
          </cell>
          <cell r="AA11">
            <v>0.8</v>
          </cell>
          <cell r="AB11" t="str">
            <v>noblesse</v>
          </cell>
          <cell r="AC11" t="str">
            <v>marché</v>
          </cell>
          <cell r="AD11">
            <v>0</v>
          </cell>
          <cell r="AE11">
            <v>0</v>
          </cell>
          <cell r="AF11">
            <v>40</v>
          </cell>
          <cell r="AG11" t="str">
            <v>moyenne</v>
          </cell>
          <cell r="AH11">
            <v>1</v>
          </cell>
          <cell r="AI11" t="str">
            <v>bois</v>
          </cell>
          <cell r="AJ11" t="str">
            <v>château</v>
          </cell>
          <cell r="AM11">
            <v>1</v>
          </cell>
          <cell r="AR11" t="str">
            <v xml:space="preserve"> + </v>
          </cell>
          <cell r="AX11" t="str">
            <v>végétal.plan</v>
          </cell>
          <cell r="AY11" t="str">
            <v>matériaux</v>
          </cell>
          <cell r="AZ11" t="str">
            <v>enseignement</v>
          </cell>
        </row>
        <row r="12">
          <cell r="A12">
            <v>12</v>
          </cell>
          <cell r="B12" t="str">
            <v>côte/lac</v>
          </cell>
          <cell r="C12" t="str">
            <v xml:space="preserve"> - -</v>
          </cell>
          <cell r="D12" t="str">
            <v>chasse</v>
          </cell>
          <cell r="E12" t="str">
            <v>chasse</v>
          </cell>
          <cell r="F12" t="str">
            <v>pêche</v>
          </cell>
          <cell r="G12" t="str">
            <v>pêche</v>
          </cell>
          <cell r="H12" t="str">
            <v>chasse</v>
          </cell>
          <cell r="I12" t="str">
            <v>chasse</v>
          </cell>
          <cell r="J12" t="str">
            <v>chasse</v>
          </cell>
          <cell r="K12" t="str">
            <v>pêche</v>
          </cell>
          <cell r="L12" t="str">
            <v>chasse</v>
          </cell>
          <cell r="M12" t="str">
            <v>pêche</v>
          </cell>
          <cell r="N12" t="str">
            <v>élevage</v>
          </cell>
          <cell r="O12" t="str">
            <v>chasse</v>
          </cell>
          <cell r="P12" t="str">
            <v>chasse</v>
          </cell>
          <cell r="Q12" t="str">
            <v>poterie</v>
          </cell>
          <cell r="R12" t="str">
            <v>mobilier</v>
          </cell>
          <cell r="S12" t="str">
            <v>commerce</v>
          </cell>
          <cell r="T12" t="str">
            <v>guildes</v>
          </cell>
          <cell r="U12" t="str">
            <v>règne guilde</v>
          </cell>
          <cell r="W12">
            <v>0</v>
          </cell>
          <cell r="X12" t="str">
            <v>faubourg</v>
          </cell>
          <cell r="Z12" t="str">
            <v>pauvre</v>
          </cell>
          <cell r="AA12">
            <v>0.8</v>
          </cell>
          <cell r="AB12" t="str">
            <v>noblesse</v>
          </cell>
          <cell r="AC12" t="str">
            <v>marché</v>
          </cell>
          <cell r="AD12">
            <v>0</v>
          </cell>
          <cell r="AE12">
            <v>0</v>
          </cell>
          <cell r="AF12">
            <v>40</v>
          </cell>
          <cell r="AG12" t="str">
            <v>moyenne</v>
          </cell>
          <cell r="AH12">
            <v>1</v>
          </cell>
          <cell r="AI12" t="str">
            <v>bois</v>
          </cell>
          <cell r="AJ12" t="str">
            <v>châtelet</v>
          </cell>
          <cell r="AM12">
            <v>1</v>
          </cell>
          <cell r="AR12" t="str">
            <v xml:space="preserve"> + </v>
          </cell>
          <cell r="AY12" t="str">
            <v>métaux</v>
          </cell>
          <cell r="AZ12" t="str">
            <v>ésotérisme</v>
          </cell>
        </row>
        <row r="13">
          <cell r="A13">
            <v>13</v>
          </cell>
          <cell r="B13" t="str">
            <v>côte/lac</v>
          </cell>
          <cell r="C13" t="str">
            <v xml:space="preserve"> - </v>
          </cell>
          <cell r="D13" t="str">
            <v>chasse</v>
          </cell>
          <cell r="E13" t="str">
            <v>chasse</v>
          </cell>
          <cell r="F13" t="str">
            <v>pêche</v>
          </cell>
          <cell r="G13" t="str">
            <v>pêche</v>
          </cell>
          <cell r="H13" t="str">
            <v>chasse</v>
          </cell>
          <cell r="I13" t="str">
            <v>chasse</v>
          </cell>
          <cell r="J13" t="str">
            <v>chasse</v>
          </cell>
          <cell r="K13" t="str">
            <v>pêche</v>
          </cell>
          <cell r="L13" t="str">
            <v>chasse</v>
          </cell>
          <cell r="M13" t="str">
            <v>pêche</v>
          </cell>
          <cell r="N13" t="str">
            <v>élevage</v>
          </cell>
          <cell r="O13" t="str">
            <v>chasse</v>
          </cell>
          <cell r="P13" t="str">
            <v>chasse</v>
          </cell>
          <cell r="Q13" t="str">
            <v>poterie</v>
          </cell>
          <cell r="R13" t="str">
            <v>mobilier</v>
          </cell>
          <cell r="S13" t="str">
            <v>commerce</v>
          </cell>
          <cell r="T13" t="str">
            <v>guildes</v>
          </cell>
          <cell r="U13" t="str">
            <v>règne guilde</v>
          </cell>
          <cell r="W13">
            <v>0</v>
          </cell>
          <cell r="X13" t="str">
            <v>faubourg</v>
          </cell>
          <cell r="Z13" t="str">
            <v>pauvre</v>
          </cell>
          <cell r="AA13">
            <v>0.8</v>
          </cell>
          <cell r="AB13" t="str">
            <v>noblesse</v>
          </cell>
          <cell r="AC13" t="str">
            <v>marché</v>
          </cell>
          <cell r="AD13">
            <v>0</v>
          </cell>
          <cell r="AE13">
            <v>0</v>
          </cell>
          <cell r="AF13">
            <v>40</v>
          </cell>
          <cell r="AG13" t="str">
            <v>moyenne</v>
          </cell>
          <cell r="AH13">
            <v>1</v>
          </cell>
          <cell r="AI13" t="str">
            <v>bois</v>
          </cell>
          <cell r="AJ13" t="str">
            <v>châtelet</v>
          </cell>
          <cell r="AM13">
            <v>1</v>
          </cell>
          <cell r="AR13" t="str">
            <v xml:space="preserve"> + + </v>
          </cell>
          <cell r="AY13" t="str">
            <v>mobilier</v>
          </cell>
          <cell r="AZ13" t="str">
            <v>étrange</v>
          </cell>
        </row>
        <row r="14">
          <cell r="A14">
            <v>14</v>
          </cell>
          <cell r="B14" t="str">
            <v>côte/lac</v>
          </cell>
          <cell r="C14" t="str">
            <v xml:space="preserve"> - </v>
          </cell>
          <cell r="D14" t="str">
            <v>chasse</v>
          </cell>
          <cell r="E14" t="str">
            <v>chasse</v>
          </cell>
          <cell r="F14" t="str">
            <v>pêche</v>
          </cell>
          <cell r="G14" t="str">
            <v>pêche</v>
          </cell>
          <cell r="H14" t="str">
            <v>chasse</v>
          </cell>
          <cell r="I14" t="str">
            <v>chasse</v>
          </cell>
          <cell r="J14" t="str">
            <v>chasse</v>
          </cell>
          <cell r="K14" t="str">
            <v>chasse</v>
          </cell>
          <cell r="L14" t="str">
            <v>chasse</v>
          </cell>
          <cell r="M14" t="str">
            <v>pêche</v>
          </cell>
          <cell r="N14" t="str">
            <v>élevage</v>
          </cell>
          <cell r="O14" t="str">
            <v>chasse</v>
          </cell>
          <cell r="P14" t="str">
            <v>chasse</v>
          </cell>
          <cell r="Q14" t="str">
            <v>poterie</v>
          </cell>
          <cell r="R14" t="str">
            <v>mobilier</v>
          </cell>
          <cell r="S14" t="str">
            <v>commerce</v>
          </cell>
          <cell r="T14" t="str">
            <v>guildes</v>
          </cell>
          <cell r="U14" t="str">
            <v>règne guilde</v>
          </cell>
          <cell r="W14">
            <v>0</v>
          </cell>
          <cell r="X14" t="str">
            <v>faubourg</v>
          </cell>
          <cell r="Z14" t="str">
            <v>pauvre</v>
          </cell>
          <cell r="AA14">
            <v>0.8</v>
          </cell>
          <cell r="AB14" t="str">
            <v>noblesse</v>
          </cell>
          <cell r="AC14" t="str">
            <v>marché</v>
          </cell>
          <cell r="AD14">
            <v>0</v>
          </cell>
          <cell r="AE14">
            <v>0</v>
          </cell>
          <cell r="AF14">
            <v>40</v>
          </cell>
          <cell r="AG14" t="str">
            <v>moyenne</v>
          </cell>
          <cell r="AH14">
            <v>1</v>
          </cell>
          <cell r="AI14" t="str">
            <v>bois</v>
          </cell>
          <cell r="AJ14" t="str">
            <v>châtelet</v>
          </cell>
          <cell r="AM14">
            <v>1</v>
          </cell>
          <cell r="AR14" t="str">
            <v xml:space="preserve"> + + </v>
          </cell>
          <cell r="AY14" t="str">
            <v>ornements</v>
          </cell>
          <cell r="AZ14" t="str">
            <v>exotique</v>
          </cell>
        </row>
        <row r="15">
          <cell r="A15">
            <v>15</v>
          </cell>
          <cell r="B15" t="str">
            <v>côte/lac</v>
          </cell>
          <cell r="C15" t="str">
            <v xml:space="preserve"> =</v>
          </cell>
          <cell r="D15" t="str">
            <v>chasse</v>
          </cell>
          <cell r="E15" t="str">
            <v>chasse</v>
          </cell>
          <cell r="F15" t="str">
            <v>pêche</v>
          </cell>
          <cell r="G15" t="str">
            <v>pêche</v>
          </cell>
          <cell r="H15" t="str">
            <v>élevage</v>
          </cell>
          <cell r="I15" t="str">
            <v>chasse</v>
          </cell>
          <cell r="J15" t="str">
            <v>chasse</v>
          </cell>
          <cell r="K15" t="str">
            <v>chasse</v>
          </cell>
          <cell r="L15" t="str">
            <v>chasse</v>
          </cell>
          <cell r="M15" t="str">
            <v>pêche</v>
          </cell>
          <cell r="N15" t="str">
            <v>élevage</v>
          </cell>
          <cell r="O15" t="str">
            <v>élevage</v>
          </cell>
          <cell r="P15" t="str">
            <v>chasse</v>
          </cell>
          <cell r="Q15" t="str">
            <v>poterie</v>
          </cell>
          <cell r="R15" t="str">
            <v>mobilier</v>
          </cell>
          <cell r="S15" t="str">
            <v>commerce</v>
          </cell>
          <cell r="T15" t="str">
            <v>guildes</v>
          </cell>
          <cell r="U15" t="str">
            <v>règne guilde</v>
          </cell>
          <cell r="W15">
            <v>0</v>
          </cell>
          <cell r="X15" t="str">
            <v>faubourg</v>
          </cell>
          <cell r="Z15" t="str">
            <v>pauvre</v>
          </cell>
          <cell r="AA15">
            <v>0.8</v>
          </cell>
          <cell r="AB15" t="str">
            <v>noblesse</v>
          </cell>
          <cell r="AC15" t="str">
            <v>marché</v>
          </cell>
          <cell r="AD15">
            <v>0</v>
          </cell>
          <cell r="AE15">
            <v>0</v>
          </cell>
          <cell r="AF15">
            <v>40</v>
          </cell>
          <cell r="AG15" t="str">
            <v>moyenne</v>
          </cell>
          <cell r="AH15">
            <v>1</v>
          </cell>
          <cell r="AI15" t="str">
            <v>bois</v>
          </cell>
          <cell r="AJ15" t="str">
            <v>défenses</v>
          </cell>
          <cell r="AM15">
            <v>1</v>
          </cell>
          <cell r="AR15" t="str">
            <v xml:space="preserve"> + + </v>
          </cell>
          <cell r="AY15" t="str">
            <v>outils</v>
          </cell>
          <cell r="AZ15" t="str">
            <v>finance</v>
          </cell>
        </row>
        <row r="16">
          <cell r="A16">
            <v>16</v>
          </cell>
          <cell r="B16" t="str">
            <v>côte/lac</v>
          </cell>
          <cell r="C16" t="str">
            <v xml:space="preserve"> =</v>
          </cell>
          <cell r="D16" t="str">
            <v>chasse</v>
          </cell>
          <cell r="E16" t="str">
            <v>chasse</v>
          </cell>
          <cell r="F16" t="str">
            <v>pêche</v>
          </cell>
          <cell r="G16" t="str">
            <v>pêche</v>
          </cell>
          <cell r="H16" t="str">
            <v>élevage</v>
          </cell>
          <cell r="I16" t="str">
            <v>chasse</v>
          </cell>
          <cell r="J16" t="str">
            <v>chasse</v>
          </cell>
          <cell r="K16" t="str">
            <v>chasse</v>
          </cell>
          <cell r="L16" t="str">
            <v>élevage</v>
          </cell>
          <cell r="M16" t="str">
            <v>pêche</v>
          </cell>
          <cell r="N16" t="str">
            <v>élevage</v>
          </cell>
          <cell r="O16" t="str">
            <v>élevage</v>
          </cell>
          <cell r="P16" t="str">
            <v>chasse</v>
          </cell>
          <cell r="Q16" t="str">
            <v>peaux</v>
          </cell>
          <cell r="R16" t="str">
            <v>fourrures</v>
          </cell>
          <cell r="S16" t="str">
            <v>commerce</v>
          </cell>
          <cell r="T16" t="str">
            <v>guildes</v>
          </cell>
          <cell r="U16" t="str">
            <v>règne guilde</v>
          </cell>
          <cell r="W16">
            <v>0</v>
          </cell>
          <cell r="X16" t="str">
            <v>faubourg</v>
          </cell>
          <cell r="Z16" t="str">
            <v>pauvre</v>
          </cell>
          <cell r="AA16">
            <v>0.8</v>
          </cell>
          <cell r="AB16" t="str">
            <v>noblesse</v>
          </cell>
          <cell r="AC16" t="str">
            <v>marché</v>
          </cell>
          <cell r="AD16">
            <v>0</v>
          </cell>
          <cell r="AE16">
            <v>0</v>
          </cell>
          <cell r="AF16">
            <v>40</v>
          </cell>
          <cell r="AG16" t="str">
            <v>moyenne</v>
          </cell>
          <cell r="AH16">
            <v>1</v>
          </cell>
          <cell r="AI16" t="str">
            <v>grosse pierre</v>
          </cell>
          <cell r="AJ16" t="str">
            <v>défenses</v>
          </cell>
          <cell r="AM16">
            <v>2</v>
          </cell>
          <cell r="AR16" t="str">
            <v xml:space="preserve"> + + </v>
          </cell>
          <cell r="AY16" t="str">
            <v>peaux</v>
          </cell>
          <cell r="AZ16" t="str">
            <v>fresque</v>
          </cell>
        </row>
        <row r="17">
          <cell r="A17">
            <v>17</v>
          </cell>
          <cell r="B17" t="str">
            <v>côte/lac</v>
          </cell>
          <cell r="C17" t="str">
            <v xml:space="preserve"> =</v>
          </cell>
          <cell r="D17" t="str">
            <v>chasse</v>
          </cell>
          <cell r="E17" t="str">
            <v>chasse</v>
          </cell>
          <cell r="F17" t="str">
            <v>pêche</v>
          </cell>
          <cell r="G17" t="str">
            <v>pêche</v>
          </cell>
          <cell r="H17" t="str">
            <v>élevage</v>
          </cell>
          <cell r="I17" t="str">
            <v>chasse</v>
          </cell>
          <cell r="J17" t="str">
            <v>chasse</v>
          </cell>
          <cell r="K17" t="str">
            <v>chasse</v>
          </cell>
          <cell r="L17" t="str">
            <v>élevage</v>
          </cell>
          <cell r="M17" t="str">
            <v>pêche</v>
          </cell>
          <cell r="N17" t="str">
            <v>élevage</v>
          </cell>
          <cell r="O17" t="str">
            <v>élevage</v>
          </cell>
          <cell r="P17" t="str">
            <v>chasse</v>
          </cell>
          <cell r="Q17" t="str">
            <v>peaux</v>
          </cell>
          <cell r="R17" t="str">
            <v>fourrures</v>
          </cell>
          <cell r="S17" t="str">
            <v>commerce</v>
          </cell>
          <cell r="T17" t="str">
            <v>guildes</v>
          </cell>
          <cell r="U17" t="str">
            <v>règne guilde</v>
          </cell>
          <cell r="W17">
            <v>0</v>
          </cell>
          <cell r="X17" t="str">
            <v>faubourg</v>
          </cell>
          <cell r="Z17" t="str">
            <v>pauvre</v>
          </cell>
          <cell r="AA17">
            <v>0.8</v>
          </cell>
          <cell r="AB17" t="str">
            <v>noblesse</v>
          </cell>
          <cell r="AC17" t="str">
            <v>marché</v>
          </cell>
          <cell r="AD17">
            <v>0</v>
          </cell>
          <cell r="AE17">
            <v>0</v>
          </cell>
          <cell r="AF17">
            <v>40</v>
          </cell>
          <cell r="AG17" t="str">
            <v>moyenne</v>
          </cell>
          <cell r="AH17">
            <v>1</v>
          </cell>
          <cell r="AI17" t="str">
            <v>grosse pierre</v>
          </cell>
          <cell r="AJ17" t="str">
            <v>défenses</v>
          </cell>
          <cell r="AM17">
            <v>2</v>
          </cell>
          <cell r="AR17" t="str">
            <v xml:space="preserve"> + + </v>
          </cell>
          <cell r="AY17" t="str">
            <v>poterie</v>
          </cell>
          <cell r="AZ17" t="str">
            <v>guerre</v>
          </cell>
        </row>
        <row r="18">
          <cell r="A18">
            <v>18</v>
          </cell>
          <cell r="B18" t="str">
            <v>côte/lac</v>
          </cell>
          <cell r="C18" t="str">
            <v xml:space="preserve"> =</v>
          </cell>
          <cell r="D18" t="str">
            <v>chasse</v>
          </cell>
          <cell r="E18" t="str">
            <v>chasse</v>
          </cell>
          <cell r="F18" t="str">
            <v>pêche</v>
          </cell>
          <cell r="G18" t="str">
            <v>pêche</v>
          </cell>
          <cell r="H18" t="str">
            <v>élevage</v>
          </cell>
          <cell r="I18" t="str">
            <v>chasse</v>
          </cell>
          <cell r="J18" t="str">
            <v>chasse</v>
          </cell>
          <cell r="K18" t="str">
            <v>chasse</v>
          </cell>
          <cell r="L18" t="str">
            <v>élevage</v>
          </cell>
          <cell r="M18" t="str">
            <v>pêche</v>
          </cell>
          <cell r="N18" t="str">
            <v>élevage</v>
          </cell>
          <cell r="O18" t="str">
            <v>élevage</v>
          </cell>
          <cell r="P18" t="str">
            <v>chasse</v>
          </cell>
          <cell r="Q18" t="str">
            <v>peaux</v>
          </cell>
          <cell r="R18" t="str">
            <v>fourrures</v>
          </cell>
          <cell r="S18" t="str">
            <v>commerce</v>
          </cell>
          <cell r="T18" t="str">
            <v>guildes</v>
          </cell>
          <cell r="U18" t="str">
            <v>règne guilde</v>
          </cell>
          <cell r="W18">
            <v>0</v>
          </cell>
          <cell r="X18" t="str">
            <v>faubourg</v>
          </cell>
          <cell r="Z18" t="str">
            <v>pauvre</v>
          </cell>
          <cell r="AA18">
            <v>0.8</v>
          </cell>
          <cell r="AB18" t="str">
            <v>noblesse</v>
          </cell>
          <cell r="AC18" t="str">
            <v>marché</v>
          </cell>
          <cell r="AD18">
            <v>0</v>
          </cell>
          <cell r="AE18">
            <v>0</v>
          </cell>
          <cell r="AF18">
            <v>40</v>
          </cell>
          <cell r="AG18" t="str">
            <v>moyenne</v>
          </cell>
          <cell r="AH18">
            <v>1</v>
          </cell>
          <cell r="AI18" t="str">
            <v>grosse pierre</v>
          </cell>
          <cell r="AJ18" t="str">
            <v>défenses</v>
          </cell>
          <cell r="AM18">
            <v>2</v>
          </cell>
          <cell r="AR18" t="str">
            <v xml:space="preserve"> + + </v>
          </cell>
          <cell r="AY18" t="str">
            <v>spécialité</v>
          </cell>
          <cell r="AZ18" t="str">
            <v>guildes</v>
          </cell>
        </row>
        <row r="19">
          <cell r="A19">
            <v>19</v>
          </cell>
          <cell r="B19" t="str">
            <v>côte/lac</v>
          </cell>
          <cell r="C19" t="str">
            <v xml:space="preserve"> + </v>
          </cell>
          <cell r="D19" t="str">
            <v>élevage</v>
          </cell>
          <cell r="E19" t="str">
            <v>chasse</v>
          </cell>
          <cell r="F19" t="str">
            <v>pêche</v>
          </cell>
          <cell r="G19" t="str">
            <v>pêche</v>
          </cell>
          <cell r="H19" t="str">
            <v>élevage</v>
          </cell>
          <cell r="I19" t="str">
            <v>chasse</v>
          </cell>
          <cell r="J19" t="str">
            <v>chasse</v>
          </cell>
          <cell r="K19" t="str">
            <v>chasse</v>
          </cell>
          <cell r="L19" t="str">
            <v>élevage</v>
          </cell>
          <cell r="M19" t="str">
            <v>pêche</v>
          </cell>
          <cell r="N19" t="str">
            <v>élevage</v>
          </cell>
          <cell r="O19" t="str">
            <v>agriculture</v>
          </cell>
          <cell r="P19" t="str">
            <v>chasse</v>
          </cell>
          <cell r="Q19" t="str">
            <v>peaux</v>
          </cell>
          <cell r="R19" t="str">
            <v>fourrures</v>
          </cell>
          <cell r="S19" t="str">
            <v>commerce</v>
          </cell>
          <cell r="T19" t="str">
            <v>guildes</v>
          </cell>
          <cell r="U19" t="str">
            <v>règne guilde</v>
          </cell>
          <cell r="W19">
            <v>0</v>
          </cell>
          <cell r="X19" t="str">
            <v>faubourg</v>
          </cell>
          <cell r="Z19" t="str">
            <v>pauvre</v>
          </cell>
          <cell r="AA19">
            <v>0.8</v>
          </cell>
          <cell r="AB19" t="str">
            <v>noblesse</v>
          </cell>
          <cell r="AC19" t="str">
            <v>marché</v>
          </cell>
          <cell r="AD19">
            <v>0</v>
          </cell>
          <cell r="AE19">
            <v>0</v>
          </cell>
          <cell r="AF19">
            <v>40</v>
          </cell>
          <cell r="AG19" t="str">
            <v>moyenne</v>
          </cell>
          <cell r="AH19">
            <v>1</v>
          </cell>
          <cell r="AI19" t="str">
            <v>grosse pierre</v>
          </cell>
          <cell r="AJ19" t="str">
            <v>défenses</v>
          </cell>
          <cell r="AM19">
            <v>2</v>
          </cell>
          <cell r="AR19" t="str">
            <v xml:space="preserve"> + + </v>
          </cell>
          <cell r="AY19" t="str">
            <v>tapisserie</v>
          </cell>
          <cell r="AZ19" t="str">
            <v>librairie</v>
          </cell>
        </row>
        <row r="20">
          <cell r="A20">
            <v>20</v>
          </cell>
          <cell r="B20" t="str">
            <v>côte/lac</v>
          </cell>
          <cell r="C20" t="str">
            <v xml:space="preserve"> + </v>
          </cell>
          <cell r="D20" t="str">
            <v>élevage</v>
          </cell>
          <cell r="E20" t="str">
            <v>chasse</v>
          </cell>
          <cell r="F20" t="str">
            <v>pêche</v>
          </cell>
          <cell r="G20" t="str">
            <v>pêche</v>
          </cell>
          <cell r="H20" t="str">
            <v>élevage</v>
          </cell>
          <cell r="I20" t="str">
            <v>chasse</v>
          </cell>
          <cell r="J20" t="str">
            <v>chasse</v>
          </cell>
          <cell r="K20" t="str">
            <v>chasse</v>
          </cell>
          <cell r="L20" t="str">
            <v>élevage</v>
          </cell>
          <cell r="M20" t="str">
            <v>pêche</v>
          </cell>
          <cell r="N20" t="str">
            <v>élevage</v>
          </cell>
          <cell r="O20" t="str">
            <v>agriculture</v>
          </cell>
          <cell r="P20" t="str">
            <v>chasse</v>
          </cell>
          <cell r="Q20" t="str">
            <v>peaux</v>
          </cell>
          <cell r="R20" t="str">
            <v>fourrures</v>
          </cell>
          <cell r="S20" t="str">
            <v>commerce</v>
          </cell>
          <cell r="T20" t="str">
            <v>guildes</v>
          </cell>
          <cell r="U20" t="str">
            <v>règne guilde</v>
          </cell>
          <cell r="W20">
            <v>0</v>
          </cell>
          <cell r="X20" t="str">
            <v>faubourg</v>
          </cell>
          <cell r="Z20" t="str">
            <v>pauvre</v>
          </cell>
          <cell r="AA20">
            <v>0.8</v>
          </cell>
          <cell r="AB20" t="str">
            <v>noblesse</v>
          </cell>
          <cell r="AC20" t="str">
            <v>marché</v>
          </cell>
          <cell r="AD20">
            <v>0</v>
          </cell>
          <cell r="AE20">
            <v>0</v>
          </cell>
          <cell r="AF20">
            <v>40</v>
          </cell>
          <cell r="AG20" t="str">
            <v>moyenne</v>
          </cell>
          <cell r="AH20">
            <v>1</v>
          </cell>
          <cell r="AI20" t="str">
            <v>grosse pierre</v>
          </cell>
          <cell r="AJ20" t="str">
            <v>douves</v>
          </cell>
          <cell r="AM20">
            <v>2</v>
          </cell>
          <cell r="AR20" t="str">
            <v xml:space="preserve"> + + </v>
          </cell>
          <cell r="AY20" t="str">
            <v>tisane</v>
          </cell>
          <cell r="AZ20" t="str">
            <v>magie</v>
          </cell>
        </row>
        <row r="21">
          <cell r="A21">
            <v>21</v>
          </cell>
          <cell r="B21" t="str">
            <v>côte/lac</v>
          </cell>
          <cell r="C21" t="str">
            <v xml:space="preserve"> + + </v>
          </cell>
          <cell r="D21" t="str">
            <v>agriculture</v>
          </cell>
          <cell r="E21" t="str">
            <v>chasse</v>
          </cell>
          <cell r="F21" t="str">
            <v>pêche</v>
          </cell>
          <cell r="G21" t="str">
            <v>pêche</v>
          </cell>
          <cell r="H21" t="str">
            <v>élevage</v>
          </cell>
          <cell r="I21" t="str">
            <v>chasse</v>
          </cell>
          <cell r="J21" t="str">
            <v>chasse</v>
          </cell>
          <cell r="K21" t="str">
            <v>chasse</v>
          </cell>
          <cell r="L21" t="str">
            <v>élevage</v>
          </cell>
          <cell r="M21" t="str">
            <v>pêche</v>
          </cell>
          <cell r="N21" t="str">
            <v>élevage</v>
          </cell>
          <cell r="O21" t="str">
            <v>agriculture</v>
          </cell>
          <cell r="P21" t="str">
            <v>élevage</v>
          </cell>
          <cell r="Q21" t="str">
            <v>peaux</v>
          </cell>
          <cell r="R21" t="str">
            <v>fourrures</v>
          </cell>
          <cell r="S21" t="str">
            <v>commerce</v>
          </cell>
          <cell r="T21" t="str">
            <v>guildes</v>
          </cell>
          <cell r="U21" t="str">
            <v>règne guilde</v>
          </cell>
          <cell r="W21">
            <v>0</v>
          </cell>
          <cell r="X21" t="str">
            <v>faubourg</v>
          </cell>
          <cell r="Z21" t="str">
            <v>pauvre</v>
          </cell>
          <cell r="AA21">
            <v>0.8</v>
          </cell>
          <cell r="AB21" t="str">
            <v>noblesse</v>
          </cell>
          <cell r="AC21" t="str">
            <v>marché</v>
          </cell>
          <cell r="AD21">
            <v>0</v>
          </cell>
          <cell r="AE21">
            <v>0</v>
          </cell>
          <cell r="AF21">
            <v>40</v>
          </cell>
          <cell r="AG21" t="str">
            <v>moyenne</v>
          </cell>
          <cell r="AH21">
            <v>1</v>
          </cell>
          <cell r="AI21" t="str">
            <v>grosse pierre</v>
          </cell>
          <cell r="AJ21" t="str">
            <v>douves</v>
          </cell>
          <cell r="AM21">
            <v>2</v>
          </cell>
          <cell r="AR21" t="str">
            <v xml:space="preserve"> + + </v>
          </cell>
          <cell r="AY21" t="str">
            <v>tissu</v>
          </cell>
          <cell r="AZ21" t="str">
            <v>militaire</v>
          </cell>
        </row>
        <row r="22">
          <cell r="A22">
            <v>22</v>
          </cell>
          <cell r="B22" t="str">
            <v>côte/lac</v>
          </cell>
          <cell r="D22" t="str">
            <v>agriculture</v>
          </cell>
          <cell r="E22" t="str">
            <v>élevage</v>
          </cell>
          <cell r="F22" t="str">
            <v>chasse</v>
          </cell>
          <cell r="G22" t="str">
            <v>pêche</v>
          </cell>
          <cell r="H22" t="str">
            <v>élevage</v>
          </cell>
          <cell r="I22" t="str">
            <v>chasse</v>
          </cell>
          <cell r="J22" t="str">
            <v>chasse</v>
          </cell>
          <cell r="K22" t="str">
            <v>chasse</v>
          </cell>
          <cell r="L22" t="str">
            <v>élevage</v>
          </cell>
          <cell r="M22" t="str">
            <v>pêche</v>
          </cell>
          <cell r="N22" t="str">
            <v>élevage</v>
          </cell>
          <cell r="O22" t="str">
            <v>minerai</v>
          </cell>
          <cell r="P22" t="str">
            <v>élevage</v>
          </cell>
          <cell r="Q22" t="str">
            <v>peaux</v>
          </cell>
          <cell r="R22" t="str">
            <v>fourrures</v>
          </cell>
          <cell r="S22" t="str">
            <v>commerce</v>
          </cell>
          <cell r="T22" t="str">
            <v>guildes</v>
          </cell>
          <cell r="U22" t="str">
            <v>règne guilde</v>
          </cell>
          <cell r="W22">
            <v>0</v>
          </cell>
          <cell r="X22" t="str">
            <v>faubourg</v>
          </cell>
          <cell r="Z22" t="str">
            <v>pauvre</v>
          </cell>
          <cell r="AA22">
            <v>0.8</v>
          </cell>
          <cell r="AB22" t="str">
            <v>noblesse</v>
          </cell>
          <cell r="AC22" t="str">
            <v>marché</v>
          </cell>
          <cell r="AD22">
            <v>0</v>
          </cell>
          <cell r="AE22">
            <v>0</v>
          </cell>
          <cell r="AF22">
            <v>40</v>
          </cell>
          <cell r="AG22" t="str">
            <v>moyenne</v>
          </cell>
          <cell r="AH22">
            <v>1</v>
          </cell>
          <cell r="AI22" t="str">
            <v>grosse pierre</v>
          </cell>
          <cell r="AJ22" t="str">
            <v>douves</v>
          </cell>
          <cell r="AM22">
            <v>2</v>
          </cell>
          <cell r="AR22" t="str">
            <v xml:space="preserve"> + + </v>
          </cell>
          <cell r="AZ22" t="str">
            <v>ordre relig.</v>
          </cell>
        </row>
        <row r="23">
          <cell r="A23">
            <v>23</v>
          </cell>
          <cell r="B23" t="str">
            <v>côte/lac</v>
          </cell>
          <cell r="D23" t="str">
            <v>minerai</v>
          </cell>
          <cell r="E23" t="str">
            <v>élevage</v>
          </cell>
          <cell r="F23" t="str">
            <v>chasse</v>
          </cell>
          <cell r="G23" t="str">
            <v>chasse</v>
          </cell>
          <cell r="H23" t="str">
            <v>agriculture</v>
          </cell>
          <cell r="I23" t="str">
            <v>chasse</v>
          </cell>
          <cell r="J23" t="str">
            <v>chasse</v>
          </cell>
          <cell r="K23" t="str">
            <v>chasse</v>
          </cell>
          <cell r="L23" t="str">
            <v>élevage</v>
          </cell>
          <cell r="M23" t="str">
            <v>pêche</v>
          </cell>
          <cell r="N23" t="str">
            <v>élevage</v>
          </cell>
          <cell r="O23" t="str">
            <v>minerai</v>
          </cell>
          <cell r="P23" t="str">
            <v>élevage</v>
          </cell>
          <cell r="Q23" t="str">
            <v>peaux</v>
          </cell>
          <cell r="R23" t="str">
            <v>fourrures</v>
          </cell>
          <cell r="S23" t="str">
            <v>commerce</v>
          </cell>
          <cell r="T23" t="str">
            <v>guildes</v>
          </cell>
          <cell r="U23" t="str">
            <v>règne guilde</v>
          </cell>
          <cell r="W23">
            <v>0</v>
          </cell>
          <cell r="X23" t="str">
            <v>faubourg</v>
          </cell>
          <cell r="Z23" t="str">
            <v>pauvre</v>
          </cell>
          <cell r="AA23">
            <v>0.8</v>
          </cell>
          <cell r="AB23" t="str">
            <v>noblesse</v>
          </cell>
          <cell r="AC23" t="str">
            <v>marché</v>
          </cell>
          <cell r="AD23">
            <v>0</v>
          </cell>
          <cell r="AE23">
            <v>0</v>
          </cell>
          <cell r="AF23">
            <v>40</v>
          </cell>
          <cell r="AG23" t="str">
            <v>moyenne</v>
          </cell>
          <cell r="AH23">
            <v>1</v>
          </cell>
          <cell r="AI23" t="str">
            <v>grosse pierre</v>
          </cell>
          <cell r="AJ23" t="str">
            <v>douves</v>
          </cell>
          <cell r="AM23">
            <v>2</v>
          </cell>
          <cell r="AR23" t="str">
            <v xml:space="preserve"> + + </v>
          </cell>
          <cell r="AZ23" t="str">
            <v>parfum</v>
          </cell>
        </row>
        <row r="24">
          <cell r="A24">
            <v>24</v>
          </cell>
          <cell r="B24" t="str">
            <v>côte/lac</v>
          </cell>
          <cell r="D24" t="str">
            <v>minerai</v>
          </cell>
          <cell r="E24" t="str">
            <v>élevage</v>
          </cell>
          <cell r="F24" t="str">
            <v>chasse</v>
          </cell>
          <cell r="G24" t="str">
            <v>chasse</v>
          </cell>
          <cell r="H24" t="str">
            <v>agriculture</v>
          </cell>
          <cell r="I24" t="str">
            <v>élevage</v>
          </cell>
          <cell r="J24" t="str">
            <v>chasse</v>
          </cell>
          <cell r="K24" t="str">
            <v>chasse</v>
          </cell>
          <cell r="L24" t="str">
            <v>élevage</v>
          </cell>
          <cell r="M24" t="str">
            <v>pêche</v>
          </cell>
          <cell r="N24" t="str">
            <v>élevage</v>
          </cell>
          <cell r="O24" t="str">
            <v>minerai</v>
          </cell>
          <cell r="P24" t="str">
            <v>élevage</v>
          </cell>
          <cell r="Q24" t="str">
            <v>peaux</v>
          </cell>
          <cell r="R24" t="str">
            <v>fourrures</v>
          </cell>
          <cell r="S24" t="str">
            <v>commerce</v>
          </cell>
          <cell r="T24" t="str">
            <v>guildes</v>
          </cell>
          <cell r="U24" t="str">
            <v>règne guilde</v>
          </cell>
          <cell r="W24">
            <v>0</v>
          </cell>
          <cell r="X24" t="str">
            <v>faubourg</v>
          </cell>
          <cell r="Z24" t="str">
            <v>pauvre</v>
          </cell>
          <cell r="AA24">
            <v>0.8</v>
          </cell>
          <cell r="AB24" t="str">
            <v>noblesse</v>
          </cell>
          <cell r="AC24" t="str">
            <v>marché</v>
          </cell>
          <cell r="AD24">
            <v>0</v>
          </cell>
          <cell r="AE24">
            <v>0</v>
          </cell>
          <cell r="AF24">
            <v>40</v>
          </cell>
          <cell r="AG24" t="str">
            <v>moyenne</v>
          </cell>
          <cell r="AH24">
            <v>1</v>
          </cell>
          <cell r="AI24" t="str">
            <v>grosse pierre</v>
          </cell>
          <cell r="AJ24" t="str">
            <v>douves</v>
          </cell>
          <cell r="AM24">
            <v>2</v>
          </cell>
          <cell r="AR24" t="str">
            <v xml:space="preserve"> + + </v>
          </cell>
          <cell r="AZ24" t="str">
            <v>poison</v>
          </cell>
        </row>
        <row r="25">
          <cell r="A25">
            <v>25</v>
          </cell>
          <cell r="B25" t="str">
            <v>côte/lac</v>
          </cell>
          <cell r="D25" t="str">
            <v>minerai</v>
          </cell>
          <cell r="E25" t="str">
            <v>élevage</v>
          </cell>
          <cell r="F25" t="str">
            <v>chasse</v>
          </cell>
          <cell r="G25" t="str">
            <v>chasse</v>
          </cell>
          <cell r="H25" t="str">
            <v>agriculture</v>
          </cell>
          <cell r="I25" t="str">
            <v>élevage</v>
          </cell>
          <cell r="J25" t="str">
            <v>chasse</v>
          </cell>
          <cell r="K25" t="str">
            <v>chasse</v>
          </cell>
          <cell r="L25" t="str">
            <v>agriculture</v>
          </cell>
          <cell r="M25" t="str">
            <v>pêche</v>
          </cell>
          <cell r="N25" t="str">
            <v>élevage</v>
          </cell>
          <cell r="O25" t="str">
            <v>minerai</v>
          </cell>
          <cell r="P25" t="str">
            <v>élevage</v>
          </cell>
          <cell r="Q25" t="str">
            <v>peaux</v>
          </cell>
          <cell r="R25" t="str">
            <v>fourrures</v>
          </cell>
          <cell r="S25" t="str">
            <v>commerce</v>
          </cell>
          <cell r="T25" t="str">
            <v>guildes</v>
          </cell>
          <cell r="U25" t="str">
            <v>règne guilde</v>
          </cell>
          <cell r="W25">
            <v>0</v>
          </cell>
          <cell r="X25" t="str">
            <v>faubourg</v>
          </cell>
          <cell r="Z25" t="str">
            <v>pauvre</v>
          </cell>
          <cell r="AA25">
            <v>0.8</v>
          </cell>
          <cell r="AB25" t="str">
            <v>noblesse</v>
          </cell>
          <cell r="AC25" t="str">
            <v>marché</v>
          </cell>
          <cell r="AD25">
            <v>0</v>
          </cell>
          <cell r="AE25">
            <v>0</v>
          </cell>
          <cell r="AF25">
            <v>40</v>
          </cell>
          <cell r="AG25" t="str">
            <v>moyenne</v>
          </cell>
          <cell r="AH25">
            <v>1</v>
          </cell>
          <cell r="AI25" t="str">
            <v>grosse pierre</v>
          </cell>
          <cell r="AJ25" t="str">
            <v>douves</v>
          </cell>
          <cell r="AM25">
            <v>2</v>
          </cell>
          <cell r="AR25" t="str">
            <v xml:space="preserve"> + + </v>
          </cell>
          <cell r="AZ25" t="str">
            <v>règne guilde</v>
          </cell>
        </row>
        <row r="26">
          <cell r="A26">
            <v>26</v>
          </cell>
          <cell r="B26" t="str">
            <v>côte/lac</v>
          </cell>
          <cell r="D26" t="str">
            <v>minerai</v>
          </cell>
          <cell r="E26" t="str">
            <v>élevage</v>
          </cell>
          <cell r="F26" t="str">
            <v>chasse</v>
          </cell>
          <cell r="G26" t="str">
            <v>chasse</v>
          </cell>
          <cell r="H26" t="str">
            <v>agriculture</v>
          </cell>
          <cell r="I26" t="str">
            <v>élevage</v>
          </cell>
          <cell r="J26" t="str">
            <v>chasse</v>
          </cell>
          <cell r="K26" t="str">
            <v>chasse</v>
          </cell>
          <cell r="L26" t="str">
            <v>agriculture</v>
          </cell>
          <cell r="M26" t="str">
            <v>pêche</v>
          </cell>
          <cell r="N26" t="str">
            <v>élevage</v>
          </cell>
          <cell r="O26" t="str">
            <v>minerai</v>
          </cell>
          <cell r="P26" t="str">
            <v>élevage</v>
          </cell>
          <cell r="Q26" t="str">
            <v>peaux</v>
          </cell>
          <cell r="R26" t="str">
            <v>fourrures</v>
          </cell>
          <cell r="S26" t="str">
            <v>commerce</v>
          </cell>
          <cell r="T26" t="str">
            <v>guildes</v>
          </cell>
          <cell r="U26" t="str">
            <v>règne guilde</v>
          </cell>
          <cell r="W26">
            <v>0</v>
          </cell>
          <cell r="X26" t="str">
            <v>faubourg</v>
          </cell>
          <cell r="Z26" t="str">
            <v>pauvre</v>
          </cell>
          <cell r="AA26">
            <v>0.8</v>
          </cell>
          <cell r="AB26" t="str">
            <v>noblesse</v>
          </cell>
          <cell r="AC26" t="str">
            <v>marché</v>
          </cell>
          <cell r="AD26">
            <v>0</v>
          </cell>
          <cell r="AE26">
            <v>0</v>
          </cell>
          <cell r="AF26">
            <v>40</v>
          </cell>
          <cell r="AG26" t="str">
            <v>moyenne</v>
          </cell>
          <cell r="AH26">
            <v>1</v>
          </cell>
          <cell r="AI26" t="str">
            <v>grosse pierre</v>
          </cell>
          <cell r="AJ26" t="str">
            <v>douves</v>
          </cell>
          <cell r="AM26">
            <v>2</v>
          </cell>
          <cell r="AZ26" t="str">
            <v>religion</v>
          </cell>
        </row>
        <row r="27">
          <cell r="A27">
            <v>27</v>
          </cell>
          <cell r="B27" t="str">
            <v>cours d'eau</v>
          </cell>
          <cell r="D27" t="str">
            <v>minerai</v>
          </cell>
          <cell r="E27" t="str">
            <v>élevage</v>
          </cell>
          <cell r="F27" t="str">
            <v>chasse</v>
          </cell>
          <cell r="G27" t="str">
            <v>chasse</v>
          </cell>
          <cell r="H27" t="str">
            <v>agriculture</v>
          </cell>
          <cell r="I27" t="str">
            <v>élevage</v>
          </cell>
          <cell r="J27" t="str">
            <v>élevage</v>
          </cell>
          <cell r="K27" t="str">
            <v>chasse</v>
          </cell>
          <cell r="L27" t="str">
            <v>agriculture</v>
          </cell>
          <cell r="M27" t="str">
            <v>pêche</v>
          </cell>
          <cell r="N27" t="str">
            <v>élevage</v>
          </cell>
          <cell r="O27" t="str">
            <v>minerai</v>
          </cell>
          <cell r="P27" t="str">
            <v>élevage</v>
          </cell>
          <cell r="Q27" t="str">
            <v>peaux</v>
          </cell>
          <cell r="R27" t="str">
            <v>fourrures</v>
          </cell>
          <cell r="S27" t="str">
            <v>commerce</v>
          </cell>
          <cell r="T27" t="str">
            <v>guildes</v>
          </cell>
          <cell r="U27" t="str">
            <v>règne guilde</v>
          </cell>
          <cell r="W27">
            <v>-1</v>
          </cell>
          <cell r="X27" t="str">
            <v>village</v>
          </cell>
          <cell r="Z27" t="str">
            <v>pauvre</v>
          </cell>
          <cell r="AA27">
            <v>0.8</v>
          </cell>
          <cell r="AB27" t="str">
            <v>noblesse</v>
          </cell>
          <cell r="AC27" t="str">
            <v>marché</v>
          </cell>
          <cell r="AD27">
            <v>0</v>
          </cell>
          <cell r="AE27">
            <v>0</v>
          </cell>
          <cell r="AF27">
            <v>40</v>
          </cell>
          <cell r="AG27" t="str">
            <v>moyenne</v>
          </cell>
          <cell r="AH27">
            <v>1</v>
          </cell>
          <cell r="AI27" t="str">
            <v>grosse pierre</v>
          </cell>
          <cell r="AJ27" t="str">
            <v>douves</v>
          </cell>
          <cell r="AM27">
            <v>2</v>
          </cell>
          <cell r="AZ27" t="str">
            <v>relique</v>
          </cell>
        </row>
        <row r="28">
          <cell r="A28">
            <v>28</v>
          </cell>
          <cell r="B28" t="str">
            <v>cours d'eau</v>
          </cell>
          <cell r="D28" t="str">
            <v>minerai</v>
          </cell>
          <cell r="E28" t="str">
            <v>élevage</v>
          </cell>
          <cell r="F28" t="str">
            <v>chasse</v>
          </cell>
          <cell r="G28" t="str">
            <v>chasse</v>
          </cell>
          <cell r="H28" t="str">
            <v>minerai</v>
          </cell>
          <cell r="I28" t="str">
            <v>élevage</v>
          </cell>
          <cell r="J28" t="str">
            <v>élevage</v>
          </cell>
          <cell r="K28" t="str">
            <v>chasse</v>
          </cell>
          <cell r="L28" t="str">
            <v>agriculture</v>
          </cell>
          <cell r="M28" t="str">
            <v>pêche</v>
          </cell>
          <cell r="N28" t="str">
            <v>élevage</v>
          </cell>
          <cell r="O28" t="str">
            <v>minerai</v>
          </cell>
          <cell r="P28" t="str">
            <v>élevage</v>
          </cell>
          <cell r="Q28" t="str">
            <v>peaux</v>
          </cell>
          <cell r="R28" t="str">
            <v>fourrures</v>
          </cell>
          <cell r="S28" t="str">
            <v>commerce</v>
          </cell>
          <cell r="T28" t="str">
            <v>guildes</v>
          </cell>
          <cell r="U28" t="str">
            <v>règne guilde</v>
          </cell>
          <cell r="W28">
            <v>-1</v>
          </cell>
          <cell r="X28" t="str">
            <v>village</v>
          </cell>
          <cell r="Z28" t="str">
            <v>pauvre</v>
          </cell>
          <cell r="AA28">
            <v>0.8</v>
          </cell>
          <cell r="AB28" t="str">
            <v>noblesse</v>
          </cell>
          <cell r="AC28" t="str">
            <v>marché</v>
          </cell>
          <cell r="AD28">
            <v>0</v>
          </cell>
          <cell r="AE28">
            <v>0</v>
          </cell>
          <cell r="AF28">
            <v>40</v>
          </cell>
          <cell r="AG28" t="str">
            <v>moyenne</v>
          </cell>
          <cell r="AH28">
            <v>1</v>
          </cell>
          <cell r="AI28" t="str">
            <v>grosse pierre</v>
          </cell>
          <cell r="AJ28" t="str">
            <v>douves</v>
          </cell>
          <cell r="AM28">
            <v>2</v>
          </cell>
          <cell r="AZ28" t="str">
            <v>science</v>
          </cell>
        </row>
        <row r="29">
          <cell r="A29">
            <v>29</v>
          </cell>
          <cell r="B29" t="str">
            <v>cours d'eau</v>
          </cell>
          <cell r="D29" t="str">
            <v>minerai</v>
          </cell>
          <cell r="E29" t="str">
            <v>élevage</v>
          </cell>
          <cell r="F29" t="str">
            <v>chasse</v>
          </cell>
          <cell r="G29" t="str">
            <v>chasse</v>
          </cell>
          <cell r="H29" t="str">
            <v>minerai</v>
          </cell>
          <cell r="I29" t="str">
            <v>élevage</v>
          </cell>
          <cell r="J29" t="str">
            <v>élevage</v>
          </cell>
          <cell r="K29" t="str">
            <v>élevage</v>
          </cell>
          <cell r="L29" t="str">
            <v>agriculture</v>
          </cell>
          <cell r="M29" t="str">
            <v>pêche</v>
          </cell>
          <cell r="N29" t="str">
            <v>élevage</v>
          </cell>
          <cell r="O29" t="str">
            <v>minerai</v>
          </cell>
          <cell r="P29" t="str">
            <v>élevage</v>
          </cell>
          <cell r="Q29" t="str">
            <v>peaux</v>
          </cell>
          <cell r="R29" t="str">
            <v>fourrures</v>
          </cell>
          <cell r="S29" t="str">
            <v>commerce</v>
          </cell>
          <cell r="T29" t="str">
            <v>guildes</v>
          </cell>
          <cell r="U29" t="str">
            <v>règne guilde</v>
          </cell>
          <cell r="W29">
            <v>-1</v>
          </cell>
          <cell r="X29" t="str">
            <v>village</v>
          </cell>
          <cell r="Z29" t="str">
            <v>pauvre</v>
          </cell>
          <cell r="AA29">
            <v>0.8</v>
          </cell>
          <cell r="AB29" t="str">
            <v>noblesse</v>
          </cell>
          <cell r="AC29" t="str">
            <v>marché</v>
          </cell>
          <cell r="AD29">
            <v>0</v>
          </cell>
          <cell r="AE29">
            <v>0</v>
          </cell>
          <cell r="AF29">
            <v>40</v>
          </cell>
          <cell r="AG29" t="str">
            <v>moyenne</v>
          </cell>
          <cell r="AH29">
            <v>1</v>
          </cell>
          <cell r="AI29" t="str">
            <v>grosse pierre</v>
          </cell>
          <cell r="AJ29" t="str">
            <v>douves</v>
          </cell>
          <cell r="AM29">
            <v>2</v>
          </cell>
          <cell r="AZ29" t="str">
            <v>sculpture</v>
          </cell>
        </row>
        <row r="30">
          <cell r="A30">
            <v>30</v>
          </cell>
          <cell r="B30" t="str">
            <v>cours d'eau</v>
          </cell>
          <cell r="D30" t="str">
            <v>minerai</v>
          </cell>
          <cell r="E30" t="str">
            <v>élevage</v>
          </cell>
          <cell r="F30" t="str">
            <v>chasse</v>
          </cell>
          <cell r="G30" t="str">
            <v>chasse</v>
          </cell>
          <cell r="H30" t="str">
            <v>minerai</v>
          </cell>
          <cell r="I30" t="str">
            <v>élevage</v>
          </cell>
          <cell r="J30" t="str">
            <v>élevage</v>
          </cell>
          <cell r="K30" t="str">
            <v>élevage</v>
          </cell>
          <cell r="L30" t="str">
            <v>agriculture</v>
          </cell>
          <cell r="M30" t="str">
            <v>pêche</v>
          </cell>
          <cell r="N30" t="str">
            <v>élevage</v>
          </cell>
          <cell r="O30" t="str">
            <v>minerai</v>
          </cell>
          <cell r="P30" t="str">
            <v>élevage</v>
          </cell>
          <cell r="Q30" t="str">
            <v>peaux</v>
          </cell>
          <cell r="R30" t="str">
            <v>fourrures</v>
          </cell>
          <cell r="S30" t="str">
            <v>commerce</v>
          </cell>
          <cell r="T30" t="str">
            <v>guildes</v>
          </cell>
          <cell r="U30" t="str">
            <v>règne guilde</v>
          </cell>
          <cell r="W30">
            <v>-1</v>
          </cell>
          <cell r="X30" t="str">
            <v>village</v>
          </cell>
          <cell r="Z30" t="str">
            <v>pauvre</v>
          </cell>
          <cell r="AA30">
            <v>0.8</v>
          </cell>
          <cell r="AB30" t="str">
            <v>noblesse</v>
          </cell>
          <cell r="AC30" t="str">
            <v>marché</v>
          </cell>
          <cell r="AD30">
            <v>0</v>
          </cell>
          <cell r="AE30">
            <v>0</v>
          </cell>
          <cell r="AF30">
            <v>40</v>
          </cell>
          <cell r="AG30" t="str">
            <v>moyenne</v>
          </cell>
          <cell r="AH30">
            <v>1</v>
          </cell>
          <cell r="AI30" t="str">
            <v>grosse pierre</v>
          </cell>
          <cell r="AJ30" t="str">
            <v>douves</v>
          </cell>
          <cell r="AM30">
            <v>2</v>
          </cell>
          <cell r="AZ30" t="str">
            <v>unique</v>
          </cell>
        </row>
        <row r="31">
          <cell r="A31">
            <v>31</v>
          </cell>
          <cell r="B31" t="str">
            <v>cours d'eau</v>
          </cell>
          <cell r="C31">
            <v>0</v>
          </cell>
          <cell r="D31" t="str">
            <v>minerai</v>
          </cell>
          <cell r="E31" t="str">
            <v>élevage</v>
          </cell>
          <cell r="F31" t="str">
            <v>chasse</v>
          </cell>
          <cell r="G31" t="str">
            <v>chasse</v>
          </cell>
          <cell r="H31" t="str">
            <v>minerai</v>
          </cell>
          <cell r="I31" t="str">
            <v>élevage</v>
          </cell>
          <cell r="J31" t="str">
            <v>élevage</v>
          </cell>
          <cell r="K31" t="str">
            <v>élevage</v>
          </cell>
          <cell r="L31" t="str">
            <v>agriculture</v>
          </cell>
          <cell r="M31" t="str">
            <v>pêche</v>
          </cell>
          <cell r="N31" t="str">
            <v>élevage</v>
          </cell>
          <cell r="O31" t="str">
            <v>minerai</v>
          </cell>
          <cell r="P31" t="str">
            <v>élevage</v>
          </cell>
          <cell r="Q31" t="str">
            <v>tissu</v>
          </cell>
          <cell r="R31" t="str">
            <v>tapisserie</v>
          </cell>
          <cell r="S31" t="str">
            <v>commerce</v>
          </cell>
          <cell r="T31" t="str">
            <v>guildes</v>
          </cell>
          <cell r="U31" t="str">
            <v>règne guilde</v>
          </cell>
          <cell r="W31">
            <v>-1</v>
          </cell>
          <cell r="X31" t="str">
            <v>village</v>
          </cell>
          <cell r="Z31" t="str">
            <v>pauvre</v>
          </cell>
          <cell r="AA31">
            <v>0.8</v>
          </cell>
          <cell r="AB31" t="str">
            <v>noblesse</v>
          </cell>
          <cell r="AC31" t="str">
            <v>marché</v>
          </cell>
          <cell r="AD31">
            <v>0</v>
          </cell>
          <cell r="AE31">
            <v>0</v>
          </cell>
          <cell r="AF31">
            <v>40</v>
          </cell>
          <cell r="AG31" t="str">
            <v>moyenne</v>
          </cell>
          <cell r="AH31">
            <v>1</v>
          </cell>
          <cell r="AI31" t="str">
            <v>grosse pierre</v>
          </cell>
          <cell r="AJ31" t="str">
            <v>escarpe</v>
          </cell>
          <cell r="AM31">
            <v>3</v>
          </cell>
          <cell r="AZ31" t="str">
            <v>université</v>
          </cell>
        </row>
        <row r="32">
          <cell r="A32">
            <v>32</v>
          </cell>
          <cell r="B32" t="str">
            <v>cours d'eau</v>
          </cell>
          <cell r="C32" t="str">
            <v>caverne</v>
          </cell>
          <cell r="D32" t="str">
            <v>minerai</v>
          </cell>
          <cell r="E32" t="str">
            <v>élevage</v>
          </cell>
          <cell r="F32" t="str">
            <v>chasse</v>
          </cell>
          <cell r="G32" t="str">
            <v>chasse</v>
          </cell>
          <cell r="H32" t="str">
            <v>minerai</v>
          </cell>
          <cell r="I32" t="str">
            <v>élevage</v>
          </cell>
          <cell r="J32" t="str">
            <v>élevage</v>
          </cell>
          <cell r="K32" t="str">
            <v>élevage</v>
          </cell>
          <cell r="L32" t="str">
            <v>agriculture</v>
          </cell>
          <cell r="M32" t="str">
            <v>pêche</v>
          </cell>
          <cell r="N32" t="str">
            <v>élevage</v>
          </cell>
          <cell r="O32" t="str">
            <v>minerai</v>
          </cell>
          <cell r="P32" t="str">
            <v>élevage</v>
          </cell>
          <cell r="Q32" t="str">
            <v>tissu</v>
          </cell>
          <cell r="R32" t="str">
            <v>tapisserie</v>
          </cell>
          <cell r="S32" t="str">
            <v>commerce</v>
          </cell>
          <cell r="T32" t="str">
            <v>guildes</v>
          </cell>
          <cell r="U32" t="str">
            <v>règne guilde</v>
          </cell>
          <cell r="W32">
            <v>-1</v>
          </cell>
          <cell r="X32" t="str">
            <v>village</v>
          </cell>
          <cell r="Z32" t="str">
            <v>pauvre</v>
          </cell>
          <cell r="AA32">
            <v>0.8</v>
          </cell>
          <cell r="AB32" t="str">
            <v>noblesse</v>
          </cell>
          <cell r="AC32" t="str">
            <v>marché</v>
          </cell>
          <cell r="AD32">
            <v>0</v>
          </cell>
          <cell r="AE32">
            <v>0</v>
          </cell>
          <cell r="AF32">
            <v>40</v>
          </cell>
          <cell r="AG32" t="str">
            <v>moyenne</v>
          </cell>
          <cell r="AH32">
            <v>1</v>
          </cell>
          <cell r="AI32" t="str">
            <v>grosse pierre</v>
          </cell>
          <cell r="AJ32" t="str">
            <v>escarpe</v>
          </cell>
          <cell r="AM32">
            <v>3</v>
          </cell>
        </row>
        <row r="33">
          <cell r="A33">
            <v>33</v>
          </cell>
          <cell r="B33" t="str">
            <v>cours d'eau</v>
          </cell>
          <cell r="C33" t="str">
            <v>colline</v>
          </cell>
          <cell r="D33" t="str">
            <v>minerai</v>
          </cell>
          <cell r="E33" t="str">
            <v>élevage</v>
          </cell>
          <cell r="F33" t="str">
            <v>chasse</v>
          </cell>
          <cell r="G33" t="str">
            <v>chasse</v>
          </cell>
          <cell r="H33" t="str">
            <v>minerai</v>
          </cell>
          <cell r="I33" t="str">
            <v>élevage</v>
          </cell>
          <cell r="J33" t="str">
            <v>élevage</v>
          </cell>
          <cell r="K33" t="str">
            <v>élevage</v>
          </cell>
          <cell r="L33" t="str">
            <v>agriculture</v>
          </cell>
          <cell r="M33" t="str">
            <v>pêche</v>
          </cell>
          <cell r="N33" t="str">
            <v>élevage</v>
          </cell>
          <cell r="O33" t="str">
            <v>minerai</v>
          </cell>
          <cell r="P33" t="str">
            <v>élevage</v>
          </cell>
          <cell r="Q33" t="str">
            <v>tissu</v>
          </cell>
          <cell r="R33" t="str">
            <v>tapisserie</v>
          </cell>
          <cell r="S33" t="str">
            <v>commerce</v>
          </cell>
          <cell r="T33" t="str">
            <v>guildes</v>
          </cell>
          <cell r="U33" t="str">
            <v>règne guilde</v>
          </cell>
          <cell r="W33">
            <v>-1</v>
          </cell>
          <cell r="X33" t="str">
            <v>village</v>
          </cell>
          <cell r="Z33" t="str">
            <v>pauvre</v>
          </cell>
          <cell r="AA33">
            <v>0.8</v>
          </cell>
          <cell r="AB33" t="str">
            <v>noblesse</v>
          </cell>
          <cell r="AC33" t="str">
            <v>marché</v>
          </cell>
          <cell r="AD33">
            <v>0</v>
          </cell>
          <cell r="AE33">
            <v>0</v>
          </cell>
          <cell r="AF33">
            <v>40</v>
          </cell>
          <cell r="AG33" t="str">
            <v>moyenne</v>
          </cell>
          <cell r="AH33">
            <v>1</v>
          </cell>
          <cell r="AI33" t="str">
            <v>grosse pierre</v>
          </cell>
          <cell r="AJ33" t="str">
            <v>escarpe</v>
          </cell>
          <cell r="AM33">
            <v>3</v>
          </cell>
        </row>
        <row r="34">
          <cell r="A34">
            <v>34</v>
          </cell>
          <cell r="B34" t="str">
            <v>cours d'eau</v>
          </cell>
          <cell r="C34" t="str">
            <v>côte/lac</v>
          </cell>
          <cell r="D34" t="str">
            <v>minerai</v>
          </cell>
          <cell r="E34" t="str">
            <v>élevage</v>
          </cell>
          <cell r="F34" t="str">
            <v>élevage</v>
          </cell>
          <cell r="G34" t="str">
            <v>chasse</v>
          </cell>
          <cell r="H34" t="str">
            <v>minerai</v>
          </cell>
          <cell r="I34" t="str">
            <v>élevage</v>
          </cell>
          <cell r="J34" t="str">
            <v>agriculture</v>
          </cell>
          <cell r="K34" t="str">
            <v>élevage</v>
          </cell>
          <cell r="L34" t="str">
            <v>agriculture</v>
          </cell>
          <cell r="M34" t="str">
            <v>pêche</v>
          </cell>
          <cell r="N34" t="str">
            <v>élevage</v>
          </cell>
          <cell r="O34" t="str">
            <v>minerai</v>
          </cell>
          <cell r="P34" t="str">
            <v>élevage</v>
          </cell>
          <cell r="Q34" t="str">
            <v>tissu</v>
          </cell>
          <cell r="R34" t="str">
            <v>tapisserie</v>
          </cell>
          <cell r="S34" t="str">
            <v>architecture</v>
          </cell>
          <cell r="T34" t="str">
            <v>sculpture</v>
          </cell>
          <cell r="U34" t="str">
            <v>fresque</v>
          </cell>
          <cell r="W34">
            <v>-1</v>
          </cell>
          <cell r="X34" t="str">
            <v>village</v>
          </cell>
          <cell r="Z34" t="str">
            <v>pauvre</v>
          </cell>
          <cell r="AA34">
            <v>0.8</v>
          </cell>
          <cell r="AB34" t="str">
            <v>noblesse</v>
          </cell>
          <cell r="AC34" t="str">
            <v>marché</v>
          </cell>
          <cell r="AD34">
            <v>0</v>
          </cell>
          <cell r="AE34">
            <v>0</v>
          </cell>
          <cell r="AF34">
            <v>40</v>
          </cell>
          <cell r="AG34" t="str">
            <v>moyenne</v>
          </cell>
          <cell r="AH34">
            <v>1</v>
          </cell>
          <cell r="AI34" t="str">
            <v>grosse pierre</v>
          </cell>
          <cell r="AJ34" t="str">
            <v>escarpe</v>
          </cell>
          <cell r="AM34">
            <v>3</v>
          </cell>
        </row>
        <row r="35">
          <cell r="A35">
            <v>35</v>
          </cell>
          <cell r="B35" t="str">
            <v>cours d'eau</v>
          </cell>
          <cell r="C35" t="str">
            <v>cours d'eau</v>
          </cell>
          <cell r="D35" t="str">
            <v>minerai</v>
          </cell>
          <cell r="E35" t="str">
            <v>élevage</v>
          </cell>
          <cell r="F35" t="str">
            <v>élevage</v>
          </cell>
          <cell r="G35" t="str">
            <v>chasse</v>
          </cell>
          <cell r="H35" t="str">
            <v>minerai</v>
          </cell>
          <cell r="I35" t="str">
            <v>agriculture</v>
          </cell>
          <cell r="J35" t="str">
            <v>agriculture</v>
          </cell>
          <cell r="K35" t="str">
            <v>agriculture</v>
          </cell>
          <cell r="L35" t="str">
            <v>agriculture</v>
          </cell>
          <cell r="M35" t="str">
            <v>pêche</v>
          </cell>
          <cell r="N35" t="str">
            <v>élevage</v>
          </cell>
          <cell r="O35" t="str">
            <v>minerai</v>
          </cell>
          <cell r="P35" t="str">
            <v>élevage</v>
          </cell>
          <cell r="Q35" t="str">
            <v>tissu</v>
          </cell>
          <cell r="R35" t="str">
            <v>tapisserie</v>
          </cell>
          <cell r="S35" t="str">
            <v>architecture</v>
          </cell>
          <cell r="T35" t="str">
            <v>sculpture</v>
          </cell>
          <cell r="U35" t="str">
            <v>fresque</v>
          </cell>
          <cell r="W35">
            <v>-1</v>
          </cell>
          <cell r="X35" t="str">
            <v>village</v>
          </cell>
          <cell r="Z35" t="str">
            <v>pauvre</v>
          </cell>
          <cell r="AA35">
            <v>0.8</v>
          </cell>
          <cell r="AB35" t="str">
            <v>noblesse</v>
          </cell>
          <cell r="AC35" t="str">
            <v>marché</v>
          </cell>
          <cell r="AD35">
            <v>0</v>
          </cell>
          <cell r="AE35">
            <v>0</v>
          </cell>
          <cell r="AF35">
            <v>40</v>
          </cell>
          <cell r="AG35" t="str">
            <v>moyenne</v>
          </cell>
          <cell r="AH35">
            <v>1</v>
          </cell>
          <cell r="AI35" t="str">
            <v>grosse pierre</v>
          </cell>
          <cell r="AJ35" t="str">
            <v>escarpe</v>
          </cell>
          <cell r="AM35">
            <v>3</v>
          </cell>
        </row>
        <row r="36">
          <cell r="A36">
            <v>36</v>
          </cell>
          <cell r="B36" t="str">
            <v>cours d'eau</v>
          </cell>
          <cell r="C36" t="str">
            <v>désert</v>
          </cell>
          <cell r="D36" t="str">
            <v>minerai</v>
          </cell>
          <cell r="E36" t="str">
            <v>agriculture</v>
          </cell>
          <cell r="F36" t="str">
            <v>élevage</v>
          </cell>
          <cell r="G36" t="str">
            <v>chasse</v>
          </cell>
          <cell r="H36" t="str">
            <v>minerai</v>
          </cell>
          <cell r="I36" t="str">
            <v>agriculture</v>
          </cell>
          <cell r="J36" t="str">
            <v>agriculture</v>
          </cell>
          <cell r="K36" t="str">
            <v>agriculture</v>
          </cell>
          <cell r="L36" t="str">
            <v>minerai</v>
          </cell>
          <cell r="M36" t="str">
            <v>pêche</v>
          </cell>
          <cell r="N36" t="str">
            <v>agriculture</v>
          </cell>
          <cell r="O36" t="str">
            <v>minerai</v>
          </cell>
          <cell r="P36" t="str">
            <v>élevage</v>
          </cell>
          <cell r="Q36" t="str">
            <v>tissu</v>
          </cell>
          <cell r="R36" t="str">
            <v>tapisserie</v>
          </cell>
          <cell r="S36" t="str">
            <v>architecture</v>
          </cell>
          <cell r="T36" t="str">
            <v>sculpture</v>
          </cell>
          <cell r="U36" t="str">
            <v>fresque</v>
          </cell>
          <cell r="W36">
            <v>-1</v>
          </cell>
          <cell r="X36" t="str">
            <v>village</v>
          </cell>
          <cell r="Z36" t="str">
            <v>pauvre</v>
          </cell>
          <cell r="AA36">
            <v>0.8</v>
          </cell>
          <cell r="AB36" t="str">
            <v>noblesse</v>
          </cell>
          <cell r="AC36" t="str">
            <v>marché</v>
          </cell>
          <cell r="AD36">
            <v>0</v>
          </cell>
          <cell r="AE36">
            <v>0</v>
          </cell>
          <cell r="AF36">
            <v>40</v>
          </cell>
          <cell r="AG36" t="str">
            <v>moyenne</v>
          </cell>
          <cell r="AH36">
            <v>1</v>
          </cell>
          <cell r="AI36" t="str">
            <v>grosse pierre</v>
          </cell>
          <cell r="AJ36" t="str">
            <v>fossé</v>
          </cell>
          <cell r="AM36">
            <v>3</v>
          </cell>
        </row>
        <row r="37">
          <cell r="A37">
            <v>37</v>
          </cell>
          <cell r="B37" t="str">
            <v>cours d'eau</v>
          </cell>
          <cell r="C37" t="str">
            <v>forêt</v>
          </cell>
          <cell r="D37" t="str">
            <v>minerai</v>
          </cell>
          <cell r="E37" t="str">
            <v>agriculture</v>
          </cell>
          <cell r="F37" t="str">
            <v>élevage</v>
          </cell>
          <cell r="G37" t="str">
            <v>élevage</v>
          </cell>
          <cell r="H37" t="str">
            <v>minerai</v>
          </cell>
          <cell r="I37" t="str">
            <v>agriculture</v>
          </cell>
          <cell r="J37" t="str">
            <v>agriculture</v>
          </cell>
          <cell r="K37" t="str">
            <v>agriculture</v>
          </cell>
          <cell r="L37" t="str">
            <v>minerai</v>
          </cell>
          <cell r="M37" t="str">
            <v>pêche</v>
          </cell>
          <cell r="N37" t="str">
            <v>agriculture</v>
          </cell>
          <cell r="O37" t="str">
            <v>minerai</v>
          </cell>
          <cell r="P37" t="str">
            <v>élevage</v>
          </cell>
          <cell r="Q37" t="str">
            <v>tissu</v>
          </cell>
          <cell r="R37" t="str">
            <v>tapisserie</v>
          </cell>
          <cell r="S37" t="str">
            <v>architecture</v>
          </cell>
          <cell r="T37" t="str">
            <v>sculpture</v>
          </cell>
          <cell r="U37" t="str">
            <v>fresque</v>
          </cell>
          <cell r="W37">
            <v>-1</v>
          </cell>
          <cell r="X37" t="str">
            <v>village</v>
          </cell>
          <cell r="Z37" t="str">
            <v>pauvre</v>
          </cell>
          <cell r="AA37">
            <v>0.8</v>
          </cell>
          <cell r="AB37" t="str">
            <v>noblesse</v>
          </cell>
          <cell r="AC37" t="str">
            <v>marché</v>
          </cell>
          <cell r="AD37">
            <v>0</v>
          </cell>
          <cell r="AE37">
            <v>0</v>
          </cell>
          <cell r="AF37">
            <v>40</v>
          </cell>
          <cell r="AG37" t="str">
            <v>moyenne</v>
          </cell>
          <cell r="AH37">
            <v>1</v>
          </cell>
          <cell r="AI37" t="str">
            <v>grosse pierre</v>
          </cell>
          <cell r="AJ37" t="str">
            <v>fossé</v>
          </cell>
          <cell r="AM37">
            <v>3</v>
          </cell>
        </row>
        <row r="38">
          <cell r="A38">
            <v>38</v>
          </cell>
          <cell r="B38" t="str">
            <v>cours d'eau</v>
          </cell>
          <cell r="C38" t="str">
            <v>marais</v>
          </cell>
          <cell r="D38" t="str">
            <v>minerai</v>
          </cell>
          <cell r="E38" t="str">
            <v>agriculture</v>
          </cell>
          <cell r="F38" t="str">
            <v>élevage</v>
          </cell>
          <cell r="G38" t="str">
            <v>élevage</v>
          </cell>
          <cell r="H38" t="str">
            <v>minerai</v>
          </cell>
          <cell r="I38" t="str">
            <v>agriculture</v>
          </cell>
          <cell r="J38" t="str">
            <v>minerai</v>
          </cell>
          <cell r="K38" t="str">
            <v>minerai</v>
          </cell>
          <cell r="L38" t="str">
            <v>minerai</v>
          </cell>
          <cell r="M38" t="str">
            <v>pêche</v>
          </cell>
          <cell r="N38" t="str">
            <v>agriculture</v>
          </cell>
          <cell r="O38" t="str">
            <v>minerai</v>
          </cell>
          <cell r="P38" t="str">
            <v>élevage</v>
          </cell>
          <cell r="Q38" t="str">
            <v>tissu</v>
          </cell>
          <cell r="R38" t="str">
            <v>tapisserie</v>
          </cell>
          <cell r="S38" t="str">
            <v>architecture</v>
          </cell>
          <cell r="T38" t="str">
            <v>sculpture</v>
          </cell>
          <cell r="U38" t="str">
            <v>fresque</v>
          </cell>
          <cell r="W38">
            <v>-1</v>
          </cell>
          <cell r="X38" t="str">
            <v>village</v>
          </cell>
          <cell r="Z38" t="str">
            <v>pauvre</v>
          </cell>
          <cell r="AA38">
            <v>0.8</v>
          </cell>
          <cell r="AB38" t="str">
            <v>noblesse</v>
          </cell>
          <cell r="AC38" t="str">
            <v>marché</v>
          </cell>
          <cell r="AD38">
            <v>0</v>
          </cell>
          <cell r="AE38">
            <v>0</v>
          </cell>
          <cell r="AF38">
            <v>40</v>
          </cell>
          <cell r="AG38" t="str">
            <v>moyenne</v>
          </cell>
          <cell r="AH38">
            <v>1</v>
          </cell>
          <cell r="AI38" t="str">
            <v>grosse pierre</v>
          </cell>
          <cell r="AJ38" t="str">
            <v>fossé</v>
          </cell>
          <cell r="AM38">
            <v>3</v>
          </cell>
        </row>
        <row r="39">
          <cell r="A39">
            <v>39</v>
          </cell>
          <cell r="B39" t="str">
            <v>cours d'eau</v>
          </cell>
          <cell r="C39" t="str">
            <v>montagne</v>
          </cell>
          <cell r="D39" t="str">
            <v>minerai</v>
          </cell>
          <cell r="E39" t="str">
            <v>agriculture</v>
          </cell>
          <cell r="F39" t="str">
            <v>élevage</v>
          </cell>
          <cell r="G39" t="str">
            <v>élevage</v>
          </cell>
          <cell r="H39" t="str">
            <v>minerai</v>
          </cell>
          <cell r="I39" t="str">
            <v>agriculture</v>
          </cell>
          <cell r="J39" t="str">
            <v>minerai</v>
          </cell>
          <cell r="K39" t="str">
            <v>minerai</v>
          </cell>
          <cell r="L39" t="str">
            <v>minerai</v>
          </cell>
          <cell r="M39" t="str">
            <v>pêche</v>
          </cell>
          <cell r="N39" t="str">
            <v>agriculture</v>
          </cell>
          <cell r="O39" t="str">
            <v>minerai</v>
          </cell>
          <cell r="P39" t="str">
            <v>agriculture</v>
          </cell>
          <cell r="Q39" t="str">
            <v>tissu</v>
          </cell>
          <cell r="R39" t="str">
            <v>tapisserie</v>
          </cell>
          <cell r="S39" t="str">
            <v>architecture</v>
          </cell>
          <cell r="T39" t="str">
            <v>sculpture</v>
          </cell>
          <cell r="U39" t="str">
            <v>fresque</v>
          </cell>
          <cell r="W39">
            <v>-1</v>
          </cell>
          <cell r="X39" t="str">
            <v>village</v>
          </cell>
          <cell r="Z39" t="str">
            <v>pauvre</v>
          </cell>
          <cell r="AA39">
            <v>0.8</v>
          </cell>
          <cell r="AB39" t="str">
            <v>noblesse</v>
          </cell>
          <cell r="AC39" t="str">
            <v>marché</v>
          </cell>
          <cell r="AD39">
            <v>0</v>
          </cell>
          <cell r="AE39">
            <v>0</v>
          </cell>
          <cell r="AF39">
            <v>40</v>
          </cell>
          <cell r="AG39" t="str">
            <v>moyenne</v>
          </cell>
          <cell r="AH39">
            <v>1</v>
          </cell>
          <cell r="AI39" t="str">
            <v>grosse pierre</v>
          </cell>
          <cell r="AJ39" t="str">
            <v>fossé</v>
          </cell>
          <cell r="AM39">
            <v>3</v>
          </cell>
        </row>
        <row r="40">
          <cell r="A40">
            <v>40</v>
          </cell>
          <cell r="B40" t="str">
            <v>cours d'eau</v>
          </cell>
          <cell r="C40" t="str">
            <v>océan</v>
          </cell>
          <cell r="D40" t="str">
            <v>minerai</v>
          </cell>
          <cell r="E40" t="str">
            <v>agriculture</v>
          </cell>
          <cell r="F40" t="str">
            <v>élevage</v>
          </cell>
          <cell r="G40" t="str">
            <v>élevage</v>
          </cell>
          <cell r="H40" t="str">
            <v>minerai</v>
          </cell>
          <cell r="I40" t="str">
            <v>minerai</v>
          </cell>
          <cell r="J40" t="str">
            <v>minerai</v>
          </cell>
          <cell r="K40" t="str">
            <v>pierre</v>
          </cell>
          <cell r="L40" t="str">
            <v>minerai</v>
          </cell>
          <cell r="M40" t="str">
            <v>chasse</v>
          </cell>
          <cell r="N40" t="str">
            <v>agriculture</v>
          </cell>
          <cell r="O40" t="str">
            <v>minerai</v>
          </cell>
          <cell r="P40" t="str">
            <v>agriculture</v>
          </cell>
          <cell r="Q40" t="str">
            <v>tissu</v>
          </cell>
          <cell r="R40" t="str">
            <v>tapisserie</v>
          </cell>
          <cell r="S40" t="str">
            <v>architecture</v>
          </cell>
          <cell r="T40" t="str">
            <v>sculpture</v>
          </cell>
          <cell r="U40" t="str">
            <v>fresque</v>
          </cell>
          <cell r="W40">
            <v>-1</v>
          </cell>
          <cell r="X40" t="str">
            <v>village</v>
          </cell>
          <cell r="Z40" t="str">
            <v>moyenne</v>
          </cell>
          <cell r="AA40">
            <v>1</v>
          </cell>
          <cell r="AB40" t="str">
            <v>noblesse</v>
          </cell>
          <cell r="AC40" t="str">
            <v>marché</v>
          </cell>
          <cell r="AD40">
            <v>0</v>
          </cell>
          <cell r="AE40">
            <v>0</v>
          </cell>
          <cell r="AF40">
            <v>40</v>
          </cell>
          <cell r="AG40" t="str">
            <v>moyenne</v>
          </cell>
          <cell r="AH40">
            <v>1</v>
          </cell>
          <cell r="AI40" t="str">
            <v>grosse pierre</v>
          </cell>
          <cell r="AJ40" t="str">
            <v>fossé</v>
          </cell>
          <cell r="AM40">
            <v>3</v>
          </cell>
        </row>
        <row r="41">
          <cell r="A41">
            <v>41</v>
          </cell>
          <cell r="B41" t="str">
            <v>cours d'eau</v>
          </cell>
          <cell r="C41" t="str">
            <v>plaine</v>
          </cell>
          <cell r="D41" t="str">
            <v>pierre</v>
          </cell>
          <cell r="E41" t="str">
            <v>agriculture</v>
          </cell>
          <cell r="F41" t="str">
            <v>élevage</v>
          </cell>
          <cell r="G41" t="str">
            <v>élevage</v>
          </cell>
          <cell r="H41" t="str">
            <v>pierre</v>
          </cell>
          <cell r="I41" t="str">
            <v>minerai</v>
          </cell>
          <cell r="J41" t="str">
            <v>minerai</v>
          </cell>
          <cell r="K41" t="str">
            <v>pierre</v>
          </cell>
          <cell r="L41" t="str">
            <v>minerai</v>
          </cell>
          <cell r="M41" t="str">
            <v>chasse</v>
          </cell>
          <cell r="N41" t="str">
            <v>agriculture</v>
          </cell>
          <cell r="O41" t="str">
            <v>minerai</v>
          </cell>
          <cell r="P41" t="str">
            <v>agriculture</v>
          </cell>
          <cell r="Q41" t="str">
            <v>tissu</v>
          </cell>
          <cell r="R41" t="str">
            <v>tapisserie</v>
          </cell>
          <cell r="S41" t="str">
            <v>architecture</v>
          </cell>
          <cell r="T41" t="str">
            <v>sculpture</v>
          </cell>
          <cell r="U41" t="str">
            <v>fresque</v>
          </cell>
          <cell r="W41">
            <v>-1</v>
          </cell>
          <cell r="X41" t="str">
            <v>village</v>
          </cell>
          <cell r="Z41" t="str">
            <v>moyenne</v>
          </cell>
          <cell r="AA41">
            <v>1</v>
          </cell>
          <cell r="AB41" t="str">
            <v>noblesse</v>
          </cell>
          <cell r="AC41" t="str">
            <v>marché</v>
          </cell>
          <cell r="AD41">
            <v>0</v>
          </cell>
          <cell r="AE41">
            <v>0</v>
          </cell>
          <cell r="AF41">
            <v>40</v>
          </cell>
          <cell r="AG41" t="str">
            <v>moyenne</v>
          </cell>
          <cell r="AH41">
            <v>1</v>
          </cell>
          <cell r="AI41" t="str">
            <v>grosse pierre</v>
          </cell>
          <cell r="AJ41" t="str">
            <v>fossé</v>
          </cell>
          <cell r="AM41">
            <v>3</v>
          </cell>
        </row>
        <row r="42">
          <cell r="A42">
            <v>42</v>
          </cell>
          <cell r="B42" t="str">
            <v>cours d'eau</v>
          </cell>
          <cell r="C42" t="str">
            <v>souterrain</v>
          </cell>
          <cell r="D42" t="str">
            <v>pierre</v>
          </cell>
          <cell r="E42" t="str">
            <v>agriculture</v>
          </cell>
          <cell r="F42" t="str">
            <v>élevage</v>
          </cell>
          <cell r="G42" t="str">
            <v>élevage</v>
          </cell>
          <cell r="H42" t="str">
            <v>pierre</v>
          </cell>
          <cell r="I42" t="str">
            <v>minerai</v>
          </cell>
          <cell r="J42" t="str">
            <v>pierre</v>
          </cell>
          <cell r="K42" t="str">
            <v>bois</v>
          </cell>
          <cell r="L42" t="str">
            <v>minerai</v>
          </cell>
          <cell r="M42" t="str">
            <v>chasse</v>
          </cell>
          <cell r="N42" t="str">
            <v>agriculture</v>
          </cell>
          <cell r="O42" t="str">
            <v>minerai</v>
          </cell>
          <cell r="P42" t="str">
            <v>agriculture</v>
          </cell>
          <cell r="Q42" t="str">
            <v>tissu</v>
          </cell>
          <cell r="R42" t="str">
            <v>tapisserie</v>
          </cell>
          <cell r="S42" t="str">
            <v>architecture</v>
          </cell>
          <cell r="T42" t="str">
            <v>sculpture</v>
          </cell>
          <cell r="U42" t="str">
            <v>fresque</v>
          </cell>
          <cell r="W42">
            <v>-1</v>
          </cell>
          <cell r="X42" t="str">
            <v>village</v>
          </cell>
          <cell r="Z42" t="str">
            <v>moyenne</v>
          </cell>
          <cell r="AA42">
            <v>1</v>
          </cell>
          <cell r="AB42" t="str">
            <v>noblesse</v>
          </cell>
          <cell r="AC42" t="str">
            <v>marché</v>
          </cell>
          <cell r="AD42">
            <v>0</v>
          </cell>
          <cell r="AE42">
            <v>0</v>
          </cell>
          <cell r="AF42">
            <v>40</v>
          </cell>
          <cell r="AG42" t="str">
            <v>moyenne</v>
          </cell>
          <cell r="AH42">
            <v>1</v>
          </cell>
          <cell r="AI42" t="str">
            <v>grosse pierre</v>
          </cell>
          <cell r="AJ42" t="str">
            <v>fossé</v>
          </cell>
          <cell r="AM42">
            <v>3</v>
          </cell>
        </row>
        <row r="43">
          <cell r="A43">
            <v>43</v>
          </cell>
          <cell r="B43" t="str">
            <v>cours d'eau</v>
          </cell>
          <cell r="C43" t="str">
            <v>steppe</v>
          </cell>
          <cell r="D43" t="str">
            <v>pierre</v>
          </cell>
          <cell r="E43" t="str">
            <v>agriculture</v>
          </cell>
          <cell r="F43" t="str">
            <v>élevage</v>
          </cell>
          <cell r="G43" t="str">
            <v>élevage</v>
          </cell>
          <cell r="H43" t="str">
            <v>pierre</v>
          </cell>
          <cell r="I43" t="str">
            <v>minerai</v>
          </cell>
          <cell r="J43" t="str">
            <v>pierre</v>
          </cell>
          <cell r="K43" t="str">
            <v>bois</v>
          </cell>
          <cell r="L43" t="str">
            <v>minerai</v>
          </cell>
          <cell r="M43" t="str">
            <v>chasse</v>
          </cell>
          <cell r="N43" t="str">
            <v>agriculture</v>
          </cell>
          <cell r="O43" t="str">
            <v>minerai</v>
          </cell>
          <cell r="P43" t="str">
            <v>agriculture</v>
          </cell>
          <cell r="Q43" t="str">
            <v>arme</v>
          </cell>
          <cell r="R43" t="str">
            <v>joute</v>
          </cell>
          <cell r="S43" t="str">
            <v>architecture</v>
          </cell>
          <cell r="T43" t="str">
            <v>sculpture</v>
          </cell>
          <cell r="U43" t="str">
            <v>fresque</v>
          </cell>
          <cell r="W43">
            <v>-1</v>
          </cell>
          <cell r="X43" t="str">
            <v>village</v>
          </cell>
          <cell r="Z43" t="str">
            <v>moyenne</v>
          </cell>
          <cell r="AA43">
            <v>1</v>
          </cell>
          <cell r="AB43" t="str">
            <v>noblesse</v>
          </cell>
          <cell r="AC43" t="str">
            <v>marché</v>
          </cell>
          <cell r="AD43">
            <v>0</v>
          </cell>
          <cell r="AE43">
            <v>0</v>
          </cell>
          <cell r="AF43">
            <v>40</v>
          </cell>
          <cell r="AG43" t="str">
            <v>moyenne</v>
          </cell>
          <cell r="AH43">
            <v>1</v>
          </cell>
          <cell r="AI43" t="str">
            <v>grosse pierre</v>
          </cell>
          <cell r="AJ43" t="str">
            <v>fossé</v>
          </cell>
          <cell r="AM43">
            <v>3</v>
          </cell>
        </row>
        <row r="44">
          <cell r="A44">
            <v>44</v>
          </cell>
          <cell r="B44" t="str">
            <v>cours d'eau</v>
          </cell>
          <cell r="D44" t="str">
            <v>pierre</v>
          </cell>
          <cell r="E44" t="str">
            <v>agriculture</v>
          </cell>
          <cell r="F44" t="str">
            <v>élevage</v>
          </cell>
          <cell r="G44" t="str">
            <v>élevage</v>
          </cell>
          <cell r="H44" t="str">
            <v>pierre</v>
          </cell>
          <cell r="I44" t="str">
            <v>minerai</v>
          </cell>
          <cell r="J44" t="str">
            <v>pierre</v>
          </cell>
          <cell r="K44" t="str">
            <v>bois</v>
          </cell>
          <cell r="L44" t="str">
            <v>minerai</v>
          </cell>
          <cell r="M44" t="str">
            <v>chasse</v>
          </cell>
          <cell r="N44" t="str">
            <v>agriculture</v>
          </cell>
          <cell r="O44" t="str">
            <v>pierre</v>
          </cell>
          <cell r="P44" t="str">
            <v>agriculture</v>
          </cell>
          <cell r="Q44" t="str">
            <v>arme</v>
          </cell>
          <cell r="R44" t="str">
            <v>joute</v>
          </cell>
          <cell r="S44" t="str">
            <v>architecture</v>
          </cell>
          <cell r="T44" t="str">
            <v>sculpture</v>
          </cell>
          <cell r="U44" t="str">
            <v>fresque</v>
          </cell>
          <cell r="W44">
            <v>-1</v>
          </cell>
          <cell r="X44" t="str">
            <v>village</v>
          </cell>
          <cell r="Z44" t="str">
            <v>moyenne</v>
          </cell>
          <cell r="AA44">
            <v>1</v>
          </cell>
          <cell r="AB44" t="str">
            <v>noblesse</v>
          </cell>
          <cell r="AC44" t="str">
            <v>marché</v>
          </cell>
          <cell r="AD44">
            <v>0</v>
          </cell>
          <cell r="AE44">
            <v>0</v>
          </cell>
          <cell r="AF44">
            <v>40</v>
          </cell>
          <cell r="AG44" t="str">
            <v>moyenne</v>
          </cell>
          <cell r="AH44">
            <v>1</v>
          </cell>
          <cell r="AI44" t="str">
            <v>grosse pierre</v>
          </cell>
          <cell r="AJ44" t="str">
            <v>fossé</v>
          </cell>
          <cell r="AM44">
            <v>3</v>
          </cell>
        </row>
        <row r="45">
          <cell r="A45">
            <v>45</v>
          </cell>
          <cell r="B45" t="str">
            <v>cours d'eau</v>
          </cell>
          <cell r="D45" t="str">
            <v>pierre</v>
          </cell>
          <cell r="E45" t="str">
            <v>agriculture</v>
          </cell>
          <cell r="F45" t="str">
            <v>élevage</v>
          </cell>
          <cell r="G45" t="str">
            <v>agriculture</v>
          </cell>
          <cell r="H45" t="str">
            <v>pierre</v>
          </cell>
          <cell r="I45" t="str">
            <v>minerai</v>
          </cell>
          <cell r="J45" t="str">
            <v>pierre</v>
          </cell>
          <cell r="K45" t="str">
            <v>bois</v>
          </cell>
          <cell r="L45" t="str">
            <v>minerai</v>
          </cell>
          <cell r="M45" t="str">
            <v>chasse</v>
          </cell>
          <cell r="N45" t="str">
            <v>agriculture</v>
          </cell>
          <cell r="O45" t="str">
            <v>pierre</v>
          </cell>
          <cell r="P45" t="str">
            <v>agriculture</v>
          </cell>
          <cell r="Q45" t="str">
            <v>arme</v>
          </cell>
          <cell r="R45" t="str">
            <v>joute</v>
          </cell>
          <cell r="S45" t="str">
            <v>art noble</v>
          </cell>
          <cell r="T45" t="str">
            <v>art populaire</v>
          </cell>
          <cell r="U45" t="str">
            <v>ésotérisme</v>
          </cell>
          <cell r="W45">
            <v>-1</v>
          </cell>
          <cell r="X45" t="str">
            <v>village</v>
          </cell>
          <cell r="Z45" t="str">
            <v>moyenne</v>
          </cell>
          <cell r="AA45">
            <v>1</v>
          </cell>
          <cell r="AB45" t="str">
            <v>noblesse</v>
          </cell>
          <cell r="AC45" t="str">
            <v>marché</v>
          </cell>
          <cell r="AD45">
            <v>0</v>
          </cell>
          <cell r="AE45">
            <v>0</v>
          </cell>
          <cell r="AF45">
            <v>40</v>
          </cell>
          <cell r="AG45" t="str">
            <v>moyenne</v>
          </cell>
          <cell r="AH45">
            <v>1</v>
          </cell>
          <cell r="AI45" t="str">
            <v>grosse pierre</v>
          </cell>
          <cell r="AJ45" t="str">
            <v>fossé</v>
          </cell>
          <cell r="AM45">
            <v>3</v>
          </cell>
        </row>
        <row r="46">
          <cell r="A46">
            <v>46</v>
          </cell>
          <cell r="B46" t="str">
            <v>cours d'eau</v>
          </cell>
          <cell r="D46" t="str">
            <v>pierre</v>
          </cell>
          <cell r="E46" t="str">
            <v>minerai</v>
          </cell>
          <cell r="F46" t="str">
            <v>agriculture</v>
          </cell>
          <cell r="G46" t="str">
            <v>agriculture</v>
          </cell>
          <cell r="H46" t="str">
            <v>pierre</v>
          </cell>
          <cell r="I46" t="str">
            <v>pierre</v>
          </cell>
          <cell r="J46" t="str">
            <v>bois</v>
          </cell>
          <cell r="K46" t="str">
            <v>bois</v>
          </cell>
          <cell r="L46" t="str">
            <v>minerai</v>
          </cell>
          <cell r="M46" t="str">
            <v>chasse</v>
          </cell>
          <cell r="N46" t="str">
            <v>agriculture</v>
          </cell>
          <cell r="O46" t="str">
            <v>pierre</v>
          </cell>
          <cell r="P46" t="str">
            <v>agriculture</v>
          </cell>
          <cell r="Q46" t="str">
            <v>arme</v>
          </cell>
          <cell r="R46" t="str">
            <v>joute</v>
          </cell>
          <cell r="S46" t="str">
            <v>art noble</v>
          </cell>
          <cell r="T46" t="str">
            <v>art populaire</v>
          </cell>
          <cell r="U46" t="str">
            <v>ésotérisme</v>
          </cell>
          <cell r="W46">
            <v>-1</v>
          </cell>
          <cell r="X46" t="str">
            <v>village</v>
          </cell>
          <cell r="Z46" t="str">
            <v>moyenne</v>
          </cell>
          <cell r="AA46">
            <v>1</v>
          </cell>
          <cell r="AB46" t="str">
            <v>noblesse</v>
          </cell>
          <cell r="AC46" t="str">
            <v>marché</v>
          </cell>
          <cell r="AD46">
            <v>0</v>
          </cell>
          <cell r="AE46">
            <v>0</v>
          </cell>
          <cell r="AF46">
            <v>40</v>
          </cell>
          <cell r="AG46" t="str">
            <v>moyenne</v>
          </cell>
          <cell r="AH46">
            <v>1</v>
          </cell>
          <cell r="AI46" t="str">
            <v>grosse pierre</v>
          </cell>
          <cell r="AJ46" t="str">
            <v>fossé</v>
          </cell>
          <cell r="AM46">
            <v>3</v>
          </cell>
        </row>
        <row r="47">
          <cell r="A47">
            <v>47</v>
          </cell>
          <cell r="B47" t="str">
            <v>cours d'eau</v>
          </cell>
          <cell r="D47" t="str">
            <v>pierre</v>
          </cell>
          <cell r="E47" t="str">
            <v>minerai</v>
          </cell>
          <cell r="F47" t="str">
            <v>agriculture</v>
          </cell>
          <cell r="G47" t="str">
            <v>agriculture</v>
          </cell>
          <cell r="H47" t="str">
            <v>pierre</v>
          </cell>
          <cell r="I47" t="str">
            <v>pierre</v>
          </cell>
          <cell r="J47" t="str">
            <v>bois</v>
          </cell>
          <cell r="K47" t="str">
            <v>bois</v>
          </cell>
          <cell r="L47" t="str">
            <v>minerai</v>
          </cell>
          <cell r="M47" t="str">
            <v>chasse</v>
          </cell>
          <cell r="N47" t="str">
            <v>agriculture</v>
          </cell>
          <cell r="O47" t="str">
            <v>pierre</v>
          </cell>
          <cell r="P47" t="str">
            <v>agriculture</v>
          </cell>
          <cell r="Q47" t="str">
            <v>armure</v>
          </cell>
          <cell r="R47" t="str">
            <v>ornements</v>
          </cell>
          <cell r="S47" t="str">
            <v>art noble</v>
          </cell>
          <cell r="T47" t="str">
            <v>art populaire</v>
          </cell>
          <cell r="U47" t="str">
            <v>ésotérisme</v>
          </cell>
          <cell r="W47">
            <v>-1</v>
          </cell>
          <cell r="X47" t="str">
            <v>village</v>
          </cell>
          <cell r="Z47" t="str">
            <v>moyenne</v>
          </cell>
          <cell r="AA47">
            <v>1</v>
          </cell>
          <cell r="AB47" t="str">
            <v>noblesse</v>
          </cell>
          <cell r="AC47" t="str">
            <v>marché</v>
          </cell>
          <cell r="AD47">
            <v>0</v>
          </cell>
          <cell r="AE47">
            <v>0</v>
          </cell>
          <cell r="AF47">
            <v>40</v>
          </cell>
          <cell r="AG47" t="str">
            <v>moyenne</v>
          </cell>
          <cell r="AH47">
            <v>1</v>
          </cell>
          <cell r="AI47" t="str">
            <v>grosse pierre</v>
          </cell>
          <cell r="AJ47" t="str">
            <v>fossé</v>
          </cell>
          <cell r="AM47">
            <v>3</v>
          </cell>
        </row>
        <row r="48">
          <cell r="A48">
            <v>48</v>
          </cell>
          <cell r="B48" t="str">
            <v>cours d'eau</v>
          </cell>
          <cell r="D48" t="str">
            <v>pierre</v>
          </cell>
          <cell r="E48" t="str">
            <v>minerai</v>
          </cell>
          <cell r="F48" t="str">
            <v>agriculture</v>
          </cell>
          <cell r="G48" t="str">
            <v>agriculture</v>
          </cell>
          <cell r="H48" t="str">
            <v>pierre</v>
          </cell>
          <cell r="I48" t="str">
            <v>pierre</v>
          </cell>
          <cell r="J48" t="str">
            <v>bois</v>
          </cell>
          <cell r="K48" t="str">
            <v>bois</v>
          </cell>
          <cell r="L48" t="str">
            <v>minerai</v>
          </cell>
          <cell r="M48" t="str">
            <v>chasse</v>
          </cell>
          <cell r="N48" t="str">
            <v>agriculture</v>
          </cell>
          <cell r="O48" t="str">
            <v>pierre</v>
          </cell>
          <cell r="P48" t="str">
            <v>agriculture</v>
          </cell>
          <cell r="Q48" t="str">
            <v>armure</v>
          </cell>
          <cell r="R48" t="str">
            <v>ornements</v>
          </cell>
          <cell r="S48" t="str">
            <v>art noble</v>
          </cell>
          <cell r="T48" t="str">
            <v>art populaire</v>
          </cell>
          <cell r="U48" t="str">
            <v>ésotérisme</v>
          </cell>
          <cell r="W48">
            <v>-1</v>
          </cell>
          <cell r="X48" t="str">
            <v>isolée</v>
          </cell>
          <cell r="Z48" t="str">
            <v>moyenne</v>
          </cell>
          <cell r="AA48">
            <v>1</v>
          </cell>
          <cell r="AB48" t="str">
            <v>noblesse</v>
          </cell>
          <cell r="AC48" t="str">
            <v>marché</v>
          </cell>
          <cell r="AD48">
            <v>0</v>
          </cell>
          <cell r="AE48">
            <v>0</v>
          </cell>
          <cell r="AF48">
            <v>40</v>
          </cell>
          <cell r="AG48" t="str">
            <v>moyenne</v>
          </cell>
          <cell r="AH48">
            <v>1</v>
          </cell>
          <cell r="AI48" t="str">
            <v>grosse pierre</v>
          </cell>
          <cell r="AJ48" t="str">
            <v>fossé</v>
          </cell>
          <cell r="AM48">
            <v>3</v>
          </cell>
        </row>
        <row r="49">
          <cell r="A49">
            <v>49</v>
          </cell>
          <cell r="B49" t="str">
            <v>cours d'eau</v>
          </cell>
          <cell r="D49" t="str">
            <v>pierre</v>
          </cell>
          <cell r="E49" t="str">
            <v>minerai</v>
          </cell>
          <cell r="F49" t="str">
            <v>agriculture</v>
          </cell>
          <cell r="G49" t="str">
            <v>agriculture</v>
          </cell>
          <cell r="H49" t="str">
            <v>pierre</v>
          </cell>
          <cell r="I49" t="str">
            <v>pierre</v>
          </cell>
          <cell r="J49" t="str">
            <v>bois</v>
          </cell>
          <cell r="K49" t="str">
            <v>bois</v>
          </cell>
          <cell r="L49" t="str">
            <v>pierre</v>
          </cell>
          <cell r="M49" t="str">
            <v>chasse</v>
          </cell>
          <cell r="N49" t="str">
            <v>agriculture</v>
          </cell>
          <cell r="O49" t="str">
            <v>pierre</v>
          </cell>
          <cell r="P49" t="str">
            <v>agriculture</v>
          </cell>
          <cell r="Q49" t="str">
            <v>alcool</v>
          </cell>
          <cell r="R49" t="str">
            <v>tisane</v>
          </cell>
          <cell r="S49" t="str">
            <v>art noble</v>
          </cell>
          <cell r="T49" t="str">
            <v>art populaire</v>
          </cell>
          <cell r="U49" t="str">
            <v>ésotérisme</v>
          </cell>
          <cell r="W49">
            <v>-1</v>
          </cell>
          <cell r="X49" t="str">
            <v>isolée</v>
          </cell>
          <cell r="Z49" t="str">
            <v>moyenne</v>
          </cell>
          <cell r="AA49">
            <v>1</v>
          </cell>
          <cell r="AB49" t="str">
            <v>noblesse</v>
          </cell>
          <cell r="AC49" t="str">
            <v>marché</v>
          </cell>
          <cell r="AD49">
            <v>0</v>
          </cell>
          <cell r="AE49">
            <v>0</v>
          </cell>
          <cell r="AF49">
            <v>40</v>
          </cell>
          <cell r="AG49" t="str">
            <v>moyenne</v>
          </cell>
          <cell r="AH49">
            <v>1</v>
          </cell>
          <cell r="AI49" t="str">
            <v>grosse pierre</v>
          </cell>
          <cell r="AJ49" t="str">
            <v>herse</v>
          </cell>
          <cell r="AM49">
            <v>3</v>
          </cell>
        </row>
        <row r="50">
          <cell r="A50">
            <v>50</v>
          </cell>
          <cell r="B50" t="str">
            <v>cours d'eau</v>
          </cell>
          <cell r="D50" t="str">
            <v>pierre</v>
          </cell>
          <cell r="E50" t="str">
            <v>minerai</v>
          </cell>
          <cell r="F50" t="str">
            <v>agriculture</v>
          </cell>
          <cell r="G50" t="str">
            <v>agriculture</v>
          </cell>
          <cell r="H50" t="str">
            <v>pierre</v>
          </cell>
          <cell r="I50" t="str">
            <v>pierre</v>
          </cell>
          <cell r="J50" t="str">
            <v>bois</v>
          </cell>
          <cell r="K50" t="str">
            <v>bois</v>
          </cell>
          <cell r="L50" t="str">
            <v>pierre</v>
          </cell>
          <cell r="M50" t="str">
            <v>chasse</v>
          </cell>
          <cell r="N50" t="str">
            <v>agriculture</v>
          </cell>
          <cell r="O50" t="str">
            <v>pierre</v>
          </cell>
          <cell r="P50" t="str">
            <v>agriculture</v>
          </cell>
          <cell r="Q50" t="str">
            <v>alcool</v>
          </cell>
          <cell r="R50" t="str">
            <v>tisane</v>
          </cell>
          <cell r="S50" t="str">
            <v>art noble</v>
          </cell>
          <cell r="T50" t="str">
            <v>art populaire</v>
          </cell>
          <cell r="U50" t="str">
            <v>ésotérisme</v>
          </cell>
          <cell r="W50">
            <v>-1</v>
          </cell>
          <cell r="X50" t="str">
            <v>isolée</v>
          </cell>
          <cell r="Z50" t="str">
            <v>moyenne</v>
          </cell>
          <cell r="AA50">
            <v>1</v>
          </cell>
          <cell r="AB50" t="str">
            <v>noblesse</v>
          </cell>
          <cell r="AC50" t="str">
            <v>marché</v>
          </cell>
          <cell r="AD50">
            <v>0</v>
          </cell>
          <cell r="AE50">
            <v>0</v>
          </cell>
          <cell r="AF50">
            <v>40</v>
          </cell>
          <cell r="AG50" t="str">
            <v>moyenne</v>
          </cell>
          <cell r="AH50">
            <v>1</v>
          </cell>
          <cell r="AI50" t="str">
            <v>grosse pierre</v>
          </cell>
          <cell r="AJ50" t="str">
            <v>herse</v>
          </cell>
          <cell r="AM50">
            <v>3</v>
          </cell>
        </row>
        <row r="51">
          <cell r="A51">
            <v>51</v>
          </cell>
          <cell r="B51" t="str">
            <v>cours d'eau</v>
          </cell>
          <cell r="D51" t="str">
            <v>pierre</v>
          </cell>
          <cell r="E51" t="str">
            <v>minerai</v>
          </cell>
          <cell r="F51" t="str">
            <v>agriculture</v>
          </cell>
          <cell r="G51" t="str">
            <v>agriculture</v>
          </cell>
          <cell r="H51" t="str">
            <v>pierre</v>
          </cell>
          <cell r="I51" t="str">
            <v>bois</v>
          </cell>
          <cell r="J51" t="str">
            <v>bois</v>
          </cell>
          <cell r="K51" t="str">
            <v>bois</v>
          </cell>
          <cell r="L51" t="str">
            <v>pierre</v>
          </cell>
          <cell r="M51" t="str">
            <v>chasse</v>
          </cell>
          <cell r="N51" t="str">
            <v>agriculture</v>
          </cell>
          <cell r="O51" t="str">
            <v>pierre</v>
          </cell>
          <cell r="P51" t="str">
            <v>agriculture</v>
          </cell>
          <cell r="Q51" t="str">
            <v>alcool</v>
          </cell>
          <cell r="R51" t="str">
            <v>tisane</v>
          </cell>
          <cell r="S51" t="str">
            <v>art noble</v>
          </cell>
          <cell r="T51" t="str">
            <v>art populaire</v>
          </cell>
          <cell r="U51" t="str">
            <v>ésotérisme</v>
          </cell>
          <cell r="W51">
            <v>-1</v>
          </cell>
          <cell r="X51" t="str">
            <v>basse</v>
          </cell>
          <cell r="Z51" t="str">
            <v>moyenne</v>
          </cell>
          <cell r="AA51">
            <v>1</v>
          </cell>
          <cell r="AB51" t="str">
            <v>noblesse</v>
          </cell>
          <cell r="AC51" t="str">
            <v>grand marché</v>
          </cell>
          <cell r="AD51">
            <v>1</v>
          </cell>
          <cell r="AE51">
            <v>5</v>
          </cell>
          <cell r="AF51">
            <v>20</v>
          </cell>
          <cell r="AG51" t="str">
            <v>moyenne</v>
          </cell>
          <cell r="AH51">
            <v>1</v>
          </cell>
          <cell r="AI51" t="str">
            <v>grosse pierre</v>
          </cell>
          <cell r="AJ51" t="str">
            <v>herse</v>
          </cell>
          <cell r="AM51">
            <v>3</v>
          </cell>
        </row>
        <row r="52">
          <cell r="A52">
            <v>52</v>
          </cell>
          <cell r="B52" t="str">
            <v>cours d'eau</v>
          </cell>
          <cell r="D52" t="str">
            <v>pierre</v>
          </cell>
          <cell r="E52" t="str">
            <v>minerai</v>
          </cell>
          <cell r="F52" t="str">
            <v>agriculture</v>
          </cell>
          <cell r="G52" t="str">
            <v>agriculture</v>
          </cell>
          <cell r="H52" t="str">
            <v>pierre</v>
          </cell>
          <cell r="I52" t="str">
            <v>bois</v>
          </cell>
          <cell r="J52" t="str">
            <v>bois</v>
          </cell>
          <cell r="K52" t="str">
            <v>bois</v>
          </cell>
          <cell r="L52" t="str">
            <v>pierre</v>
          </cell>
          <cell r="M52" t="str">
            <v>chasse</v>
          </cell>
          <cell r="N52" t="str">
            <v>agriculture</v>
          </cell>
          <cell r="O52" t="str">
            <v>pierre</v>
          </cell>
          <cell r="P52" t="str">
            <v>agriculture</v>
          </cell>
          <cell r="Q52" t="str">
            <v>alcool</v>
          </cell>
          <cell r="R52" t="str">
            <v>tisane</v>
          </cell>
          <cell r="S52" t="str">
            <v>art noble</v>
          </cell>
          <cell r="T52" t="str">
            <v>art populaire</v>
          </cell>
          <cell r="U52" t="str">
            <v>ésotérisme</v>
          </cell>
          <cell r="W52">
            <v>-1</v>
          </cell>
          <cell r="X52" t="str">
            <v>basse</v>
          </cell>
          <cell r="Z52" t="str">
            <v>moyenne</v>
          </cell>
          <cell r="AA52">
            <v>1</v>
          </cell>
          <cell r="AB52" t="str">
            <v>noblesse</v>
          </cell>
          <cell r="AC52" t="str">
            <v>grand marché</v>
          </cell>
          <cell r="AD52">
            <v>1</v>
          </cell>
          <cell r="AE52">
            <v>5</v>
          </cell>
          <cell r="AF52">
            <v>20</v>
          </cell>
          <cell r="AG52" t="str">
            <v>moyenne</v>
          </cell>
          <cell r="AH52">
            <v>1</v>
          </cell>
          <cell r="AI52" t="str">
            <v>grosse pierre</v>
          </cell>
          <cell r="AJ52" t="str">
            <v>herse</v>
          </cell>
          <cell r="AM52">
            <v>3</v>
          </cell>
        </row>
        <row r="53">
          <cell r="A53">
            <v>53</v>
          </cell>
          <cell r="B53" t="str">
            <v>cours d'eau</v>
          </cell>
          <cell r="D53" t="str">
            <v>pierre</v>
          </cell>
          <cell r="E53" t="str">
            <v>minerai</v>
          </cell>
          <cell r="F53" t="str">
            <v>agriculture</v>
          </cell>
          <cell r="G53" t="str">
            <v>minerai</v>
          </cell>
          <cell r="H53" t="str">
            <v>pierre</v>
          </cell>
          <cell r="I53" t="str">
            <v>bois</v>
          </cell>
          <cell r="J53" t="str">
            <v>bois</v>
          </cell>
          <cell r="K53" t="str">
            <v>bois</v>
          </cell>
          <cell r="L53" t="str">
            <v>pierre</v>
          </cell>
          <cell r="M53" t="str">
            <v>chasse</v>
          </cell>
          <cell r="N53" t="str">
            <v>agriculture</v>
          </cell>
          <cell r="O53" t="str">
            <v>pierre</v>
          </cell>
          <cell r="P53" t="str">
            <v>agriculture</v>
          </cell>
          <cell r="Q53" t="str">
            <v>alcool</v>
          </cell>
          <cell r="R53" t="str">
            <v>tisane</v>
          </cell>
          <cell r="S53" t="str">
            <v>art noble</v>
          </cell>
          <cell r="T53" t="str">
            <v>art populaire</v>
          </cell>
          <cell r="U53" t="str">
            <v>ésotérisme</v>
          </cell>
          <cell r="W53">
            <v>-1</v>
          </cell>
          <cell r="X53" t="str">
            <v>basse</v>
          </cell>
          <cell r="Z53" t="str">
            <v>moyenne</v>
          </cell>
          <cell r="AA53">
            <v>1</v>
          </cell>
          <cell r="AB53" t="str">
            <v>noblesse</v>
          </cell>
          <cell r="AC53" t="str">
            <v>grand marché</v>
          </cell>
          <cell r="AD53">
            <v>1</v>
          </cell>
          <cell r="AE53">
            <v>5</v>
          </cell>
          <cell r="AF53">
            <v>20</v>
          </cell>
          <cell r="AG53" t="str">
            <v>moyenne</v>
          </cell>
          <cell r="AH53">
            <v>1</v>
          </cell>
          <cell r="AI53" t="str">
            <v>grosse pierre</v>
          </cell>
          <cell r="AJ53" t="str">
            <v>herse</v>
          </cell>
          <cell r="AM53">
            <v>3</v>
          </cell>
        </row>
        <row r="54">
          <cell r="A54">
            <v>54</v>
          </cell>
          <cell r="B54" t="str">
            <v>cours d'eau</v>
          </cell>
          <cell r="D54" t="str">
            <v>pierre</v>
          </cell>
          <cell r="E54" t="str">
            <v>pierre</v>
          </cell>
          <cell r="F54" t="str">
            <v>agriculture</v>
          </cell>
          <cell r="G54" t="str">
            <v>minerai</v>
          </cell>
          <cell r="H54" t="str">
            <v>pierre</v>
          </cell>
          <cell r="I54" t="str">
            <v>bois</v>
          </cell>
          <cell r="J54" t="str">
            <v>bois</v>
          </cell>
          <cell r="K54" t="str">
            <v>bois</v>
          </cell>
          <cell r="L54" t="str">
            <v>pierre</v>
          </cell>
          <cell r="M54" t="str">
            <v>chasse</v>
          </cell>
          <cell r="N54" t="str">
            <v>agriculture</v>
          </cell>
          <cell r="O54" t="str">
            <v>pierre</v>
          </cell>
          <cell r="P54" t="str">
            <v>agriculture</v>
          </cell>
          <cell r="Q54" t="str">
            <v>alcool</v>
          </cell>
          <cell r="R54" t="str">
            <v>tisane</v>
          </cell>
          <cell r="S54" t="str">
            <v>culture</v>
          </cell>
          <cell r="T54" t="str">
            <v>enseignement</v>
          </cell>
          <cell r="U54" t="str">
            <v>université</v>
          </cell>
          <cell r="W54">
            <v>-1</v>
          </cell>
          <cell r="X54" t="str">
            <v>basse</v>
          </cell>
          <cell r="Z54" t="str">
            <v>moyenne</v>
          </cell>
          <cell r="AA54">
            <v>1</v>
          </cell>
          <cell r="AB54" t="str">
            <v>noblesse</v>
          </cell>
          <cell r="AC54" t="str">
            <v>grand marché</v>
          </cell>
          <cell r="AD54">
            <v>1</v>
          </cell>
          <cell r="AE54">
            <v>5</v>
          </cell>
          <cell r="AF54">
            <v>20</v>
          </cell>
          <cell r="AG54" t="str">
            <v>moyenne</v>
          </cell>
          <cell r="AH54">
            <v>1</v>
          </cell>
          <cell r="AI54" t="str">
            <v>grosse pierre</v>
          </cell>
          <cell r="AJ54" t="str">
            <v>herse</v>
          </cell>
          <cell r="AM54">
            <v>3</v>
          </cell>
        </row>
        <row r="55">
          <cell r="A55">
            <v>55</v>
          </cell>
          <cell r="B55" t="str">
            <v>cours d'eau</v>
          </cell>
          <cell r="D55" t="str">
            <v>pierre</v>
          </cell>
          <cell r="E55" t="str">
            <v>pierre</v>
          </cell>
          <cell r="F55" t="str">
            <v>agriculture</v>
          </cell>
          <cell r="G55" t="str">
            <v>minerai</v>
          </cell>
          <cell r="H55" t="str">
            <v>pierre</v>
          </cell>
          <cell r="I55" t="str">
            <v>bois</v>
          </cell>
          <cell r="J55" t="str">
            <v>bois</v>
          </cell>
          <cell r="K55" t="str">
            <v>bois</v>
          </cell>
          <cell r="L55" t="str">
            <v>pierre</v>
          </cell>
          <cell r="M55" t="str">
            <v>chasse</v>
          </cell>
          <cell r="N55" t="str">
            <v>agriculture</v>
          </cell>
          <cell r="O55" t="str">
            <v>pierre</v>
          </cell>
          <cell r="P55" t="str">
            <v>minerai</v>
          </cell>
          <cell r="Q55" t="str">
            <v>alcool</v>
          </cell>
          <cell r="R55" t="str">
            <v>tisane</v>
          </cell>
          <cell r="S55" t="str">
            <v>culture</v>
          </cell>
          <cell r="T55" t="str">
            <v>enseignement</v>
          </cell>
          <cell r="U55" t="str">
            <v>université</v>
          </cell>
          <cell r="W55">
            <v>-1</v>
          </cell>
          <cell r="X55" t="str">
            <v>basse</v>
          </cell>
          <cell r="Z55" t="str">
            <v>moyenne</v>
          </cell>
          <cell r="AA55">
            <v>1</v>
          </cell>
          <cell r="AB55" t="str">
            <v>noblesse</v>
          </cell>
          <cell r="AC55" t="str">
            <v>grand marché</v>
          </cell>
          <cell r="AD55">
            <v>1</v>
          </cell>
          <cell r="AE55">
            <v>5</v>
          </cell>
          <cell r="AF55">
            <v>20</v>
          </cell>
          <cell r="AG55" t="str">
            <v>moyenne</v>
          </cell>
          <cell r="AH55">
            <v>1</v>
          </cell>
          <cell r="AI55" t="str">
            <v>grosse pierre</v>
          </cell>
          <cell r="AJ55" t="str">
            <v>herse</v>
          </cell>
          <cell r="AM55">
            <v>3</v>
          </cell>
        </row>
        <row r="56">
          <cell r="A56">
            <v>56</v>
          </cell>
          <cell r="B56" t="str">
            <v>cours d'eau</v>
          </cell>
          <cell r="D56" t="str">
            <v>pierre</v>
          </cell>
          <cell r="E56" t="str">
            <v>pierre</v>
          </cell>
          <cell r="F56" t="str">
            <v>minerai</v>
          </cell>
          <cell r="G56" t="str">
            <v>minerai</v>
          </cell>
          <cell r="H56" t="str">
            <v>pierre</v>
          </cell>
          <cell r="I56" t="str">
            <v>bois</v>
          </cell>
          <cell r="J56" t="str">
            <v>bois</v>
          </cell>
          <cell r="K56" t="str">
            <v>précieux</v>
          </cell>
          <cell r="L56" t="str">
            <v>pierre</v>
          </cell>
          <cell r="M56" t="str">
            <v>élevage</v>
          </cell>
          <cell r="N56" t="str">
            <v>agriculture</v>
          </cell>
          <cell r="O56" t="str">
            <v>pierre</v>
          </cell>
          <cell r="P56" t="str">
            <v>minerai</v>
          </cell>
          <cell r="Q56" t="str">
            <v>métaux</v>
          </cell>
          <cell r="R56" t="str">
            <v>outils</v>
          </cell>
          <cell r="S56" t="str">
            <v>culture</v>
          </cell>
          <cell r="T56" t="str">
            <v>enseignement</v>
          </cell>
          <cell r="U56" t="str">
            <v>université</v>
          </cell>
          <cell r="W56">
            <v>-1</v>
          </cell>
          <cell r="X56" t="str">
            <v>basse</v>
          </cell>
          <cell r="Z56" t="str">
            <v>moyenne</v>
          </cell>
          <cell r="AA56">
            <v>1</v>
          </cell>
          <cell r="AB56" t="str">
            <v>clergé</v>
          </cell>
          <cell r="AC56" t="str">
            <v>grand marché</v>
          </cell>
          <cell r="AD56">
            <v>1</v>
          </cell>
          <cell r="AE56">
            <v>5</v>
          </cell>
          <cell r="AF56">
            <v>20</v>
          </cell>
          <cell r="AG56" t="str">
            <v>forte</v>
          </cell>
          <cell r="AH56">
            <v>1.2</v>
          </cell>
          <cell r="AI56" t="str">
            <v>grosse pierre</v>
          </cell>
          <cell r="AJ56" t="str">
            <v>herse</v>
          </cell>
          <cell r="AM56">
            <v>4</v>
          </cell>
        </row>
        <row r="57">
          <cell r="A57">
            <v>57</v>
          </cell>
          <cell r="B57" t="str">
            <v>cours d'eau</v>
          </cell>
          <cell r="D57" t="str">
            <v>pierre</v>
          </cell>
          <cell r="E57" t="str">
            <v>pierre</v>
          </cell>
          <cell r="F57" t="str">
            <v>minerai</v>
          </cell>
          <cell r="G57" t="str">
            <v>minerai</v>
          </cell>
          <cell r="H57" t="str">
            <v>bois</v>
          </cell>
          <cell r="I57" t="str">
            <v>bois</v>
          </cell>
          <cell r="J57" t="str">
            <v>bois</v>
          </cell>
          <cell r="K57" t="str">
            <v>précieux</v>
          </cell>
          <cell r="L57" t="str">
            <v>pierre</v>
          </cell>
          <cell r="M57" t="str">
            <v>élevage</v>
          </cell>
          <cell r="N57" t="str">
            <v>agriculture</v>
          </cell>
          <cell r="O57" t="str">
            <v>pierre</v>
          </cell>
          <cell r="P57" t="str">
            <v>minerai</v>
          </cell>
          <cell r="Q57" t="str">
            <v>métaux</v>
          </cell>
          <cell r="R57" t="str">
            <v>outils</v>
          </cell>
          <cell r="S57" t="str">
            <v>culture</v>
          </cell>
          <cell r="T57" t="str">
            <v>enseignement</v>
          </cell>
          <cell r="U57" t="str">
            <v>université</v>
          </cell>
          <cell r="W57">
            <v>-1</v>
          </cell>
          <cell r="X57" t="str">
            <v>basse</v>
          </cell>
          <cell r="Z57" t="str">
            <v>moyenne</v>
          </cell>
          <cell r="AA57">
            <v>1</v>
          </cell>
          <cell r="AB57" t="str">
            <v>clergé</v>
          </cell>
          <cell r="AC57" t="str">
            <v>grand marché</v>
          </cell>
          <cell r="AD57">
            <v>1</v>
          </cell>
          <cell r="AE57">
            <v>5</v>
          </cell>
          <cell r="AF57">
            <v>20</v>
          </cell>
          <cell r="AG57" t="str">
            <v>forte</v>
          </cell>
          <cell r="AH57">
            <v>1.2</v>
          </cell>
          <cell r="AI57" t="str">
            <v>grosse pierre</v>
          </cell>
          <cell r="AJ57" t="str">
            <v>herse</v>
          </cell>
          <cell r="AM57">
            <v>4</v>
          </cell>
        </row>
        <row r="58">
          <cell r="A58">
            <v>58</v>
          </cell>
          <cell r="B58" t="str">
            <v>cours d'eau</v>
          </cell>
          <cell r="D58" t="str">
            <v>pierre</v>
          </cell>
          <cell r="E58" t="str">
            <v>pierre</v>
          </cell>
          <cell r="F58" t="str">
            <v>minerai</v>
          </cell>
          <cell r="G58" t="str">
            <v>minerai</v>
          </cell>
          <cell r="H58" t="str">
            <v>bois</v>
          </cell>
          <cell r="I58" t="str">
            <v>bois</v>
          </cell>
          <cell r="J58" t="str">
            <v>bois</v>
          </cell>
          <cell r="K58" t="str">
            <v>précieux</v>
          </cell>
          <cell r="L58" t="str">
            <v>pierre</v>
          </cell>
          <cell r="M58" t="str">
            <v>élevage</v>
          </cell>
          <cell r="N58" t="str">
            <v>agriculture</v>
          </cell>
          <cell r="O58" t="str">
            <v>pierre</v>
          </cell>
          <cell r="P58" t="str">
            <v>minerai</v>
          </cell>
          <cell r="Q58" t="str">
            <v>métaux</v>
          </cell>
          <cell r="R58" t="str">
            <v>outils</v>
          </cell>
          <cell r="S58" t="str">
            <v>culture</v>
          </cell>
          <cell r="T58" t="str">
            <v>enseignement</v>
          </cell>
          <cell r="U58" t="str">
            <v>université</v>
          </cell>
          <cell r="W58">
            <v>-1</v>
          </cell>
          <cell r="X58" t="str">
            <v>basse</v>
          </cell>
          <cell r="Z58" t="str">
            <v>moyenne</v>
          </cell>
          <cell r="AA58">
            <v>1</v>
          </cell>
          <cell r="AB58" t="str">
            <v>clergé</v>
          </cell>
          <cell r="AC58" t="str">
            <v>grand marché</v>
          </cell>
          <cell r="AD58">
            <v>1</v>
          </cell>
          <cell r="AE58">
            <v>5</v>
          </cell>
          <cell r="AF58">
            <v>20</v>
          </cell>
          <cell r="AG58" t="str">
            <v>forte</v>
          </cell>
          <cell r="AH58">
            <v>1.2</v>
          </cell>
          <cell r="AI58" t="str">
            <v>grosse pierre</v>
          </cell>
          <cell r="AJ58" t="str">
            <v>herse</v>
          </cell>
          <cell r="AM58">
            <v>4</v>
          </cell>
        </row>
        <row r="59">
          <cell r="A59">
            <v>59</v>
          </cell>
          <cell r="B59" t="str">
            <v>cours d'eau</v>
          </cell>
          <cell r="D59" t="str">
            <v>pierre</v>
          </cell>
          <cell r="E59" t="str">
            <v>pierre</v>
          </cell>
          <cell r="F59" t="str">
            <v>minerai</v>
          </cell>
          <cell r="G59" t="str">
            <v>pierre</v>
          </cell>
          <cell r="H59" t="str">
            <v>bois</v>
          </cell>
          <cell r="I59" t="str">
            <v>bois</v>
          </cell>
          <cell r="J59" t="str">
            <v>bois</v>
          </cell>
          <cell r="K59" t="str">
            <v>précieux</v>
          </cell>
          <cell r="L59" t="str">
            <v>pierre</v>
          </cell>
          <cell r="M59" t="str">
            <v>élevage</v>
          </cell>
          <cell r="N59" t="str">
            <v>agriculture</v>
          </cell>
          <cell r="O59" t="str">
            <v>pierre</v>
          </cell>
          <cell r="P59" t="str">
            <v>pierre</v>
          </cell>
          <cell r="Q59" t="str">
            <v>métaux</v>
          </cell>
          <cell r="R59" t="str">
            <v>outils</v>
          </cell>
          <cell r="S59" t="str">
            <v>exotique</v>
          </cell>
          <cell r="T59" t="str">
            <v>parfum</v>
          </cell>
          <cell r="U59" t="str">
            <v>poison</v>
          </cell>
          <cell r="W59">
            <v>-1</v>
          </cell>
          <cell r="X59" t="str">
            <v>basse</v>
          </cell>
          <cell r="Z59" t="str">
            <v>moyenne</v>
          </cell>
          <cell r="AA59">
            <v>1</v>
          </cell>
          <cell r="AB59" t="str">
            <v>clergé</v>
          </cell>
          <cell r="AC59" t="str">
            <v>grand marché</v>
          </cell>
          <cell r="AD59">
            <v>1</v>
          </cell>
          <cell r="AE59">
            <v>5</v>
          </cell>
          <cell r="AF59">
            <v>20</v>
          </cell>
          <cell r="AG59" t="str">
            <v>forte</v>
          </cell>
          <cell r="AH59">
            <v>1.2</v>
          </cell>
          <cell r="AI59" t="str">
            <v>grosse pierre</v>
          </cell>
          <cell r="AJ59" t="str">
            <v>herse</v>
          </cell>
          <cell r="AM59">
            <v>4</v>
          </cell>
        </row>
        <row r="60">
          <cell r="A60">
            <v>60</v>
          </cell>
          <cell r="B60" t="str">
            <v>cours d'eau</v>
          </cell>
          <cell r="D60" t="str">
            <v>pierre</v>
          </cell>
          <cell r="E60" t="str">
            <v>pierre</v>
          </cell>
          <cell r="F60" t="str">
            <v>minerai</v>
          </cell>
          <cell r="G60" t="str">
            <v>pierre</v>
          </cell>
          <cell r="H60" t="str">
            <v>bois</v>
          </cell>
          <cell r="I60" t="str">
            <v>bois</v>
          </cell>
          <cell r="J60" t="str">
            <v>bois</v>
          </cell>
          <cell r="K60" t="str">
            <v>précieux</v>
          </cell>
          <cell r="L60" t="str">
            <v>pierre</v>
          </cell>
          <cell r="M60" t="str">
            <v>élevage</v>
          </cell>
          <cell r="N60" t="str">
            <v>minerai</v>
          </cell>
          <cell r="O60" t="str">
            <v>pierre</v>
          </cell>
          <cell r="P60" t="str">
            <v>pierre</v>
          </cell>
          <cell r="Q60" t="str">
            <v>métaux</v>
          </cell>
          <cell r="R60" t="str">
            <v>outils</v>
          </cell>
          <cell r="S60" t="str">
            <v>exotique</v>
          </cell>
          <cell r="T60" t="str">
            <v>parfum</v>
          </cell>
          <cell r="U60" t="str">
            <v>poison</v>
          </cell>
          <cell r="W60">
            <v>-1</v>
          </cell>
          <cell r="X60" t="str">
            <v>basse</v>
          </cell>
          <cell r="Z60" t="str">
            <v>moyenne</v>
          </cell>
          <cell r="AA60">
            <v>1</v>
          </cell>
          <cell r="AB60" t="str">
            <v>clergé</v>
          </cell>
          <cell r="AC60" t="str">
            <v>grand marché</v>
          </cell>
          <cell r="AD60">
            <v>1</v>
          </cell>
          <cell r="AE60">
            <v>5</v>
          </cell>
          <cell r="AF60">
            <v>20</v>
          </cell>
          <cell r="AG60" t="str">
            <v>forte</v>
          </cell>
          <cell r="AH60">
            <v>1.2</v>
          </cell>
          <cell r="AI60" t="str">
            <v>grosse pierre</v>
          </cell>
          <cell r="AJ60" t="str">
            <v>herse</v>
          </cell>
          <cell r="AM60">
            <v>4</v>
          </cell>
        </row>
        <row r="61">
          <cell r="A61">
            <v>61</v>
          </cell>
          <cell r="B61" t="str">
            <v>cours d'eau</v>
          </cell>
          <cell r="D61" t="str">
            <v>pierre</v>
          </cell>
          <cell r="E61" t="str">
            <v>pierre</v>
          </cell>
          <cell r="F61" t="str">
            <v>minerai</v>
          </cell>
          <cell r="G61" t="str">
            <v>pierre</v>
          </cell>
          <cell r="H61" t="str">
            <v>précieux</v>
          </cell>
          <cell r="I61" t="str">
            <v>bois</v>
          </cell>
          <cell r="J61" t="str">
            <v>bois</v>
          </cell>
          <cell r="K61" t="str">
            <v>précieux</v>
          </cell>
          <cell r="L61" t="str">
            <v>pierre</v>
          </cell>
          <cell r="M61" t="str">
            <v>élevage</v>
          </cell>
          <cell r="N61" t="str">
            <v>minerai</v>
          </cell>
          <cell r="O61" t="str">
            <v>pierre</v>
          </cell>
          <cell r="P61" t="str">
            <v>pierre</v>
          </cell>
          <cell r="Q61" t="str">
            <v>métaux</v>
          </cell>
          <cell r="R61" t="str">
            <v>outils</v>
          </cell>
          <cell r="S61" t="str">
            <v>exotique</v>
          </cell>
          <cell r="T61" t="str">
            <v>parfum</v>
          </cell>
          <cell r="U61" t="str">
            <v>poison</v>
          </cell>
          <cell r="W61">
            <v>-1</v>
          </cell>
          <cell r="X61" t="str">
            <v>basse</v>
          </cell>
          <cell r="Z61" t="str">
            <v>moyenne</v>
          </cell>
          <cell r="AA61">
            <v>1</v>
          </cell>
          <cell r="AB61" t="str">
            <v>clergé</v>
          </cell>
          <cell r="AC61" t="str">
            <v>grand marché</v>
          </cell>
          <cell r="AD61">
            <v>1</v>
          </cell>
          <cell r="AE61">
            <v>5</v>
          </cell>
          <cell r="AF61">
            <v>20</v>
          </cell>
          <cell r="AG61" t="str">
            <v>forte</v>
          </cell>
          <cell r="AH61">
            <v>1.2</v>
          </cell>
          <cell r="AI61" t="str">
            <v>petite pierre</v>
          </cell>
          <cell r="AJ61" t="str">
            <v>hourds</v>
          </cell>
          <cell r="AM61">
            <v>4</v>
          </cell>
        </row>
        <row r="62">
          <cell r="A62">
            <v>62</v>
          </cell>
          <cell r="B62" t="str">
            <v>cours d'eau</v>
          </cell>
          <cell r="D62" t="str">
            <v>pierre</v>
          </cell>
          <cell r="E62" t="str">
            <v>pierre</v>
          </cell>
          <cell r="F62" t="str">
            <v>minerai</v>
          </cell>
          <cell r="G62" t="str">
            <v>bois</v>
          </cell>
          <cell r="H62" t="str">
            <v>précieux</v>
          </cell>
          <cell r="I62" t="str">
            <v>bois</v>
          </cell>
          <cell r="J62" t="str">
            <v>précieux</v>
          </cell>
          <cell r="K62" t="str">
            <v>précieux</v>
          </cell>
          <cell r="L62" t="str">
            <v>pierre</v>
          </cell>
          <cell r="M62" t="str">
            <v>élevage</v>
          </cell>
          <cell r="N62" t="str">
            <v>minerai</v>
          </cell>
          <cell r="O62" t="str">
            <v>pierre</v>
          </cell>
          <cell r="P62" t="str">
            <v>pierre</v>
          </cell>
          <cell r="Q62" t="str">
            <v>métaux</v>
          </cell>
          <cell r="R62" t="str">
            <v>outils</v>
          </cell>
          <cell r="S62" t="str">
            <v>exotique</v>
          </cell>
          <cell r="T62" t="str">
            <v>parfum</v>
          </cell>
          <cell r="U62" t="str">
            <v>poison</v>
          </cell>
          <cell r="W62">
            <v>-1</v>
          </cell>
          <cell r="X62" t="str">
            <v>basse</v>
          </cell>
          <cell r="Z62" t="str">
            <v>moyenne</v>
          </cell>
          <cell r="AA62">
            <v>1</v>
          </cell>
          <cell r="AB62" t="str">
            <v>clergé</v>
          </cell>
          <cell r="AC62" t="str">
            <v>grand marché</v>
          </cell>
          <cell r="AD62">
            <v>1</v>
          </cell>
          <cell r="AE62">
            <v>5</v>
          </cell>
          <cell r="AF62">
            <v>20</v>
          </cell>
          <cell r="AG62" t="str">
            <v>forte</v>
          </cell>
          <cell r="AH62">
            <v>1.2</v>
          </cell>
          <cell r="AI62" t="str">
            <v>petite pierre</v>
          </cell>
          <cell r="AJ62" t="str">
            <v>hourds</v>
          </cell>
          <cell r="AM62">
            <v>4</v>
          </cell>
        </row>
        <row r="63">
          <cell r="A63">
            <v>63</v>
          </cell>
          <cell r="B63" t="str">
            <v>cours d'eau</v>
          </cell>
          <cell r="D63" t="str">
            <v>pierre</v>
          </cell>
          <cell r="E63" t="str">
            <v>pierre</v>
          </cell>
          <cell r="F63" t="str">
            <v>pierre</v>
          </cell>
          <cell r="G63" t="str">
            <v>bois</v>
          </cell>
          <cell r="H63" t="str">
            <v>précieux</v>
          </cell>
          <cell r="I63" t="str">
            <v>bois</v>
          </cell>
          <cell r="J63" t="str">
            <v>précieux</v>
          </cell>
          <cell r="K63" t="str">
            <v>précieux</v>
          </cell>
          <cell r="L63" t="str">
            <v>pierre</v>
          </cell>
          <cell r="M63" t="str">
            <v>élevage</v>
          </cell>
          <cell r="N63" t="str">
            <v>minerai</v>
          </cell>
          <cell r="O63" t="str">
            <v>pierre</v>
          </cell>
          <cell r="P63" t="str">
            <v>pierre</v>
          </cell>
          <cell r="Q63" t="str">
            <v>métaux</v>
          </cell>
          <cell r="R63" t="str">
            <v>outils</v>
          </cell>
          <cell r="S63" t="str">
            <v>exotique</v>
          </cell>
          <cell r="T63" t="str">
            <v>parfum</v>
          </cell>
          <cell r="U63" t="str">
            <v>poison</v>
          </cell>
          <cell r="W63">
            <v>-1</v>
          </cell>
          <cell r="X63" t="str">
            <v>haute</v>
          </cell>
          <cell r="Z63" t="str">
            <v>moyenne</v>
          </cell>
          <cell r="AA63">
            <v>1</v>
          </cell>
          <cell r="AB63" t="str">
            <v>clergé</v>
          </cell>
          <cell r="AC63" t="str">
            <v>grand marché</v>
          </cell>
          <cell r="AD63">
            <v>1</v>
          </cell>
          <cell r="AE63">
            <v>5</v>
          </cell>
          <cell r="AF63">
            <v>20</v>
          </cell>
          <cell r="AG63" t="str">
            <v>forte</v>
          </cell>
          <cell r="AH63">
            <v>1.2</v>
          </cell>
          <cell r="AI63" t="str">
            <v>petite pierre</v>
          </cell>
          <cell r="AJ63" t="str">
            <v>lice</v>
          </cell>
          <cell r="AM63">
            <v>4</v>
          </cell>
        </row>
        <row r="64">
          <cell r="A64">
            <v>64</v>
          </cell>
          <cell r="B64" t="str">
            <v>cours d'eau</v>
          </cell>
          <cell r="D64" t="str">
            <v>pierre</v>
          </cell>
          <cell r="E64" t="str">
            <v>pierre</v>
          </cell>
          <cell r="F64" t="str">
            <v>pierre</v>
          </cell>
          <cell r="G64" t="str">
            <v>bois</v>
          </cell>
          <cell r="H64" t="str">
            <v>précieux</v>
          </cell>
          <cell r="I64" t="str">
            <v>bois</v>
          </cell>
          <cell r="J64" t="str">
            <v>précieux</v>
          </cell>
          <cell r="K64" t="str">
            <v>précieux</v>
          </cell>
          <cell r="L64" t="str">
            <v>pierre</v>
          </cell>
          <cell r="M64" t="str">
            <v>élevage</v>
          </cell>
          <cell r="N64" t="str">
            <v>minerai</v>
          </cell>
          <cell r="O64" t="str">
            <v>pierre</v>
          </cell>
          <cell r="P64" t="str">
            <v>pierre</v>
          </cell>
          <cell r="Q64" t="str">
            <v>métaux</v>
          </cell>
          <cell r="R64" t="str">
            <v>outils</v>
          </cell>
          <cell r="S64" t="str">
            <v>exotique</v>
          </cell>
          <cell r="T64" t="str">
            <v>parfum</v>
          </cell>
          <cell r="U64" t="str">
            <v>poison</v>
          </cell>
          <cell r="W64">
            <v>-1</v>
          </cell>
          <cell r="X64" t="str">
            <v>haute</v>
          </cell>
          <cell r="Z64" t="str">
            <v>moyenne</v>
          </cell>
          <cell r="AA64">
            <v>1</v>
          </cell>
          <cell r="AB64" t="str">
            <v>clergé</v>
          </cell>
          <cell r="AC64" t="str">
            <v>grand marché</v>
          </cell>
          <cell r="AD64">
            <v>1</v>
          </cell>
          <cell r="AE64">
            <v>5</v>
          </cell>
          <cell r="AF64">
            <v>20</v>
          </cell>
          <cell r="AG64" t="str">
            <v>forte</v>
          </cell>
          <cell r="AH64">
            <v>1.2</v>
          </cell>
          <cell r="AI64" t="str">
            <v>petite pierre</v>
          </cell>
          <cell r="AJ64" t="str">
            <v>lice</v>
          </cell>
          <cell r="AM64">
            <v>4</v>
          </cell>
        </row>
        <row r="65">
          <cell r="A65">
            <v>65</v>
          </cell>
          <cell r="B65" t="str">
            <v>désert</v>
          </cell>
          <cell r="D65" t="str">
            <v>pierre</v>
          </cell>
          <cell r="E65" t="str">
            <v>pierre</v>
          </cell>
          <cell r="F65" t="str">
            <v>pierre</v>
          </cell>
          <cell r="G65" t="str">
            <v>bois</v>
          </cell>
          <cell r="H65" t="str">
            <v>précieux</v>
          </cell>
          <cell r="I65" t="str">
            <v>bois</v>
          </cell>
          <cell r="J65" t="str">
            <v>précieux</v>
          </cell>
          <cell r="K65" t="str">
            <v>précieux</v>
          </cell>
          <cell r="L65" t="str">
            <v>bois</v>
          </cell>
          <cell r="M65" t="str">
            <v>agriculture</v>
          </cell>
          <cell r="N65" t="str">
            <v>pierre</v>
          </cell>
          <cell r="O65" t="str">
            <v>pierre</v>
          </cell>
          <cell r="P65" t="str">
            <v>bois</v>
          </cell>
          <cell r="Q65" t="str">
            <v>construction</v>
          </cell>
          <cell r="R65" t="str">
            <v>matériaux</v>
          </cell>
          <cell r="S65" t="str">
            <v>exotique</v>
          </cell>
          <cell r="T65" t="str">
            <v>parfum</v>
          </cell>
          <cell r="U65" t="str">
            <v>poison</v>
          </cell>
          <cell r="W65">
            <v>-2</v>
          </cell>
          <cell r="X65" t="str">
            <v>haute</v>
          </cell>
          <cell r="Z65" t="str">
            <v>moyenne</v>
          </cell>
          <cell r="AA65">
            <v>1</v>
          </cell>
          <cell r="AB65" t="str">
            <v>clergé</v>
          </cell>
          <cell r="AC65" t="str">
            <v>grand marché</v>
          </cell>
          <cell r="AD65">
            <v>1</v>
          </cell>
          <cell r="AE65">
            <v>5</v>
          </cell>
          <cell r="AF65">
            <v>20</v>
          </cell>
          <cell r="AG65" t="str">
            <v>forte</v>
          </cell>
          <cell r="AH65">
            <v>1.2</v>
          </cell>
          <cell r="AI65" t="str">
            <v>petite pierre</v>
          </cell>
          <cell r="AJ65" t="str">
            <v>lice</v>
          </cell>
          <cell r="AM65">
            <v>4</v>
          </cell>
        </row>
        <row r="66">
          <cell r="A66">
            <v>66</v>
          </cell>
          <cell r="B66" t="str">
            <v>désert</v>
          </cell>
          <cell r="D66" t="str">
            <v>bois</v>
          </cell>
          <cell r="E66" t="str">
            <v>pierre</v>
          </cell>
          <cell r="F66" t="str">
            <v>pierre</v>
          </cell>
          <cell r="G66" t="str">
            <v>bois</v>
          </cell>
          <cell r="H66" t="str">
            <v>précieux</v>
          </cell>
          <cell r="I66" t="str">
            <v>bois</v>
          </cell>
          <cell r="J66" t="str">
            <v>précieux</v>
          </cell>
          <cell r="K66" t="str">
            <v>précieux</v>
          </cell>
          <cell r="L66" t="str">
            <v>bois</v>
          </cell>
          <cell r="M66" t="str">
            <v>agriculture</v>
          </cell>
          <cell r="N66" t="str">
            <v>pierre</v>
          </cell>
          <cell r="O66" t="str">
            <v>bois</v>
          </cell>
          <cell r="P66" t="str">
            <v>bois</v>
          </cell>
          <cell r="Q66" t="str">
            <v>construction</v>
          </cell>
          <cell r="R66" t="str">
            <v>matériaux</v>
          </cell>
          <cell r="S66" t="str">
            <v>exotique</v>
          </cell>
          <cell r="T66" t="str">
            <v>parfum</v>
          </cell>
          <cell r="U66" t="str">
            <v>poison</v>
          </cell>
          <cell r="W66">
            <v>-2</v>
          </cell>
          <cell r="X66" t="str">
            <v>haute</v>
          </cell>
          <cell r="Z66" t="str">
            <v>moyenne</v>
          </cell>
          <cell r="AA66">
            <v>1</v>
          </cell>
          <cell r="AB66" t="str">
            <v>clergé</v>
          </cell>
          <cell r="AC66" t="str">
            <v>grand marché</v>
          </cell>
          <cell r="AD66">
            <v>1</v>
          </cell>
          <cell r="AE66">
            <v>5</v>
          </cell>
          <cell r="AF66">
            <v>20</v>
          </cell>
          <cell r="AG66" t="str">
            <v>forte</v>
          </cell>
          <cell r="AH66">
            <v>1.2</v>
          </cell>
          <cell r="AI66" t="str">
            <v>petite pierre</v>
          </cell>
          <cell r="AJ66" t="str">
            <v>motte</v>
          </cell>
          <cell r="AM66">
            <v>4</v>
          </cell>
        </row>
        <row r="67">
          <cell r="A67">
            <v>67</v>
          </cell>
          <cell r="B67" t="str">
            <v>désert</v>
          </cell>
          <cell r="D67" t="str">
            <v>bois</v>
          </cell>
          <cell r="E67" t="str">
            <v>pierre</v>
          </cell>
          <cell r="F67" t="str">
            <v>pierre</v>
          </cell>
          <cell r="G67" t="str">
            <v>bois</v>
          </cell>
          <cell r="H67" t="str">
            <v>précieux</v>
          </cell>
          <cell r="I67" t="str">
            <v>précieux</v>
          </cell>
          <cell r="J67" t="str">
            <v>précieux</v>
          </cell>
          <cell r="K67" t="str">
            <v>précieux</v>
          </cell>
          <cell r="L67" t="str">
            <v>bois</v>
          </cell>
          <cell r="M67" t="str">
            <v>agriculture</v>
          </cell>
          <cell r="N67" t="str">
            <v>pierre</v>
          </cell>
          <cell r="O67" t="str">
            <v>bois</v>
          </cell>
          <cell r="P67" t="str">
            <v>bois</v>
          </cell>
          <cell r="Q67" t="str">
            <v>construction</v>
          </cell>
          <cell r="R67" t="str">
            <v>matériaux</v>
          </cell>
          <cell r="S67" t="str">
            <v>exotique</v>
          </cell>
          <cell r="T67" t="str">
            <v>parfum</v>
          </cell>
          <cell r="U67" t="str">
            <v>poison</v>
          </cell>
          <cell r="W67">
            <v>-2</v>
          </cell>
          <cell r="X67" t="str">
            <v>haute</v>
          </cell>
          <cell r="Z67" t="str">
            <v>moyenne</v>
          </cell>
          <cell r="AA67">
            <v>1</v>
          </cell>
          <cell r="AB67" t="str">
            <v>clergé</v>
          </cell>
          <cell r="AC67" t="str">
            <v>grand marché</v>
          </cell>
          <cell r="AD67">
            <v>1</v>
          </cell>
          <cell r="AE67">
            <v>5</v>
          </cell>
          <cell r="AF67">
            <v>20</v>
          </cell>
          <cell r="AG67" t="str">
            <v>forte</v>
          </cell>
          <cell r="AH67">
            <v>1.2</v>
          </cell>
          <cell r="AI67" t="str">
            <v>petite pierre</v>
          </cell>
          <cell r="AJ67" t="str">
            <v>motte</v>
          </cell>
          <cell r="AM67">
            <v>4</v>
          </cell>
        </row>
        <row r="68">
          <cell r="A68">
            <v>68</v>
          </cell>
          <cell r="B68" t="str">
            <v>désert</v>
          </cell>
          <cell r="D68" t="str">
            <v>bois</v>
          </cell>
          <cell r="E68" t="str">
            <v>pierre</v>
          </cell>
          <cell r="F68" t="str">
            <v>pierre</v>
          </cell>
          <cell r="G68" t="str">
            <v>bois</v>
          </cell>
          <cell r="H68" t="str">
            <v>précieux</v>
          </cell>
          <cell r="I68" t="str">
            <v>précieux</v>
          </cell>
          <cell r="J68" t="str">
            <v>précieux</v>
          </cell>
          <cell r="K68" t="str">
            <v>précieux</v>
          </cell>
          <cell r="L68" t="str">
            <v>bois</v>
          </cell>
          <cell r="M68" t="str">
            <v>agriculture</v>
          </cell>
          <cell r="N68" t="str">
            <v>pierre</v>
          </cell>
          <cell r="O68" t="str">
            <v>bois</v>
          </cell>
          <cell r="P68" t="str">
            <v>bois</v>
          </cell>
          <cell r="Q68" t="str">
            <v>construction</v>
          </cell>
          <cell r="R68" t="str">
            <v>matériaux</v>
          </cell>
          <cell r="S68" t="str">
            <v>exotique</v>
          </cell>
          <cell r="T68" t="str">
            <v>parfum</v>
          </cell>
          <cell r="U68" t="str">
            <v>poison</v>
          </cell>
          <cell r="W68">
            <v>-2</v>
          </cell>
          <cell r="X68" t="str">
            <v>haute</v>
          </cell>
          <cell r="Z68" t="str">
            <v>moyenne</v>
          </cell>
          <cell r="AA68">
            <v>1</v>
          </cell>
          <cell r="AB68" t="str">
            <v>clergé</v>
          </cell>
          <cell r="AC68" t="str">
            <v>grand marché</v>
          </cell>
          <cell r="AD68">
            <v>1</v>
          </cell>
          <cell r="AE68">
            <v>5</v>
          </cell>
          <cell r="AF68">
            <v>20</v>
          </cell>
          <cell r="AG68" t="str">
            <v>forte</v>
          </cell>
          <cell r="AH68">
            <v>1.2</v>
          </cell>
          <cell r="AI68" t="str">
            <v>petite pierre</v>
          </cell>
          <cell r="AJ68" t="str">
            <v>motte</v>
          </cell>
          <cell r="AM68">
            <v>4</v>
          </cell>
        </row>
        <row r="69">
          <cell r="A69">
            <v>69</v>
          </cell>
          <cell r="B69" t="str">
            <v>forêt</v>
          </cell>
          <cell r="D69" t="str">
            <v>bois</v>
          </cell>
          <cell r="E69" t="str">
            <v>bois</v>
          </cell>
          <cell r="F69" t="str">
            <v>pierre</v>
          </cell>
          <cell r="G69" t="str">
            <v>bois</v>
          </cell>
          <cell r="H69" t="str">
            <v>précieux</v>
          </cell>
          <cell r="I69" t="str">
            <v>précieux</v>
          </cell>
          <cell r="J69" t="str">
            <v>précieux</v>
          </cell>
          <cell r="K69" t="str">
            <v>précieux</v>
          </cell>
          <cell r="L69" t="str">
            <v>bois</v>
          </cell>
          <cell r="M69" t="str">
            <v>agriculture</v>
          </cell>
          <cell r="N69" t="str">
            <v>pierre</v>
          </cell>
          <cell r="O69" t="str">
            <v>précieux</v>
          </cell>
          <cell r="P69" t="str">
            <v>bois</v>
          </cell>
          <cell r="Q69" t="str">
            <v>construction</v>
          </cell>
          <cell r="R69" t="str">
            <v>matériaux</v>
          </cell>
          <cell r="S69" t="str">
            <v>exotique</v>
          </cell>
          <cell r="T69" t="str">
            <v>parfum</v>
          </cell>
          <cell r="U69" t="str">
            <v>poison</v>
          </cell>
          <cell r="W69">
            <v>2</v>
          </cell>
          <cell r="X69" t="str">
            <v>haute</v>
          </cell>
          <cell r="Z69" t="str">
            <v>moyenne</v>
          </cell>
          <cell r="AA69">
            <v>1</v>
          </cell>
          <cell r="AB69" t="str">
            <v>clergé</v>
          </cell>
          <cell r="AC69" t="str">
            <v>grand marché</v>
          </cell>
          <cell r="AD69">
            <v>1</v>
          </cell>
          <cell r="AE69">
            <v>5</v>
          </cell>
          <cell r="AF69">
            <v>20</v>
          </cell>
          <cell r="AG69" t="str">
            <v>forte</v>
          </cell>
          <cell r="AH69">
            <v>1.2</v>
          </cell>
          <cell r="AI69" t="str">
            <v>petite pierre</v>
          </cell>
          <cell r="AJ69" t="str">
            <v>motte</v>
          </cell>
          <cell r="AM69">
            <v>4</v>
          </cell>
        </row>
        <row r="70">
          <cell r="A70">
            <v>70</v>
          </cell>
          <cell r="B70" t="str">
            <v>forêt</v>
          </cell>
          <cell r="D70" t="str">
            <v>bois</v>
          </cell>
          <cell r="E70" t="str">
            <v>bois</v>
          </cell>
          <cell r="F70" t="str">
            <v>pierre</v>
          </cell>
          <cell r="G70" t="str">
            <v>précieux</v>
          </cell>
          <cell r="H70" t="str">
            <v>précieux</v>
          </cell>
          <cell r="I70" t="str">
            <v>précieux</v>
          </cell>
          <cell r="J70" t="str">
            <v>précieux</v>
          </cell>
          <cell r="K70" t="str">
            <v>précieux</v>
          </cell>
          <cell r="L70" t="str">
            <v>bois</v>
          </cell>
          <cell r="M70" t="str">
            <v>minerai</v>
          </cell>
          <cell r="N70" t="str">
            <v>bois</v>
          </cell>
          <cell r="O70" t="str">
            <v>précieux</v>
          </cell>
          <cell r="P70" t="str">
            <v>précieux</v>
          </cell>
          <cell r="Q70" t="str">
            <v>construction</v>
          </cell>
          <cell r="R70" t="str">
            <v>matériaux</v>
          </cell>
          <cell r="S70" t="str">
            <v>exotique</v>
          </cell>
          <cell r="T70" t="str">
            <v>parfum</v>
          </cell>
          <cell r="U70" t="str">
            <v>poison</v>
          </cell>
          <cell r="W70">
            <v>2</v>
          </cell>
          <cell r="X70" t="str">
            <v>haute</v>
          </cell>
          <cell r="Z70" t="str">
            <v>moyenne</v>
          </cell>
          <cell r="AA70">
            <v>1</v>
          </cell>
          <cell r="AB70" t="str">
            <v>clergé</v>
          </cell>
          <cell r="AC70" t="str">
            <v>grand marché</v>
          </cell>
          <cell r="AD70">
            <v>1</v>
          </cell>
          <cell r="AE70">
            <v>5</v>
          </cell>
          <cell r="AF70">
            <v>20</v>
          </cell>
          <cell r="AG70" t="str">
            <v>forte</v>
          </cell>
          <cell r="AH70">
            <v>1.2</v>
          </cell>
          <cell r="AI70" t="str">
            <v>petite pierre</v>
          </cell>
          <cell r="AJ70" t="str">
            <v>motte</v>
          </cell>
          <cell r="AM70">
            <v>4</v>
          </cell>
        </row>
        <row r="71">
          <cell r="A71">
            <v>71</v>
          </cell>
          <cell r="B71" t="str">
            <v>forêt</v>
          </cell>
          <cell r="D71" t="str">
            <v>précieux</v>
          </cell>
          <cell r="E71" t="str">
            <v>bois</v>
          </cell>
          <cell r="F71" t="str">
            <v>pierre</v>
          </cell>
          <cell r="G71" t="str">
            <v>précieux</v>
          </cell>
          <cell r="H71" t="str">
            <v>précieux</v>
          </cell>
          <cell r="I71" t="str">
            <v>précieux</v>
          </cell>
          <cell r="J71" t="str">
            <v>précieux</v>
          </cell>
          <cell r="K71" t="str">
            <v>précieux</v>
          </cell>
          <cell r="L71" t="str">
            <v>bois</v>
          </cell>
          <cell r="M71" t="str">
            <v>minerai</v>
          </cell>
          <cell r="N71" t="str">
            <v>bois</v>
          </cell>
          <cell r="O71" t="str">
            <v>précieux</v>
          </cell>
          <cell r="P71" t="str">
            <v>précieux</v>
          </cell>
          <cell r="Q71" t="str">
            <v>construction</v>
          </cell>
          <cell r="R71" t="str">
            <v>matériaux</v>
          </cell>
          <cell r="S71" t="str">
            <v>exotique</v>
          </cell>
          <cell r="T71" t="str">
            <v>parfum</v>
          </cell>
          <cell r="U71" t="str">
            <v>poison</v>
          </cell>
          <cell r="W71">
            <v>2</v>
          </cell>
          <cell r="X71" t="str">
            <v>haute</v>
          </cell>
          <cell r="Z71" t="str">
            <v>moyenne</v>
          </cell>
          <cell r="AA71">
            <v>1</v>
          </cell>
          <cell r="AB71" t="str">
            <v>ethnie</v>
          </cell>
          <cell r="AC71" t="str">
            <v>grand marché</v>
          </cell>
          <cell r="AD71">
            <v>1</v>
          </cell>
          <cell r="AE71">
            <v>5</v>
          </cell>
          <cell r="AF71">
            <v>20</v>
          </cell>
          <cell r="AG71" t="str">
            <v>forte</v>
          </cell>
          <cell r="AH71">
            <v>1.2</v>
          </cell>
          <cell r="AI71" t="str">
            <v>précieux</v>
          </cell>
          <cell r="AJ71" t="str">
            <v>parapet</v>
          </cell>
          <cell r="AM71">
            <v>4</v>
          </cell>
        </row>
        <row r="72">
          <cell r="A72">
            <v>72</v>
          </cell>
          <cell r="B72" t="str">
            <v>forêt</v>
          </cell>
          <cell r="D72" t="str">
            <v>précieux</v>
          </cell>
          <cell r="E72" t="str">
            <v>bois</v>
          </cell>
          <cell r="F72" t="str">
            <v>pierre</v>
          </cell>
          <cell r="G72" t="str">
            <v>précieux</v>
          </cell>
          <cell r="H72" t="str">
            <v>précieux</v>
          </cell>
          <cell r="I72" t="str">
            <v>précieux</v>
          </cell>
          <cell r="J72" t="str">
            <v>précieux</v>
          </cell>
          <cell r="K72" t="str">
            <v>épices.fruit</v>
          </cell>
          <cell r="L72" t="str">
            <v>bois</v>
          </cell>
          <cell r="M72" t="str">
            <v>minerai</v>
          </cell>
          <cell r="N72" t="str">
            <v>bois</v>
          </cell>
          <cell r="O72" t="str">
            <v>précieux</v>
          </cell>
          <cell r="P72" t="str">
            <v>précieux</v>
          </cell>
          <cell r="Q72" t="str">
            <v>construction</v>
          </cell>
          <cell r="R72" t="str">
            <v>matériaux</v>
          </cell>
          <cell r="S72" t="str">
            <v>militaire</v>
          </cell>
          <cell r="T72" t="str">
            <v>guerre</v>
          </cell>
          <cell r="U72" t="str">
            <v>créature</v>
          </cell>
          <cell r="W72">
            <v>2</v>
          </cell>
          <cell r="X72" t="str">
            <v>haute</v>
          </cell>
          <cell r="Z72" t="str">
            <v>moyenne</v>
          </cell>
          <cell r="AA72">
            <v>1</v>
          </cell>
          <cell r="AB72" t="str">
            <v>ethnie</v>
          </cell>
          <cell r="AC72" t="str">
            <v>grand marché</v>
          </cell>
          <cell r="AD72">
            <v>1</v>
          </cell>
          <cell r="AE72">
            <v>5</v>
          </cell>
          <cell r="AF72">
            <v>20</v>
          </cell>
          <cell r="AG72" t="str">
            <v>forte</v>
          </cell>
          <cell r="AH72">
            <v>1.2</v>
          </cell>
          <cell r="AI72" t="str">
            <v>précieux</v>
          </cell>
          <cell r="AJ72" t="str">
            <v>pont-levis</v>
          </cell>
          <cell r="AM72">
            <v>4</v>
          </cell>
        </row>
        <row r="73">
          <cell r="A73">
            <v>73</v>
          </cell>
          <cell r="B73" t="str">
            <v>forêt</v>
          </cell>
          <cell r="D73" t="str">
            <v>précieux</v>
          </cell>
          <cell r="E73" t="str">
            <v>bois</v>
          </cell>
          <cell r="F73" t="str">
            <v>pierre</v>
          </cell>
          <cell r="G73" t="str">
            <v>épices.fruit</v>
          </cell>
          <cell r="H73" t="str">
            <v>précieux</v>
          </cell>
          <cell r="I73" t="str">
            <v>précieux</v>
          </cell>
          <cell r="J73" t="str">
            <v>précieux</v>
          </cell>
          <cell r="K73" t="str">
            <v>épices.fruit</v>
          </cell>
          <cell r="L73" t="str">
            <v>bois</v>
          </cell>
          <cell r="M73" t="str">
            <v>minerai</v>
          </cell>
          <cell r="N73" t="str">
            <v>bois</v>
          </cell>
          <cell r="O73" t="str">
            <v>précieux</v>
          </cell>
          <cell r="P73" t="str">
            <v>précieux</v>
          </cell>
          <cell r="Q73" t="str">
            <v>construction</v>
          </cell>
          <cell r="R73" t="str">
            <v>matériaux</v>
          </cell>
          <cell r="S73" t="str">
            <v>militaire</v>
          </cell>
          <cell r="T73" t="str">
            <v>guerre</v>
          </cell>
          <cell r="U73" t="str">
            <v>créature</v>
          </cell>
          <cell r="W73">
            <v>2</v>
          </cell>
          <cell r="X73" t="str">
            <v>haute</v>
          </cell>
          <cell r="Z73" t="str">
            <v>moyenne</v>
          </cell>
          <cell r="AA73">
            <v>1</v>
          </cell>
          <cell r="AB73" t="str">
            <v>ethnie</v>
          </cell>
          <cell r="AC73" t="str">
            <v>grand marché</v>
          </cell>
          <cell r="AD73">
            <v>1</v>
          </cell>
          <cell r="AE73">
            <v>5</v>
          </cell>
          <cell r="AF73">
            <v>20</v>
          </cell>
          <cell r="AG73" t="str">
            <v>forte</v>
          </cell>
          <cell r="AH73">
            <v>1.2</v>
          </cell>
          <cell r="AI73" t="str">
            <v>précieux</v>
          </cell>
          <cell r="AJ73" t="str">
            <v>pont-levis</v>
          </cell>
          <cell r="AM73">
            <v>4</v>
          </cell>
        </row>
        <row r="74">
          <cell r="A74">
            <v>74</v>
          </cell>
          <cell r="B74" t="str">
            <v>forêt</v>
          </cell>
          <cell r="D74" t="str">
            <v>précieux</v>
          </cell>
          <cell r="E74" t="str">
            <v>bois</v>
          </cell>
          <cell r="F74" t="str">
            <v>pierre</v>
          </cell>
          <cell r="G74" t="str">
            <v>épices.fruit</v>
          </cell>
          <cell r="H74" t="str">
            <v>précieux</v>
          </cell>
          <cell r="I74" t="str">
            <v>précieux</v>
          </cell>
          <cell r="J74" t="str">
            <v>précieux</v>
          </cell>
          <cell r="K74" t="str">
            <v>épices.fruit</v>
          </cell>
          <cell r="L74" t="str">
            <v>précieux</v>
          </cell>
          <cell r="M74" t="str">
            <v>pierre</v>
          </cell>
          <cell r="N74" t="str">
            <v>bois</v>
          </cell>
          <cell r="O74" t="str">
            <v>précieux</v>
          </cell>
          <cell r="P74" t="str">
            <v>précieux</v>
          </cell>
          <cell r="Q74" t="str">
            <v>construction</v>
          </cell>
          <cell r="R74" t="str">
            <v>matériaux</v>
          </cell>
          <cell r="S74" t="str">
            <v>militaire</v>
          </cell>
          <cell r="T74" t="str">
            <v>guerre</v>
          </cell>
          <cell r="U74" t="str">
            <v>créature</v>
          </cell>
          <cell r="W74">
            <v>2</v>
          </cell>
          <cell r="X74" t="str">
            <v>haute</v>
          </cell>
          <cell r="Z74" t="str">
            <v>moyenne</v>
          </cell>
          <cell r="AA74">
            <v>1</v>
          </cell>
          <cell r="AB74" t="str">
            <v>ethnie</v>
          </cell>
          <cell r="AC74" t="str">
            <v>grand marché</v>
          </cell>
          <cell r="AD74">
            <v>1</v>
          </cell>
          <cell r="AE74">
            <v>5</v>
          </cell>
          <cell r="AF74">
            <v>20</v>
          </cell>
          <cell r="AG74" t="str">
            <v>forte</v>
          </cell>
          <cell r="AH74">
            <v>1.2</v>
          </cell>
          <cell r="AI74" t="str">
            <v>précieux</v>
          </cell>
          <cell r="AJ74" t="str">
            <v>pont-levis</v>
          </cell>
          <cell r="AM74">
            <v>4</v>
          </cell>
        </row>
        <row r="75">
          <cell r="A75">
            <v>75</v>
          </cell>
          <cell r="B75" t="str">
            <v>forêt</v>
          </cell>
          <cell r="D75" t="str">
            <v>précieux</v>
          </cell>
          <cell r="E75" t="str">
            <v>bois</v>
          </cell>
          <cell r="F75" t="str">
            <v>pierre</v>
          </cell>
          <cell r="G75" t="str">
            <v>épices.fruit</v>
          </cell>
          <cell r="H75" t="str">
            <v>précieux</v>
          </cell>
          <cell r="I75" t="str">
            <v>précieux</v>
          </cell>
          <cell r="J75" t="str">
            <v>épices.fruit</v>
          </cell>
          <cell r="K75" t="str">
            <v>épices.fruit</v>
          </cell>
          <cell r="L75" t="str">
            <v>précieux</v>
          </cell>
          <cell r="M75" t="str">
            <v>pierre</v>
          </cell>
          <cell r="N75" t="str">
            <v>bois</v>
          </cell>
          <cell r="O75" t="str">
            <v>précieux</v>
          </cell>
          <cell r="P75" t="str">
            <v>précieux</v>
          </cell>
          <cell r="Q75" t="str">
            <v>artisanat</v>
          </cell>
          <cell r="R75" t="str">
            <v>spécialité</v>
          </cell>
          <cell r="S75" t="str">
            <v>militaire</v>
          </cell>
          <cell r="T75" t="str">
            <v>guerre</v>
          </cell>
          <cell r="U75" t="str">
            <v>créature</v>
          </cell>
          <cell r="W75">
            <v>2</v>
          </cell>
          <cell r="X75" t="str">
            <v>séparée</v>
          </cell>
          <cell r="Z75" t="str">
            <v>moyenne</v>
          </cell>
          <cell r="AA75">
            <v>1</v>
          </cell>
          <cell r="AB75" t="str">
            <v>ethnie</v>
          </cell>
          <cell r="AC75" t="str">
            <v>grand marché</v>
          </cell>
          <cell r="AD75">
            <v>1</v>
          </cell>
          <cell r="AE75">
            <v>5</v>
          </cell>
          <cell r="AF75">
            <v>20</v>
          </cell>
          <cell r="AG75" t="str">
            <v>forte</v>
          </cell>
          <cell r="AH75">
            <v>1.2</v>
          </cell>
          <cell r="AI75" t="str">
            <v>précieux</v>
          </cell>
          <cell r="AJ75" t="str">
            <v>pont-levis</v>
          </cell>
          <cell r="AM75">
            <v>4</v>
          </cell>
        </row>
        <row r="76">
          <cell r="A76">
            <v>76</v>
          </cell>
          <cell r="B76" t="str">
            <v>forêt</v>
          </cell>
          <cell r="D76" t="str">
            <v>précieux</v>
          </cell>
          <cell r="E76" t="str">
            <v>bois</v>
          </cell>
          <cell r="F76" t="str">
            <v>bois</v>
          </cell>
          <cell r="G76" t="str">
            <v>épices.fruit</v>
          </cell>
          <cell r="H76" t="str">
            <v>précieux</v>
          </cell>
          <cell r="I76" t="str">
            <v>précieux</v>
          </cell>
          <cell r="J76" t="str">
            <v>épices.fruit</v>
          </cell>
          <cell r="K76" t="str">
            <v>épices.fruit</v>
          </cell>
          <cell r="L76" t="str">
            <v>précieux</v>
          </cell>
          <cell r="M76" t="str">
            <v>pierre</v>
          </cell>
          <cell r="N76" t="str">
            <v>bois</v>
          </cell>
          <cell r="O76" t="str">
            <v>précieux</v>
          </cell>
          <cell r="P76" t="str">
            <v>précieux</v>
          </cell>
          <cell r="Q76" t="str">
            <v>artisanat</v>
          </cell>
          <cell r="R76" t="str">
            <v>spécialité</v>
          </cell>
          <cell r="S76" t="str">
            <v>militaire</v>
          </cell>
          <cell r="T76" t="str">
            <v>guerre</v>
          </cell>
          <cell r="U76" t="str">
            <v>créature</v>
          </cell>
          <cell r="W76">
            <v>2</v>
          </cell>
          <cell r="X76" t="str">
            <v>séparée</v>
          </cell>
          <cell r="Z76" t="str">
            <v>moyenne</v>
          </cell>
          <cell r="AA76">
            <v>1</v>
          </cell>
          <cell r="AB76" t="str">
            <v>ethnie</v>
          </cell>
          <cell r="AC76" t="str">
            <v>foire</v>
          </cell>
          <cell r="AD76">
            <v>2</v>
          </cell>
          <cell r="AE76">
            <v>10</v>
          </cell>
          <cell r="AF76">
            <v>5</v>
          </cell>
          <cell r="AG76" t="str">
            <v>forte</v>
          </cell>
          <cell r="AH76">
            <v>1.2</v>
          </cell>
          <cell r="AI76" t="str">
            <v>bois/pierre</v>
          </cell>
          <cell r="AJ76" t="str">
            <v>pont-levis</v>
          </cell>
          <cell r="AM76">
            <v>5</v>
          </cell>
        </row>
        <row r="77">
          <cell r="A77">
            <v>77</v>
          </cell>
          <cell r="B77" t="str">
            <v>forêt</v>
          </cell>
          <cell r="D77" t="str">
            <v>précieux</v>
          </cell>
          <cell r="E77" t="str">
            <v>bois</v>
          </cell>
          <cell r="F77" t="str">
            <v>bois</v>
          </cell>
          <cell r="G77" t="str">
            <v>épices.fruit</v>
          </cell>
          <cell r="H77" t="str">
            <v>épices.fruit</v>
          </cell>
          <cell r="I77" t="str">
            <v>épices.fruit</v>
          </cell>
          <cell r="J77" t="str">
            <v>épices.fruit</v>
          </cell>
          <cell r="K77" t="str">
            <v>épices.fruit</v>
          </cell>
          <cell r="L77" t="str">
            <v>précieux</v>
          </cell>
          <cell r="M77" t="str">
            <v>pierre</v>
          </cell>
          <cell r="N77" t="str">
            <v>bois</v>
          </cell>
          <cell r="O77" t="str">
            <v>précieux</v>
          </cell>
          <cell r="P77" t="str">
            <v>épices.fruit</v>
          </cell>
          <cell r="Q77" t="str">
            <v>artisanat</v>
          </cell>
          <cell r="R77" t="str">
            <v>spécialité</v>
          </cell>
          <cell r="S77" t="str">
            <v>militaire</v>
          </cell>
          <cell r="T77" t="str">
            <v>guerre</v>
          </cell>
          <cell r="U77" t="str">
            <v>créature</v>
          </cell>
          <cell r="W77">
            <v>2</v>
          </cell>
          <cell r="X77" t="str">
            <v>séparée</v>
          </cell>
          <cell r="Z77" t="str">
            <v>moyenne</v>
          </cell>
          <cell r="AA77">
            <v>1</v>
          </cell>
          <cell r="AB77" t="str">
            <v>ethnie</v>
          </cell>
          <cell r="AC77" t="str">
            <v>foire</v>
          </cell>
          <cell r="AD77">
            <v>2</v>
          </cell>
          <cell r="AE77">
            <v>10</v>
          </cell>
          <cell r="AF77">
            <v>5</v>
          </cell>
          <cell r="AG77" t="str">
            <v>forte</v>
          </cell>
          <cell r="AH77">
            <v>1.2</v>
          </cell>
          <cell r="AI77" t="str">
            <v>bois/pierre</v>
          </cell>
          <cell r="AJ77" t="str">
            <v>pont-levis</v>
          </cell>
          <cell r="AM77">
            <v>5</v>
          </cell>
        </row>
        <row r="78">
          <cell r="A78">
            <v>78</v>
          </cell>
          <cell r="B78" t="str">
            <v>forêt</v>
          </cell>
          <cell r="D78" t="str">
            <v>précieux</v>
          </cell>
          <cell r="E78" t="str">
            <v>bois</v>
          </cell>
          <cell r="F78" t="str">
            <v>bois</v>
          </cell>
          <cell r="G78" t="str">
            <v>épices.fruit</v>
          </cell>
          <cell r="H78" t="str">
            <v>épices.fruit</v>
          </cell>
          <cell r="I78" t="str">
            <v>épices.fruit</v>
          </cell>
          <cell r="J78" t="str">
            <v>épices.fruit</v>
          </cell>
          <cell r="K78" t="str">
            <v>épices.fruit</v>
          </cell>
          <cell r="L78" t="str">
            <v>précieux</v>
          </cell>
          <cell r="M78" t="str">
            <v>bois</v>
          </cell>
          <cell r="N78" t="str">
            <v>précieux</v>
          </cell>
          <cell r="O78" t="str">
            <v>précieux</v>
          </cell>
          <cell r="P78" t="str">
            <v>épices.fruit</v>
          </cell>
          <cell r="Q78" t="str">
            <v>artisanat</v>
          </cell>
          <cell r="R78" t="str">
            <v>spécialité</v>
          </cell>
          <cell r="S78" t="str">
            <v>militaire</v>
          </cell>
          <cell r="T78" t="str">
            <v>guerre</v>
          </cell>
          <cell r="U78" t="str">
            <v>créature</v>
          </cell>
          <cell r="W78">
            <v>2</v>
          </cell>
          <cell r="X78" t="str">
            <v>séparée</v>
          </cell>
          <cell r="Z78" t="str">
            <v>moyenne</v>
          </cell>
          <cell r="AA78">
            <v>1</v>
          </cell>
          <cell r="AB78" t="str">
            <v>ethnie</v>
          </cell>
          <cell r="AC78" t="str">
            <v>foire</v>
          </cell>
          <cell r="AD78">
            <v>2</v>
          </cell>
          <cell r="AE78">
            <v>10</v>
          </cell>
          <cell r="AF78">
            <v>5</v>
          </cell>
          <cell r="AG78" t="str">
            <v>forte</v>
          </cell>
          <cell r="AH78">
            <v>1.2</v>
          </cell>
          <cell r="AI78" t="str">
            <v>bois/pierre</v>
          </cell>
          <cell r="AJ78" t="str">
            <v>pont-levis</v>
          </cell>
          <cell r="AM78">
            <v>5</v>
          </cell>
        </row>
        <row r="79">
          <cell r="A79">
            <v>79</v>
          </cell>
          <cell r="B79" t="str">
            <v>jungle</v>
          </cell>
          <cell r="D79" t="str">
            <v>précieux</v>
          </cell>
          <cell r="E79" t="str">
            <v>précieux</v>
          </cell>
          <cell r="F79" t="str">
            <v>bois</v>
          </cell>
          <cell r="G79" t="str">
            <v>épices.fruit</v>
          </cell>
          <cell r="H79" t="str">
            <v>épices.fruit</v>
          </cell>
          <cell r="I79" t="str">
            <v>épices.fruit</v>
          </cell>
          <cell r="J79" t="str">
            <v>épices.fruit</v>
          </cell>
          <cell r="K79" t="str">
            <v>épices.fruit</v>
          </cell>
          <cell r="L79" t="str">
            <v>précieux</v>
          </cell>
          <cell r="M79" t="str">
            <v>bois</v>
          </cell>
          <cell r="N79" t="str">
            <v>précieux</v>
          </cell>
          <cell r="O79" t="str">
            <v>précieux</v>
          </cell>
          <cell r="P79" t="str">
            <v>épices.fruit</v>
          </cell>
          <cell r="Q79" t="str">
            <v>artisanat</v>
          </cell>
          <cell r="R79" t="str">
            <v>spécialité</v>
          </cell>
          <cell r="S79" t="str">
            <v>militaire</v>
          </cell>
          <cell r="T79" t="str">
            <v>guerre</v>
          </cell>
          <cell r="U79" t="str">
            <v>créature</v>
          </cell>
          <cell r="W79">
            <v>3</v>
          </cell>
          <cell r="X79" t="str">
            <v>séparée</v>
          </cell>
          <cell r="Z79" t="str">
            <v>moyenne</v>
          </cell>
          <cell r="AA79">
            <v>1</v>
          </cell>
          <cell r="AB79" t="str">
            <v>ethnie</v>
          </cell>
          <cell r="AC79" t="str">
            <v>foire</v>
          </cell>
          <cell r="AD79">
            <v>2</v>
          </cell>
          <cell r="AE79">
            <v>10</v>
          </cell>
          <cell r="AF79">
            <v>5</v>
          </cell>
          <cell r="AG79" t="str">
            <v>forte</v>
          </cell>
          <cell r="AH79">
            <v>1.2</v>
          </cell>
          <cell r="AI79" t="str">
            <v>bois/pierre</v>
          </cell>
          <cell r="AJ79" t="str">
            <v>pont-levis</v>
          </cell>
          <cell r="AM79">
            <v>5</v>
          </cell>
        </row>
        <row r="80">
          <cell r="A80">
            <v>80</v>
          </cell>
          <cell r="B80" t="str">
            <v>jungle</v>
          </cell>
          <cell r="D80" t="str">
            <v>précieux</v>
          </cell>
          <cell r="E80" t="str">
            <v>précieux</v>
          </cell>
          <cell r="F80" t="str">
            <v>bois</v>
          </cell>
          <cell r="G80" t="str">
            <v>épices.fruit</v>
          </cell>
          <cell r="H80" t="str">
            <v>épices.fruit</v>
          </cell>
          <cell r="I80" t="str">
            <v>épices.fruit</v>
          </cell>
          <cell r="J80" t="str">
            <v>épices.fruit</v>
          </cell>
          <cell r="K80" t="str">
            <v>épices.fruit</v>
          </cell>
          <cell r="L80" t="str">
            <v>précieux</v>
          </cell>
          <cell r="M80" t="str">
            <v>bois</v>
          </cell>
          <cell r="N80" t="str">
            <v>précieux</v>
          </cell>
          <cell r="O80" t="str">
            <v>précieux</v>
          </cell>
          <cell r="P80" t="str">
            <v>épices.fruit</v>
          </cell>
          <cell r="Q80" t="str">
            <v>artisanat</v>
          </cell>
          <cell r="R80" t="str">
            <v>spécialité</v>
          </cell>
          <cell r="S80" t="str">
            <v>militaire</v>
          </cell>
          <cell r="T80" t="str">
            <v>guerre</v>
          </cell>
          <cell r="U80" t="str">
            <v>créature</v>
          </cell>
          <cell r="W80">
            <v>3</v>
          </cell>
          <cell r="X80" t="str">
            <v>séparée</v>
          </cell>
          <cell r="Z80" t="str">
            <v>moyenne</v>
          </cell>
          <cell r="AA80">
            <v>1</v>
          </cell>
          <cell r="AB80" t="str">
            <v>ethnie</v>
          </cell>
          <cell r="AC80" t="str">
            <v>foire</v>
          </cell>
          <cell r="AD80">
            <v>2</v>
          </cell>
          <cell r="AE80">
            <v>10</v>
          </cell>
          <cell r="AF80">
            <v>5</v>
          </cell>
          <cell r="AG80" t="str">
            <v>forte</v>
          </cell>
          <cell r="AH80">
            <v>1.2</v>
          </cell>
          <cell r="AI80" t="str">
            <v>bois/pierre</v>
          </cell>
          <cell r="AJ80" t="str">
            <v>tour</v>
          </cell>
          <cell r="AM80">
            <v>5</v>
          </cell>
        </row>
        <row r="81">
          <cell r="A81">
            <v>81</v>
          </cell>
          <cell r="B81" t="str">
            <v>jungle</v>
          </cell>
          <cell r="D81" t="str">
            <v>précieux</v>
          </cell>
          <cell r="E81" t="str">
            <v>précieux</v>
          </cell>
          <cell r="F81" t="str">
            <v>bois</v>
          </cell>
          <cell r="G81" t="str">
            <v>épices.fruit</v>
          </cell>
          <cell r="H81" t="str">
            <v>épices.fruit</v>
          </cell>
          <cell r="I81" t="str">
            <v>épices.fruit</v>
          </cell>
          <cell r="J81" t="str">
            <v>épices.fruit</v>
          </cell>
          <cell r="K81" t="str">
            <v>épices.fruit</v>
          </cell>
          <cell r="L81" t="str">
            <v>précieux</v>
          </cell>
          <cell r="M81" t="str">
            <v>bois</v>
          </cell>
          <cell r="N81" t="str">
            <v>épices.fruit</v>
          </cell>
          <cell r="O81" t="str">
            <v>précieux</v>
          </cell>
          <cell r="P81" t="str">
            <v>épices.fruit</v>
          </cell>
          <cell r="Q81" t="str">
            <v>artisanat</v>
          </cell>
          <cell r="R81" t="str">
            <v>spécialité</v>
          </cell>
          <cell r="S81" t="str">
            <v>militaire</v>
          </cell>
          <cell r="T81" t="str">
            <v>guerre</v>
          </cell>
          <cell r="U81" t="str">
            <v>créature</v>
          </cell>
          <cell r="W81">
            <v>3</v>
          </cell>
          <cell r="X81" t="str">
            <v>séparée</v>
          </cell>
          <cell r="Z81" t="str">
            <v>riche</v>
          </cell>
          <cell r="AA81">
            <v>1.1000000000000001</v>
          </cell>
          <cell r="AB81" t="str">
            <v>ethnie</v>
          </cell>
          <cell r="AC81" t="str">
            <v>foire</v>
          </cell>
          <cell r="AD81">
            <v>2</v>
          </cell>
          <cell r="AE81">
            <v>10</v>
          </cell>
          <cell r="AF81">
            <v>5</v>
          </cell>
          <cell r="AG81" t="str">
            <v>forte</v>
          </cell>
          <cell r="AH81">
            <v>1.2</v>
          </cell>
          <cell r="AI81" t="str">
            <v>bois/pierre</v>
          </cell>
          <cell r="AJ81" t="str">
            <v>tour</v>
          </cell>
          <cell r="AM81">
            <v>5</v>
          </cell>
        </row>
        <row r="82">
          <cell r="A82">
            <v>82</v>
          </cell>
          <cell r="B82" t="str">
            <v>marais</v>
          </cell>
          <cell r="D82" t="str">
            <v>précieux</v>
          </cell>
          <cell r="E82" t="str">
            <v>précieux</v>
          </cell>
          <cell r="F82" t="str">
            <v>bois</v>
          </cell>
          <cell r="G82" t="str">
            <v>épices.fruit</v>
          </cell>
          <cell r="H82" t="str">
            <v>épices.fruit</v>
          </cell>
          <cell r="I82" t="str">
            <v>épices.fruit</v>
          </cell>
          <cell r="J82" t="str">
            <v>épices.fruit</v>
          </cell>
          <cell r="K82" t="str">
            <v>épices.fruit</v>
          </cell>
          <cell r="L82" t="str">
            <v>précieux</v>
          </cell>
          <cell r="M82" t="str">
            <v>précieux</v>
          </cell>
          <cell r="N82" t="str">
            <v>épices.fruit</v>
          </cell>
          <cell r="O82" t="str">
            <v>précieux</v>
          </cell>
          <cell r="P82" t="str">
            <v>épices.fruit</v>
          </cell>
          <cell r="Q82" t="str">
            <v>artisanat</v>
          </cell>
          <cell r="R82" t="str">
            <v>spécialité</v>
          </cell>
          <cell r="S82" t="str">
            <v>militaire</v>
          </cell>
          <cell r="T82" t="str">
            <v>guerre</v>
          </cell>
          <cell r="U82" t="str">
            <v>créature</v>
          </cell>
          <cell r="W82">
            <v>2</v>
          </cell>
          <cell r="X82" t="str">
            <v>séparée</v>
          </cell>
          <cell r="Z82" t="str">
            <v>riche</v>
          </cell>
          <cell r="AA82">
            <v>1.1000000000000001</v>
          </cell>
          <cell r="AB82" t="str">
            <v>ethnie</v>
          </cell>
          <cell r="AC82" t="str">
            <v>foire</v>
          </cell>
          <cell r="AD82">
            <v>2</v>
          </cell>
          <cell r="AE82">
            <v>10</v>
          </cell>
          <cell r="AF82">
            <v>5</v>
          </cell>
          <cell r="AG82" t="str">
            <v>forte</v>
          </cell>
          <cell r="AH82">
            <v>1.2</v>
          </cell>
          <cell r="AI82" t="str">
            <v>bois/pierre</v>
          </cell>
          <cell r="AJ82" t="str">
            <v>tour</v>
          </cell>
          <cell r="AM82">
            <v>5</v>
          </cell>
        </row>
        <row r="83">
          <cell r="A83">
            <v>83</v>
          </cell>
          <cell r="B83" t="str">
            <v>montagne</v>
          </cell>
          <cell r="D83" t="str">
            <v>précieux</v>
          </cell>
          <cell r="E83" t="str">
            <v>précieux</v>
          </cell>
          <cell r="F83" t="str">
            <v>bois</v>
          </cell>
          <cell r="G83" t="str">
            <v>épices.fruit</v>
          </cell>
          <cell r="H83" t="str">
            <v>épices.fruit</v>
          </cell>
          <cell r="I83" t="str">
            <v>épices.fruit</v>
          </cell>
          <cell r="J83" t="str">
            <v>épices.fruit</v>
          </cell>
          <cell r="K83" t="str">
            <v>épices.fruit</v>
          </cell>
          <cell r="L83" t="str">
            <v>précieux</v>
          </cell>
          <cell r="M83" t="str">
            <v>précieux</v>
          </cell>
          <cell r="N83" t="str">
            <v>épices.fruit</v>
          </cell>
          <cell r="O83" t="str">
            <v>précieux</v>
          </cell>
          <cell r="P83" t="str">
            <v>épices.fruit</v>
          </cell>
          <cell r="Q83" t="str">
            <v>artisanat</v>
          </cell>
          <cell r="R83" t="str">
            <v>spécialité</v>
          </cell>
          <cell r="S83" t="str">
            <v>économie</v>
          </cell>
          <cell r="T83" t="str">
            <v>finance</v>
          </cell>
          <cell r="U83" t="str">
            <v>unique</v>
          </cell>
          <cell r="W83">
            <v>3</v>
          </cell>
          <cell r="X83" t="str">
            <v>séparée</v>
          </cell>
          <cell r="Z83" t="str">
            <v>riche</v>
          </cell>
          <cell r="AA83">
            <v>1.1000000000000001</v>
          </cell>
          <cell r="AB83" t="str">
            <v>ethnie</v>
          </cell>
          <cell r="AC83" t="str">
            <v>foire</v>
          </cell>
          <cell r="AD83">
            <v>2</v>
          </cell>
          <cell r="AE83">
            <v>10</v>
          </cell>
          <cell r="AF83">
            <v>5</v>
          </cell>
          <cell r="AG83" t="str">
            <v>forte</v>
          </cell>
          <cell r="AH83">
            <v>1.2</v>
          </cell>
          <cell r="AI83" t="str">
            <v>bois/pierre</v>
          </cell>
          <cell r="AJ83" t="str">
            <v>tour</v>
          </cell>
          <cell r="AM83">
            <v>5</v>
          </cell>
        </row>
        <row r="84">
          <cell r="A84">
            <v>84</v>
          </cell>
          <cell r="B84" t="str">
            <v>montagne</v>
          </cell>
          <cell r="D84" t="str">
            <v>précieux</v>
          </cell>
          <cell r="E84" t="str">
            <v>précieux</v>
          </cell>
          <cell r="F84" t="str">
            <v>bois</v>
          </cell>
          <cell r="G84" t="str">
            <v>épices.fruit</v>
          </cell>
          <cell r="H84" t="str">
            <v>épices.fruit</v>
          </cell>
          <cell r="I84" t="str">
            <v>épices.fruit</v>
          </cell>
          <cell r="J84" t="str">
            <v>épices.fruit</v>
          </cell>
          <cell r="K84" t="str">
            <v>épices.fruit</v>
          </cell>
          <cell r="L84" t="str">
            <v>précieux</v>
          </cell>
          <cell r="M84" t="str">
            <v>précieux</v>
          </cell>
          <cell r="N84" t="str">
            <v>épices.fruit</v>
          </cell>
          <cell r="O84" t="str">
            <v>précieux</v>
          </cell>
          <cell r="P84" t="str">
            <v>épices.fruit</v>
          </cell>
          <cell r="Q84" t="str">
            <v>artisanat</v>
          </cell>
          <cell r="R84" t="str">
            <v>spécialité</v>
          </cell>
          <cell r="S84" t="str">
            <v>économie</v>
          </cell>
          <cell r="T84" t="str">
            <v>finance</v>
          </cell>
          <cell r="U84" t="str">
            <v>unique</v>
          </cell>
          <cell r="W84">
            <v>3</v>
          </cell>
          <cell r="X84" t="str">
            <v>centrale</v>
          </cell>
          <cell r="Z84" t="str">
            <v>riche</v>
          </cell>
          <cell r="AA84">
            <v>1.1000000000000001</v>
          </cell>
          <cell r="AB84" t="str">
            <v>ethnie</v>
          </cell>
          <cell r="AC84" t="str">
            <v>foire</v>
          </cell>
          <cell r="AD84">
            <v>2</v>
          </cell>
          <cell r="AE84">
            <v>10</v>
          </cell>
          <cell r="AF84">
            <v>5</v>
          </cell>
          <cell r="AG84" t="str">
            <v>forte</v>
          </cell>
          <cell r="AH84">
            <v>1.2</v>
          </cell>
          <cell r="AI84" t="str">
            <v>bois/pierre</v>
          </cell>
          <cell r="AJ84" t="str">
            <v>tour</v>
          </cell>
          <cell r="AM84">
            <v>5</v>
          </cell>
        </row>
        <row r="85">
          <cell r="A85">
            <v>85</v>
          </cell>
          <cell r="B85" t="str">
            <v>océan</v>
          </cell>
          <cell r="D85" t="str">
            <v>précieux</v>
          </cell>
          <cell r="E85" t="str">
            <v>précieux</v>
          </cell>
          <cell r="F85" t="str">
            <v>bois</v>
          </cell>
          <cell r="G85" t="str">
            <v>épices.fruit</v>
          </cell>
          <cell r="H85" t="str">
            <v>épices.fruit</v>
          </cell>
          <cell r="I85" t="str">
            <v>épices.fruit</v>
          </cell>
          <cell r="J85" t="str">
            <v>épices.fruit</v>
          </cell>
          <cell r="K85" t="str">
            <v>épices.fruit</v>
          </cell>
          <cell r="L85" t="str">
            <v>précieux</v>
          </cell>
          <cell r="M85" t="str">
            <v>précieux</v>
          </cell>
          <cell r="N85" t="str">
            <v>épices.fruit</v>
          </cell>
          <cell r="O85" t="str">
            <v>précieux</v>
          </cell>
          <cell r="P85" t="str">
            <v>épices.fruit</v>
          </cell>
          <cell r="Q85" t="str">
            <v>artisanat</v>
          </cell>
          <cell r="R85" t="str">
            <v>spécialité</v>
          </cell>
          <cell r="S85" t="str">
            <v>économie</v>
          </cell>
          <cell r="T85" t="str">
            <v>finance</v>
          </cell>
          <cell r="U85" t="str">
            <v>unique</v>
          </cell>
          <cell r="W85">
            <v>-3</v>
          </cell>
          <cell r="X85" t="str">
            <v>centrale</v>
          </cell>
          <cell r="Z85" t="str">
            <v>riche</v>
          </cell>
          <cell r="AA85">
            <v>1.1000000000000001</v>
          </cell>
          <cell r="AB85" t="str">
            <v>ethnie</v>
          </cell>
          <cell r="AC85" t="str">
            <v>foire</v>
          </cell>
          <cell r="AD85">
            <v>2</v>
          </cell>
          <cell r="AE85">
            <v>10</v>
          </cell>
          <cell r="AF85">
            <v>5</v>
          </cell>
          <cell r="AG85" t="str">
            <v>forte</v>
          </cell>
          <cell r="AH85">
            <v>1.2</v>
          </cell>
          <cell r="AI85" t="str">
            <v>bois/pierre</v>
          </cell>
          <cell r="AJ85" t="str">
            <v>tour</v>
          </cell>
          <cell r="AM85">
            <v>5</v>
          </cell>
        </row>
        <row r="86">
          <cell r="A86">
            <v>86</v>
          </cell>
          <cell r="B86" t="str">
            <v>plaine</v>
          </cell>
          <cell r="D86" t="str">
            <v>précieux</v>
          </cell>
          <cell r="E86" t="str">
            <v>précieux</v>
          </cell>
          <cell r="F86" t="str">
            <v>précieux</v>
          </cell>
          <cell r="G86" t="str">
            <v>végétal.plan</v>
          </cell>
          <cell r="H86" t="str">
            <v>épices.fruit</v>
          </cell>
          <cell r="I86" t="str">
            <v>épices.fruit</v>
          </cell>
          <cell r="J86" t="str">
            <v>épices.fruit</v>
          </cell>
          <cell r="K86" t="str">
            <v>épices.fruit</v>
          </cell>
          <cell r="L86" t="str">
            <v>précieux</v>
          </cell>
          <cell r="M86" t="str">
            <v>précieux</v>
          </cell>
          <cell r="N86" t="str">
            <v>épices.fruit</v>
          </cell>
          <cell r="O86" t="str">
            <v>précieux</v>
          </cell>
          <cell r="P86" t="str">
            <v>épices.fruit</v>
          </cell>
          <cell r="Q86" t="str">
            <v>artisanat</v>
          </cell>
          <cell r="R86" t="str">
            <v>spécialité</v>
          </cell>
          <cell r="S86" t="str">
            <v>économie</v>
          </cell>
          <cell r="T86" t="str">
            <v>finance</v>
          </cell>
          <cell r="U86" t="str">
            <v>unique</v>
          </cell>
          <cell r="W86">
            <v>0</v>
          </cell>
          <cell r="X86" t="str">
            <v>centrale</v>
          </cell>
          <cell r="Z86" t="str">
            <v>riche</v>
          </cell>
          <cell r="AA86">
            <v>1.1000000000000001</v>
          </cell>
          <cell r="AB86" t="str">
            <v>ethnie</v>
          </cell>
          <cell r="AC86" t="str">
            <v>foire</v>
          </cell>
          <cell r="AD86">
            <v>2</v>
          </cell>
          <cell r="AE86">
            <v>10</v>
          </cell>
          <cell r="AF86">
            <v>5</v>
          </cell>
          <cell r="AG86" t="str">
            <v>très forte</v>
          </cell>
          <cell r="AH86">
            <v>1.5</v>
          </cell>
          <cell r="AI86" t="str">
            <v>bois/pierre</v>
          </cell>
          <cell r="AJ86" t="str">
            <v>tour</v>
          </cell>
          <cell r="AM86">
            <v>5</v>
          </cell>
        </row>
        <row r="87">
          <cell r="A87">
            <v>87</v>
          </cell>
          <cell r="B87" t="str">
            <v>plaine</v>
          </cell>
          <cell r="D87" t="str">
            <v>épices.fruit</v>
          </cell>
          <cell r="E87" t="str">
            <v>épices.fruit</v>
          </cell>
          <cell r="F87" t="str">
            <v>précieux</v>
          </cell>
          <cell r="G87" t="str">
            <v>végétal.plan</v>
          </cell>
          <cell r="H87" t="str">
            <v>épices.fruit</v>
          </cell>
          <cell r="I87" t="str">
            <v>épices.fruit</v>
          </cell>
          <cell r="J87" t="str">
            <v>épices.fruit</v>
          </cell>
          <cell r="K87" t="str">
            <v>épices.fruit</v>
          </cell>
          <cell r="L87" t="str">
            <v>précieux</v>
          </cell>
          <cell r="M87" t="str">
            <v>précieux</v>
          </cell>
          <cell r="N87" t="str">
            <v>épices.fruit</v>
          </cell>
          <cell r="O87" t="str">
            <v>précieux</v>
          </cell>
          <cell r="P87" t="str">
            <v>épices.fruit</v>
          </cell>
          <cell r="Q87" t="str">
            <v>artisanat</v>
          </cell>
          <cell r="R87" t="str">
            <v>spécialité</v>
          </cell>
          <cell r="S87" t="str">
            <v>économie</v>
          </cell>
          <cell r="T87" t="str">
            <v>finance</v>
          </cell>
          <cell r="U87" t="str">
            <v>unique</v>
          </cell>
          <cell r="W87">
            <v>0</v>
          </cell>
          <cell r="X87" t="str">
            <v>centrale</v>
          </cell>
          <cell r="Z87" t="str">
            <v>riche</v>
          </cell>
          <cell r="AA87">
            <v>1.1000000000000001</v>
          </cell>
          <cell r="AB87" t="str">
            <v>ethnie</v>
          </cell>
          <cell r="AC87" t="str">
            <v>foire</v>
          </cell>
          <cell r="AD87">
            <v>2</v>
          </cell>
          <cell r="AE87">
            <v>10</v>
          </cell>
          <cell r="AF87">
            <v>5</v>
          </cell>
          <cell r="AG87" t="str">
            <v>très forte</v>
          </cell>
          <cell r="AH87">
            <v>1.5</v>
          </cell>
          <cell r="AI87" t="str">
            <v>bois/pierre</v>
          </cell>
          <cell r="AJ87" t="str">
            <v>tour</v>
          </cell>
          <cell r="AM87">
            <v>5</v>
          </cell>
        </row>
        <row r="88">
          <cell r="A88">
            <v>88</v>
          </cell>
          <cell r="B88" t="str">
            <v>plaine</v>
          </cell>
          <cell r="D88" t="str">
            <v>épices.fruit</v>
          </cell>
          <cell r="E88" t="str">
            <v>épices.fruit</v>
          </cell>
          <cell r="F88" t="str">
            <v>précieux</v>
          </cell>
          <cell r="G88" t="str">
            <v>végétal.plan</v>
          </cell>
          <cell r="H88" t="str">
            <v>épices.fruit</v>
          </cell>
          <cell r="I88" t="str">
            <v>végétal.plan</v>
          </cell>
          <cell r="J88" t="str">
            <v>végétal.plan</v>
          </cell>
          <cell r="K88" t="str">
            <v>végétal.plan</v>
          </cell>
          <cell r="L88" t="str">
            <v>précieux</v>
          </cell>
          <cell r="M88" t="str">
            <v>précieux</v>
          </cell>
          <cell r="N88" t="str">
            <v>épices.fruit</v>
          </cell>
          <cell r="O88" t="str">
            <v>épices.fruit</v>
          </cell>
          <cell r="P88" t="str">
            <v>végétal.plan</v>
          </cell>
          <cell r="Q88" t="str">
            <v>artisanat</v>
          </cell>
          <cell r="R88" t="str">
            <v>spécialité</v>
          </cell>
          <cell r="S88" t="str">
            <v>économie</v>
          </cell>
          <cell r="T88" t="str">
            <v>finance</v>
          </cell>
          <cell r="U88" t="str">
            <v>unique</v>
          </cell>
          <cell r="W88">
            <v>0</v>
          </cell>
          <cell r="X88" t="str">
            <v>centrale</v>
          </cell>
          <cell r="Z88" t="str">
            <v>riche</v>
          </cell>
          <cell r="AA88">
            <v>1.1000000000000001</v>
          </cell>
          <cell r="AB88" t="str">
            <v>ethnie</v>
          </cell>
          <cell r="AC88" t="str">
            <v>foire</v>
          </cell>
          <cell r="AD88">
            <v>2</v>
          </cell>
          <cell r="AE88">
            <v>10</v>
          </cell>
          <cell r="AF88">
            <v>5</v>
          </cell>
          <cell r="AG88" t="str">
            <v>très forte</v>
          </cell>
          <cell r="AH88">
            <v>1.5</v>
          </cell>
          <cell r="AI88" t="str">
            <v>bois/pierre</v>
          </cell>
          <cell r="AJ88" t="str">
            <v>tour</v>
          </cell>
          <cell r="AM88">
            <v>5</v>
          </cell>
        </row>
        <row r="89">
          <cell r="A89">
            <v>89</v>
          </cell>
          <cell r="B89" t="str">
            <v>plaine</v>
          </cell>
          <cell r="D89" t="str">
            <v>épices.fruit</v>
          </cell>
          <cell r="E89" t="str">
            <v>épices.fruit</v>
          </cell>
          <cell r="F89" t="str">
            <v>précieux</v>
          </cell>
          <cell r="G89" t="str">
            <v>végétal.plan</v>
          </cell>
          <cell r="H89" t="str">
            <v>épices.fruit</v>
          </cell>
          <cell r="I89" t="str">
            <v>végétal.plan</v>
          </cell>
          <cell r="J89" t="str">
            <v>végétal.plan</v>
          </cell>
          <cell r="K89" t="str">
            <v>végétal.plan</v>
          </cell>
          <cell r="L89" t="str">
            <v>précieux</v>
          </cell>
          <cell r="M89" t="str">
            <v>précieux</v>
          </cell>
          <cell r="N89" t="str">
            <v>végétal.plan</v>
          </cell>
          <cell r="O89" t="str">
            <v>épices.fruit</v>
          </cell>
          <cell r="P89" t="str">
            <v>végétal.plan</v>
          </cell>
          <cell r="Q89" t="str">
            <v>artisanat</v>
          </cell>
          <cell r="R89" t="str">
            <v>spécialité</v>
          </cell>
          <cell r="S89" t="str">
            <v>économie</v>
          </cell>
          <cell r="T89" t="str">
            <v>finance</v>
          </cell>
          <cell r="U89" t="str">
            <v>unique</v>
          </cell>
          <cell r="W89">
            <v>0</v>
          </cell>
          <cell r="X89" t="str">
            <v>centrale</v>
          </cell>
          <cell r="Z89" t="str">
            <v>riche</v>
          </cell>
          <cell r="AA89">
            <v>1.1000000000000001</v>
          </cell>
          <cell r="AB89" t="str">
            <v>ethnie</v>
          </cell>
          <cell r="AC89" t="str">
            <v>foire</v>
          </cell>
          <cell r="AD89">
            <v>2</v>
          </cell>
          <cell r="AE89">
            <v>10</v>
          </cell>
          <cell r="AF89">
            <v>5</v>
          </cell>
          <cell r="AG89" t="str">
            <v>très forte</v>
          </cell>
          <cell r="AH89">
            <v>1.5</v>
          </cell>
          <cell r="AI89" t="str">
            <v>bois/pierre</v>
          </cell>
          <cell r="AJ89" t="str">
            <v>tour</v>
          </cell>
          <cell r="AM89">
            <v>5</v>
          </cell>
        </row>
        <row r="90">
          <cell r="A90">
            <v>90</v>
          </cell>
          <cell r="B90" t="str">
            <v>plaine</v>
          </cell>
          <cell r="D90" t="str">
            <v>épices.fruit</v>
          </cell>
          <cell r="E90" t="str">
            <v>épices.fruit</v>
          </cell>
          <cell r="F90" t="str">
            <v>précieux</v>
          </cell>
          <cell r="G90" t="str">
            <v>végétal.plan</v>
          </cell>
          <cell r="H90" t="str">
            <v>épices.fruit</v>
          </cell>
          <cell r="I90" t="str">
            <v>végétal.plan</v>
          </cell>
          <cell r="J90" t="str">
            <v>végétal.plan</v>
          </cell>
          <cell r="K90" t="str">
            <v>végétal.plan</v>
          </cell>
          <cell r="L90" t="str">
            <v>épices.fruit</v>
          </cell>
          <cell r="M90" t="str">
            <v>précieux</v>
          </cell>
          <cell r="N90" t="str">
            <v>végétal.plan</v>
          </cell>
          <cell r="O90" t="str">
            <v>épices.fruit</v>
          </cell>
          <cell r="P90" t="str">
            <v>végétal.plan</v>
          </cell>
          <cell r="Q90" t="str">
            <v>artisanat</v>
          </cell>
          <cell r="R90" t="str">
            <v>spécialité</v>
          </cell>
          <cell r="S90" t="str">
            <v>économie</v>
          </cell>
          <cell r="T90" t="str">
            <v>finance</v>
          </cell>
          <cell r="U90" t="str">
            <v>unique</v>
          </cell>
          <cell r="W90">
            <v>0</v>
          </cell>
          <cell r="X90" t="str">
            <v>centrale</v>
          </cell>
          <cell r="Z90" t="str">
            <v>riche</v>
          </cell>
          <cell r="AA90">
            <v>1.1000000000000001</v>
          </cell>
          <cell r="AB90" t="str">
            <v>ethnie</v>
          </cell>
          <cell r="AC90" t="str">
            <v>foire</v>
          </cell>
          <cell r="AD90">
            <v>2</v>
          </cell>
          <cell r="AE90">
            <v>10</v>
          </cell>
          <cell r="AF90">
            <v>5</v>
          </cell>
          <cell r="AG90" t="str">
            <v>très forte</v>
          </cell>
          <cell r="AH90">
            <v>1.5</v>
          </cell>
          <cell r="AI90" t="str">
            <v>bois/pierre</v>
          </cell>
          <cell r="AJ90" t="str">
            <v>tour</v>
          </cell>
          <cell r="AM90">
            <v>5</v>
          </cell>
        </row>
        <row r="91">
          <cell r="A91">
            <v>91</v>
          </cell>
          <cell r="B91" t="str">
            <v>plaine</v>
          </cell>
          <cell r="D91" t="str">
            <v>végétal.plan</v>
          </cell>
          <cell r="E91" t="str">
            <v>épices.fruit</v>
          </cell>
          <cell r="F91" t="str">
            <v>épices.fruit</v>
          </cell>
          <cell r="G91" t="str">
            <v>végétal.plan</v>
          </cell>
          <cell r="H91" t="str">
            <v>épices.fruit</v>
          </cell>
          <cell r="I91" t="str">
            <v>végétal.plan</v>
          </cell>
          <cell r="J91" t="str">
            <v>végétal.plan</v>
          </cell>
          <cell r="K91" t="str">
            <v>végétal.plan</v>
          </cell>
          <cell r="L91" t="str">
            <v>épices.fruit</v>
          </cell>
          <cell r="M91" t="str">
            <v>épices.fruit</v>
          </cell>
          <cell r="N91" t="str">
            <v>végétal.plan</v>
          </cell>
          <cell r="O91" t="str">
            <v>épices.fruit</v>
          </cell>
          <cell r="P91" t="str">
            <v>végétal.plan</v>
          </cell>
          <cell r="Q91" t="str">
            <v>artisanat</v>
          </cell>
          <cell r="R91" t="str">
            <v>spécialité</v>
          </cell>
          <cell r="S91" t="str">
            <v>économie</v>
          </cell>
          <cell r="T91" t="str">
            <v>finance</v>
          </cell>
          <cell r="U91" t="str">
            <v>unique</v>
          </cell>
          <cell r="W91">
            <v>0</v>
          </cell>
          <cell r="X91" t="str">
            <v>centrale</v>
          </cell>
          <cell r="Z91" t="str">
            <v>riche</v>
          </cell>
          <cell r="AA91">
            <v>1.1000000000000001</v>
          </cell>
          <cell r="AB91" t="str">
            <v>caste</v>
          </cell>
          <cell r="AC91" t="str">
            <v>marché noir</v>
          </cell>
          <cell r="AD91">
            <v>-1</v>
          </cell>
          <cell r="AE91">
            <v>-10</v>
          </cell>
          <cell r="AF91">
            <v>30</v>
          </cell>
          <cell r="AG91" t="str">
            <v>très forte</v>
          </cell>
          <cell r="AH91">
            <v>1.5</v>
          </cell>
          <cell r="AI91" t="str">
            <v>bois/pierre</v>
          </cell>
          <cell r="AJ91" t="str">
            <v>tour</v>
          </cell>
          <cell r="AM91">
            <v>6</v>
          </cell>
        </row>
        <row r="92">
          <cell r="A92">
            <v>92</v>
          </cell>
          <cell r="B92" t="str">
            <v>plaine</v>
          </cell>
          <cell r="D92" t="str">
            <v>végétal.plan</v>
          </cell>
          <cell r="E92" t="str">
            <v>épices.fruit</v>
          </cell>
          <cell r="F92" t="str">
            <v>épices.fruit</v>
          </cell>
          <cell r="G92" t="str">
            <v>végétal.plan</v>
          </cell>
          <cell r="H92" t="str">
            <v>épices.fruit</v>
          </cell>
          <cell r="I92" t="str">
            <v>végétal.plan</v>
          </cell>
          <cell r="J92" t="str">
            <v>végétal.plan</v>
          </cell>
          <cell r="K92" t="str">
            <v>végétal.plan</v>
          </cell>
          <cell r="L92" t="str">
            <v>épices.fruit</v>
          </cell>
          <cell r="M92" t="str">
            <v>épices.fruit</v>
          </cell>
          <cell r="N92" t="str">
            <v>végétal.plan</v>
          </cell>
          <cell r="O92" t="str">
            <v>épices.fruit</v>
          </cell>
          <cell r="P92" t="str">
            <v>végétal.plan</v>
          </cell>
          <cell r="Q92" t="str">
            <v>artisanat</v>
          </cell>
          <cell r="R92" t="str">
            <v>spécialité</v>
          </cell>
          <cell r="S92" t="str">
            <v>économie</v>
          </cell>
          <cell r="T92" t="str">
            <v>finance</v>
          </cell>
          <cell r="U92" t="str">
            <v>unique</v>
          </cell>
          <cell r="W92">
            <v>0</v>
          </cell>
          <cell r="X92" t="str">
            <v>centrale</v>
          </cell>
          <cell r="Z92" t="str">
            <v>riche</v>
          </cell>
          <cell r="AA92">
            <v>1.1000000000000001</v>
          </cell>
          <cell r="AB92" t="str">
            <v>caste</v>
          </cell>
          <cell r="AC92" t="str">
            <v>marché noir</v>
          </cell>
          <cell r="AD92">
            <v>-1</v>
          </cell>
          <cell r="AE92">
            <v>-10</v>
          </cell>
          <cell r="AF92">
            <v>30</v>
          </cell>
          <cell r="AG92" t="str">
            <v>très forte</v>
          </cell>
          <cell r="AH92">
            <v>1.5</v>
          </cell>
          <cell r="AI92" t="str">
            <v>bois/pierre</v>
          </cell>
          <cell r="AJ92" t="str">
            <v>tour</v>
          </cell>
          <cell r="AM92">
            <v>6</v>
          </cell>
        </row>
        <row r="93">
          <cell r="A93">
            <v>93</v>
          </cell>
          <cell r="B93" t="str">
            <v>plaine</v>
          </cell>
          <cell r="D93" t="str">
            <v>végétal.plan</v>
          </cell>
          <cell r="E93" t="str">
            <v>végétal.plan</v>
          </cell>
          <cell r="F93" t="str">
            <v>végétal.plan</v>
          </cell>
          <cell r="G93" t="str">
            <v>végétal.plan</v>
          </cell>
          <cell r="H93" t="str">
            <v>épices.fruit</v>
          </cell>
          <cell r="I93" t="str">
            <v>végétal.plan</v>
          </cell>
          <cell r="J93" t="str">
            <v>végétal.plan</v>
          </cell>
          <cell r="K93" t="str">
            <v>végétal.plan</v>
          </cell>
          <cell r="L93" t="str">
            <v>épices.fruit</v>
          </cell>
          <cell r="M93" t="str">
            <v>épices.fruit</v>
          </cell>
          <cell r="N93" t="str">
            <v>végétal.plan</v>
          </cell>
          <cell r="O93" t="str">
            <v>épices.fruit</v>
          </cell>
          <cell r="P93" t="str">
            <v>végétal.plan</v>
          </cell>
          <cell r="Q93" t="str">
            <v>artisanat</v>
          </cell>
          <cell r="R93" t="str">
            <v>spécialité</v>
          </cell>
          <cell r="S93" t="str">
            <v>économie</v>
          </cell>
          <cell r="T93" t="str">
            <v>finance</v>
          </cell>
          <cell r="U93" t="str">
            <v>unique</v>
          </cell>
          <cell r="W93">
            <v>0</v>
          </cell>
          <cell r="X93" t="str">
            <v>centrale</v>
          </cell>
          <cell r="Z93" t="str">
            <v>riche</v>
          </cell>
          <cell r="AA93">
            <v>1.1000000000000001</v>
          </cell>
          <cell r="AB93" t="str">
            <v>caste</v>
          </cell>
          <cell r="AC93" t="str">
            <v>marché noir</v>
          </cell>
          <cell r="AD93">
            <v>-1</v>
          </cell>
          <cell r="AE93">
            <v>-10</v>
          </cell>
          <cell r="AF93">
            <v>30</v>
          </cell>
          <cell r="AG93" t="str">
            <v>très forte</v>
          </cell>
          <cell r="AH93">
            <v>1.5</v>
          </cell>
          <cell r="AI93" t="str">
            <v>bois/pierre</v>
          </cell>
          <cell r="AJ93" t="str">
            <v>tour</v>
          </cell>
          <cell r="AM93">
            <v>6</v>
          </cell>
        </row>
        <row r="94">
          <cell r="A94">
            <v>94</v>
          </cell>
          <cell r="B94" t="str">
            <v>plaine</v>
          </cell>
          <cell r="D94" t="str">
            <v>végétal.plan</v>
          </cell>
          <cell r="E94" t="str">
            <v>végétal.plan</v>
          </cell>
          <cell r="F94" t="str">
            <v>végétal.plan</v>
          </cell>
          <cell r="G94" t="str">
            <v>végétal.plan</v>
          </cell>
          <cell r="H94" t="str">
            <v>épices.fruit</v>
          </cell>
          <cell r="I94" t="str">
            <v>végétal.plan</v>
          </cell>
          <cell r="J94" t="str">
            <v>végétal.plan</v>
          </cell>
          <cell r="K94" t="str">
            <v>végétal.plan</v>
          </cell>
          <cell r="L94" t="str">
            <v>végétal.plan</v>
          </cell>
          <cell r="M94" t="str">
            <v>épices.fruit</v>
          </cell>
          <cell r="N94" t="str">
            <v>végétal.plan</v>
          </cell>
          <cell r="O94" t="str">
            <v>végétal.plan</v>
          </cell>
          <cell r="P94" t="str">
            <v>végétal.plan</v>
          </cell>
          <cell r="Q94" t="str">
            <v>artisanat</v>
          </cell>
          <cell r="R94" t="str">
            <v>spécialité</v>
          </cell>
          <cell r="S94" t="str">
            <v>économie</v>
          </cell>
          <cell r="T94" t="str">
            <v>finance</v>
          </cell>
          <cell r="U94" t="str">
            <v>unique</v>
          </cell>
          <cell r="W94">
            <v>0</v>
          </cell>
          <cell r="X94" t="str">
            <v>centrale</v>
          </cell>
          <cell r="Z94" t="str">
            <v>riche</v>
          </cell>
          <cell r="AA94">
            <v>1.1000000000000001</v>
          </cell>
          <cell r="AB94" t="str">
            <v>caste</v>
          </cell>
          <cell r="AC94" t="str">
            <v>marché noir</v>
          </cell>
          <cell r="AD94">
            <v>-1</v>
          </cell>
          <cell r="AE94">
            <v>-10</v>
          </cell>
          <cell r="AF94">
            <v>30</v>
          </cell>
          <cell r="AG94" t="str">
            <v>très forte</v>
          </cell>
          <cell r="AH94">
            <v>1.5</v>
          </cell>
          <cell r="AI94" t="str">
            <v>bois/pierre</v>
          </cell>
          <cell r="AJ94" t="str">
            <v>tour</v>
          </cell>
          <cell r="AM94">
            <v>6</v>
          </cell>
        </row>
        <row r="95">
          <cell r="A95">
            <v>95</v>
          </cell>
          <cell r="B95" t="str">
            <v>plaine</v>
          </cell>
          <cell r="D95" t="str">
            <v>végétal.plan</v>
          </cell>
          <cell r="E95" t="str">
            <v>végétal.plan</v>
          </cell>
          <cell r="F95" t="str">
            <v>végétal.plan</v>
          </cell>
          <cell r="G95" t="str">
            <v>végétal.plan</v>
          </cell>
          <cell r="H95" t="str">
            <v>épices.fruit</v>
          </cell>
          <cell r="I95" t="str">
            <v>végétal.plan</v>
          </cell>
          <cell r="J95" t="str">
            <v>végétal.plan</v>
          </cell>
          <cell r="K95" t="str">
            <v>végétal.plan</v>
          </cell>
          <cell r="L95" t="str">
            <v>végétal.plan</v>
          </cell>
          <cell r="M95" t="str">
            <v>épices.fruit</v>
          </cell>
          <cell r="N95" t="str">
            <v>végétal.plan</v>
          </cell>
          <cell r="O95" t="str">
            <v>végétal.plan</v>
          </cell>
          <cell r="P95" t="str">
            <v>végétal.plan</v>
          </cell>
          <cell r="Q95" t="str">
            <v>dressage</v>
          </cell>
          <cell r="R95" t="str">
            <v>créature</v>
          </cell>
          <cell r="S95" t="str">
            <v>économie</v>
          </cell>
          <cell r="T95" t="str">
            <v>finance</v>
          </cell>
          <cell r="U95" t="str">
            <v>unique</v>
          </cell>
          <cell r="W95">
            <v>0</v>
          </cell>
          <cell r="X95" t="str">
            <v>centrale</v>
          </cell>
          <cell r="Z95" t="str">
            <v>riche</v>
          </cell>
          <cell r="AA95">
            <v>1.1000000000000001</v>
          </cell>
          <cell r="AB95" t="str">
            <v>caste</v>
          </cell>
          <cell r="AC95" t="str">
            <v>marché noir</v>
          </cell>
          <cell r="AD95">
            <v>-1</v>
          </cell>
          <cell r="AE95">
            <v>-10</v>
          </cell>
          <cell r="AF95">
            <v>30</v>
          </cell>
          <cell r="AG95" t="str">
            <v>très forte</v>
          </cell>
          <cell r="AH95">
            <v>1.5</v>
          </cell>
          <cell r="AI95" t="str">
            <v>bois/pierre</v>
          </cell>
          <cell r="AJ95" t="str">
            <v>tour</v>
          </cell>
          <cell r="AM95">
            <v>7</v>
          </cell>
        </row>
        <row r="96">
          <cell r="A96">
            <v>96</v>
          </cell>
          <cell r="B96" t="str">
            <v>plaine</v>
          </cell>
          <cell r="D96" t="str">
            <v>végétal.plan</v>
          </cell>
          <cell r="E96" t="str">
            <v>végétal.plan</v>
          </cell>
          <cell r="F96" t="str">
            <v>végétal.plan</v>
          </cell>
          <cell r="G96" t="str">
            <v>végétal.plan</v>
          </cell>
          <cell r="H96" t="str">
            <v>épices.fruit</v>
          </cell>
          <cell r="I96" t="str">
            <v>végétal.plan</v>
          </cell>
          <cell r="J96" t="str">
            <v>végétal.plan</v>
          </cell>
          <cell r="K96" t="str">
            <v>végétal.plan</v>
          </cell>
          <cell r="L96" t="str">
            <v>végétal.plan</v>
          </cell>
          <cell r="M96" t="str">
            <v>végétal.plan</v>
          </cell>
          <cell r="N96" t="str">
            <v>végétal.plan</v>
          </cell>
          <cell r="O96" t="str">
            <v>végétal.plan</v>
          </cell>
          <cell r="P96" t="str">
            <v>végétal.plan</v>
          </cell>
          <cell r="Q96" t="str">
            <v>dressage</v>
          </cell>
          <cell r="R96" t="str">
            <v>créature</v>
          </cell>
          <cell r="S96" t="str">
            <v>économie</v>
          </cell>
          <cell r="T96" t="str">
            <v>finance</v>
          </cell>
          <cell r="U96" t="str">
            <v>unique</v>
          </cell>
          <cell r="W96">
            <v>0</v>
          </cell>
          <cell r="X96" t="str">
            <v>centrale</v>
          </cell>
          <cell r="Z96" t="str">
            <v>très riche</v>
          </cell>
          <cell r="AA96">
            <v>1.3</v>
          </cell>
          <cell r="AB96" t="str">
            <v>caste</v>
          </cell>
          <cell r="AC96" t="str">
            <v>marché noir</v>
          </cell>
          <cell r="AD96">
            <v>-1</v>
          </cell>
          <cell r="AE96">
            <v>-10</v>
          </cell>
          <cell r="AF96">
            <v>30</v>
          </cell>
          <cell r="AG96" t="str">
            <v>très forte</v>
          </cell>
          <cell r="AH96">
            <v>1.5</v>
          </cell>
          <cell r="AI96" t="str">
            <v>bois/pierre</v>
          </cell>
          <cell r="AJ96" t="str">
            <v>tour</v>
          </cell>
          <cell r="AM96">
            <v>7</v>
          </cell>
        </row>
        <row r="97">
          <cell r="A97">
            <v>97</v>
          </cell>
          <cell r="B97" t="str">
            <v>plaine</v>
          </cell>
          <cell r="D97" t="str">
            <v>végétal.plan</v>
          </cell>
          <cell r="E97" t="str">
            <v>végétal.plan</v>
          </cell>
          <cell r="F97" t="str">
            <v>végétal.plan</v>
          </cell>
          <cell r="G97" t="str">
            <v>végétal.plan</v>
          </cell>
          <cell r="H97" t="str">
            <v>épices.fruit</v>
          </cell>
          <cell r="I97" t="str">
            <v>végétal.plan</v>
          </cell>
          <cell r="J97" t="str">
            <v>végétal.plan</v>
          </cell>
          <cell r="K97" t="str">
            <v>végétal.plan</v>
          </cell>
          <cell r="L97" t="str">
            <v>végétal.plan</v>
          </cell>
          <cell r="M97" t="str">
            <v>végétal.plan</v>
          </cell>
          <cell r="N97" t="str">
            <v>végétal.plan</v>
          </cell>
          <cell r="O97" t="str">
            <v>végétal.plan</v>
          </cell>
          <cell r="P97" t="str">
            <v>végétal.plan</v>
          </cell>
          <cell r="Q97" t="str">
            <v>dressage</v>
          </cell>
          <cell r="R97" t="str">
            <v>créature</v>
          </cell>
          <cell r="S97" t="str">
            <v>économie</v>
          </cell>
          <cell r="T97" t="str">
            <v>finance</v>
          </cell>
          <cell r="U97" t="str">
            <v>unique</v>
          </cell>
          <cell r="W97">
            <v>0</v>
          </cell>
          <cell r="X97" t="str">
            <v>centrale</v>
          </cell>
          <cell r="Z97" t="str">
            <v>très riche</v>
          </cell>
          <cell r="AA97">
            <v>1.3</v>
          </cell>
          <cell r="AB97" t="str">
            <v>caste</v>
          </cell>
          <cell r="AC97" t="str">
            <v>marché noir</v>
          </cell>
          <cell r="AD97">
            <v>-1</v>
          </cell>
          <cell r="AE97">
            <v>-10</v>
          </cell>
          <cell r="AF97">
            <v>30</v>
          </cell>
          <cell r="AG97" t="str">
            <v>très forte</v>
          </cell>
          <cell r="AH97">
            <v>1.5</v>
          </cell>
          <cell r="AI97" t="str">
            <v>bois/pierre</v>
          </cell>
          <cell r="AJ97" t="str">
            <v>tour</v>
          </cell>
          <cell r="AM97">
            <v>7</v>
          </cell>
        </row>
        <row r="98">
          <cell r="A98">
            <v>98</v>
          </cell>
          <cell r="B98" t="str">
            <v>souterrain</v>
          </cell>
          <cell r="D98" t="str">
            <v>végétal.plan</v>
          </cell>
          <cell r="E98" t="str">
            <v>végétal.plan</v>
          </cell>
          <cell r="F98" t="str">
            <v>végétal.plan</v>
          </cell>
          <cell r="G98" t="str">
            <v>végétal.plan</v>
          </cell>
          <cell r="H98" t="str">
            <v>épices.fruit</v>
          </cell>
          <cell r="I98" t="str">
            <v>végétal.plan</v>
          </cell>
          <cell r="J98" t="str">
            <v>végétal.plan</v>
          </cell>
          <cell r="K98" t="str">
            <v>végétal.plan</v>
          </cell>
          <cell r="L98" t="str">
            <v>végétal.plan</v>
          </cell>
          <cell r="M98" t="str">
            <v>végétal.plan</v>
          </cell>
          <cell r="N98" t="str">
            <v>végétal.plan</v>
          </cell>
          <cell r="O98" t="str">
            <v>végétal.plan</v>
          </cell>
          <cell r="P98" t="str">
            <v>végétal.plan</v>
          </cell>
          <cell r="Q98" t="str">
            <v>dressage</v>
          </cell>
          <cell r="R98" t="str">
            <v>créature</v>
          </cell>
          <cell r="S98" t="str">
            <v>économie</v>
          </cell>
          <cell r="T98" t="str">
            <v>finance</v>
          </cell>
          <cell r="U98" t="str">
            <v>unique</v>
          </cell>
          <cell r="W98">
            <v>4</v>
          </cell>
          <cell r="X98" t="str">
            <v>centrale</v>
          </cell>
          <cell r="Z98" t="str">
            <v>très riche</v>
          </cell>
          <cell r="AA98">
            <v>1.3</v>
          </cell>
          <cell r="AB98" t="str">
            <v>caste</v>
          </cell>
          <cell r="AC98" t="str">
            <v>marché noir</v>
          </cell>
          <cell r="AD98">
            <v>-1</v>
          </cell>
          <cell r="AE98">
            <v>-10</v>
          </cell>
          <cell r="AF98">
            <v>30</v>
          </cell>
          <cell r="AG98" t="str">
            <v>très forte</v>
          </cell>
          <cell r="AH98">
            <v>1.5</v>
          </cell>
          <cell r="AI98" t="str">
            <v>bois/pierre</v>
          </cell>
          <cell r="AJ98" t="str">
            <v>tour</v>
          </cell>
          <cell r="AM98">
            <v>8</v>
          </cell>
        </row>
        <row r="99">
          <cell r="A99">
            <v>99</v>
          </cell>
          <cell r="B99" t="str">
            <v>steppe</v>
          </cell>
          <cell r="D99" t="str">
            <v>végétal.plan</v>
          </cell>
          <cell r="E99" t="str">
            <v>végétal.plan</v>
          </cell>
          <cell r="F99" t="str">
            <v>végétal.plan</v>
          </cell>
          <cell r="G99" t="str">
            <v>végétal.plan</v>
          </cell>
          <cell r="H99" t="str">
            <v>végétal.plan</v>
          </cell>
          <cell r="I99" t="str">
            <v>végétal.plan</v>
          </cell>
          <cell r="J99" t="str">
            <v>végétal.plan</v>
          </cell>
          <cell r="K99" t="str">
            <v>végétal.plan</v>
          </cell>
          <cell r="L99" t="str">
            <v>végétal.plan</v>
          </cell>
          <cell r="M99" t="str">
            <v>végétal.plan</v>
          </cell>
          <cell r="N99" t="str">
            <v>végétal.plan</v>
          </cell>
          <cell r="O99" t="str">
            <v>végétal.plan</v>
          </cell>
          <cell r="P99" t="str">
            <v>végétal.plan</v>
          </cell>
          <cell r="Q99" t="str">
            <v>dressage</v>
          </cell>
          <cell r="R99" t="str">
            <v>créature</v>
          </cell>
          <cell r="S99" t="str">
            <v>économie</v>
          </cell>
          <cell r="T99" t="str">
            <v>finance</v>
          </cell>
          <cell r="U99" t="str">
            <v>unique</v>
          </cell>
          <cell r="W99">
            <v>-2</v>
          </cell>
          <cell r="X99" t="str">
            <v>centrale</v>
          </cell>
          <cell r="Z99" t="str">
            <v>très riche</v>
          </cell>
          <cell r="AA99">
            <v>1.3</v>
          </cell>
          <cell r="AB99" t="str">
            <v>caste</v>
          </cell>
          <cell r="AC99" t="str">
            <v>marché noir</v>
          </cell>
          <cell r="AD99">
            <v>-1</v>
          </cell>
          <cell r="AE99">
            <v>-10</v>
          </cell>
          <cell r="AF99">
            <v>30</v>
          </cell>
          <cell r="AG99" t="str">
            <v>très forte</v>
          </cell>
          <cell r="AH99">
            <v>1.5</v>
          </cell>
          <cell r="AI99" t="str">
            <v>bois/pierre</v>
          </cell>
          <cell r="AJ99" t="str">
            <v>tour</v>
          </cell>
          <cell r="AM99">
            <v>8</v>
          </cell>
        </row>
        <row r="100">
          <cell r="A100">
            <v>100</v>
          </cell>
          <cell r="B100" t="str">
            <v>steppe</v>
          </cell>
          <cell r="D100" t="str">
            <v>végétal.plan</v>
          </cell>
          <cell r="E100" t="str">
            <v>végétal.plan</v>
          </cell>
          <cell r="F100" t="str">
            <v>végétal.plan</v>
          </cell>
          <cell r="G100" t="str">
            <v>végétal.plan</v>
          </cell>
          <cell r="H100" t="str">
            <v>végétal.plan</v>
          </cell>
          <cell r="I100" t="str">
            <v>végétal.plan</v>
          </cell>
          <cell r="J100" t="str">
            <v>végétal.plan</v>
          </cell>
          <cell r="K100" t="str">
            <v>végétal.plan</v>
          </cell>
          <cell r="L100" t="str">
            <v>végétal.plan</v>
          </cell>
          <cell r="M100" t="str">
            <v>végétal.plan</v>
          </cell>
          <cell r="N100" t="str">
            <v>végétal.plan</v>
          </cell>
          <cell r="O100" t="str">
            <v>végétal.plan</v>
          </cell>
          <cell r="P100" t="str">
            <v>végétal.plan</v>
          </cell>
          <cell r="Q100" t="str">
            <v>dressage</v>
          </cell>
          <cell r="R100" t="str">
            <v>créature</v>
          </cell>
          <cell r="S100" t="str">
            <v>économie</v>
          </cell>
          <cell r="T100" t="str">
            <v>finance</v>
          </cell>
          <cell r="U100" t="str">
            <v>unique</v>
          </cell>
          <cell r="W100">
            <v>-2</v>
          </cell>
          <cell r="X100" t="str">
            <v>centrale</v>
          </cell>
          <cell r="Z100" t="str">
            <v>très riche</v>
          </cell>
          <cell r="AA100">
            <v>1.3</v>
          </cell>
          <cell r="AB100" t="str">
            <v>égalité</v>
          </cell>
          <cell r="AC100" t="str">
            <v>marché noir</v>
          </cell>
          <cell r="AD100">
            <v>-1</v>
          </cell>
          <cell r="AE100">
            <v>-10</v>
          </cell>
          <cell r="AF100">
            <v>30</v>
          </cell>
          <cell r="AG100" t="str">
            <v>très forte</v>
          </cell>
          <cell r="AH100">
            <v>1.5</v>
          </cell>
          <cell r="AI100" t="str">
            <v>bois/pierre</v>
          </cell>
          <cell r="AJ100" t="str">
            <v>tour</v>
          </cell>
          <cell r="AM100">
            <v>9</v>
          </cell>
        </row>
        <row r="103">
          <cell r="AD103">
            <v>79</v>
          </cell>
          <cell r="AG103">
            <v>1</v>
          </cell>
          <cell r="AH103" t="str">
            <v>précieux</v>
          </cell>
        </row>
        <row r="104">
          <cell r="C104" t="str">
            <v>jungle</v>
          </cell>
          <cell r="D104">
            <v>70</v>
          </cell>
          <cell r="E104" t="str">
            <v>cours d'eau</v>
          </cell>
          <cell r="F104">
            <v>30</v>
          </cell>
          <cell r="Q104">
            <v>4</v>
          </cell>
          <cell r="AG104">
            <v>2</v>
          </cell>
          <cell r="AH104" t="str">
            <v>poterie</v>
          </cell>
        </row>
        <row r="105">
          <cell r="C105" t="str">
            <v>cours d'eau</v>
          </cell>
          <cell r="D105">
            <v>10</v>
          </cell>
          <cell r="E105" t="str">
            <v>colline</v>
          </cell>
          <cell r="F105">
            <v>40</v>
          </cell>
          <cell r="G105" t="str">
            <v>montagne</v>
          </cell>
          <cell r="H105">
            <v>10</v>
          </cell>
          <cell r="I105">
            <v>0</v>
          </cell>
          <cell r="J105" t="str">
            <v xml:space="preserve"> </v>
          </cell>
          <cell r="AG105">
            <v>3</v>
          </cell>
          <cell r="AH105" t="str">
            <v>exotique</v>
          </cell>
        </row>
        <row r="106">
          <cell r="AG106">
            <v>4</v>
          </cell>
          <cell r="AH106">
            <v>0</v>
          </cell>
        </row>
        <row r="107">
          <cell r="AG107">
            <v>5</v>
          </cell>
          <cell r="AH107" t="str">
            <v>tissu</v>
          </cell>
        </row>
        <row r="108">
          <cell r="AG108">
            <v>6</v>
          </cell>
          <cell r="AH108">
            <v>0</v>
          </cell>
        </row>
        <row r="109">
          <cell r="AG109">
            <v>7</v>
          </cell>
          <cell r="AH109">
            <v>0</v>
          </cell>
        </row>
        <row r="110">
          <cell r="B110">
            <v>4</v>
          </cell>
          <cell r="AG110">
            <v>8</v>
          </cell>
          <cell r="AH110">
            <v>0</v>
          </cell>
        </row>
        <row r="111">
          <cell r="AG111">
            <v>9</v>
          </cell>
          <cell r="AH111">
            <v>0</v>
          </cell>
        </row>
        <row r="112">
          <cell r="F112">
            <v>3</v>
          </cell>
          <cell r="AG112">
            <v>10</v>
          </cell>
          <cell r="AH112">
            <v>0</v>
          </cell>
        </row>
        <row r="113">
          <cell r="C113">
            <v>5000</v>
          </cell>
          <cell r="J113">
            <v>70</v>
          </cell>
          <cell r="M113">
            <v>5</v>
          </cell>
          <cell r="AG113">
            <v>11</v>
          </cell>
          <cell r="AH113">
            <v>0</v>
          </cell>
        </row>
        <row r="114">
          <cell r="C114">
            <v>3110</v>
          </cell>
          <cell r="AG114">
            <v>12</v>
          </cell>
          <cell r="AH114">
            <v>0</v>
          </cell>
        </row>
        <row r="115">
          <cell r="C115">
            <v>14.285714285714286</v>
          </cell>
          <cell r="F115">
            <v>1</v>
          </cell>
          <cell r="AD115">
            <v>3.3000000000000003</v>
          </cell>
          <cell r="AF115">
            <v>9.9</v>
          </cell>
        </row>
        <row r="119">
          <cell r="AD119">
            <v>65</v>
          </cell>
        </row>
        <row r="121">
          <cell r="D121">
            <v>4</v>
          </cell>
        </row>
        <row r="122">
          <cell r="AD122">
            <v>82</v>
          </cell>
        </row>
        <row r="123">
          <cell r="D123">
            <v>1.2</v>
          </cell>
        </row>
        <row r="127">
          <cell r="D127">
            <v>1.1000000000000001</v>
          </cell>
        </row>
        <row r="129">
          <cell r="C129">
            <v>7</v>
          </cell>
        </row>
      </sheetData>
      <sheetData sheetId="1">
        <row r="2">
          <cell r="A2">
            <v>5000</v>
          </cell>
          <cell r="E2">
            <v>8</v>
          </cell>
        </row>
        <row r="3">
          <cell r="E3">
            <v>0</v>
          </cell>
        </row>
        <row r="4">
          <cell r="E4">
            <v>0</v>
          </cell>
        </row>
        <row r="5">
          <cell r="A5">
            <v>3110</v>
          </cell>
          <cell r="E5">
            <v>0</v>
          </cell>
        </row>
        <row r="6">
          <cell r="E6">
            <v>11</v>
          </cell>
        </row>
        <row r="7">
          <cell r="E7">
            <v>13</v>
          </cell>
        </row>
        <row r="8">
          <cell r="E8">
            <v>0</v>
          </cell>
        </row>
        <row r="9">
          <cell r="E9">
            <v>0</v>
          </cell>
        </row>
        <row r="10">
          <cell r="E10">
            <v>38</v>
          </cell>
        </row>
        <row r="11">
          <cell r="E11">
            <v>0</v>
          </cell>
        </row>
        <row r="12">
          <cell r="E12">
            <v>0</v>
          </cell>
        </row>
        <row r="13">
          <cell r="E13">
            <v>0</v>
          </cell>
          <cell r="U13">
            <v>187</v>
          </cell>
          <cell r="V13">
            <v>1498.0453696630173</v>
          </cell>
        </row>
        <row r="15">
          <cell r="AT15">
            <v>4</v>
          </cell>
          <cell r="AU15" t="str">
            <v>agriculture</v>
          </cell>
          <cell r="AV15">
            <v>16</v>
          </cell>
          <cell r="AW15" t="str">
            <v>alcool</v>
          </cell>
          <cell r="AX15">
            <v>35</v>
          </cell>
          <cell r="AY15" t="str">
            <v>architecture</v>
          </cell>
          <cell r="BA15">
            <v>2</v>
          </cell>
        </row>
        <row r="16">
          <cell r="AT16">
            <v>7</v>
          </cell>
          <cell r="AU16" t="str">
            <v>bois</v>
          </cell>
          <cell r="AV16">
            <v>14</v>
          </cell>
          <cell r="AW16" t="str">
            <v>arme</v>
          </cell>
          <cell r="AX16">
            <v>36</v>
          </cell>
          <cell r="AY16" t="str">
            <v>art noble</v>
          </cell>
          <cell r="BA16">
            <v>7</v>
          </cell>
        </row>
        <row r="17">
          <cell r="AT17">
            <v>2</v>
          </cell>
          <cell r="AU17" t="str">
            <v>chasse</v>
          </cell>
          <cell r="AV17">
            <v>15</v>
          </cell>
          <cell r="AW17" t="str">
            <v>armure</v>
          </cell>
          <cell r="AX17">
            <v>46</v>
          </cell>
          <cell r="AY17" t="str">
            <v>art populaire</v>
          </cell>
          <cell r="BA17">
            <v>3</v>
          </cell>
        </row>
        <row r="18">
          <cell r="AT18">
            <v>3</v>
          </cell>
          <cell r="AU18" t="str">
            <v>élevage</v>
          </cell>
          <cell r="AV18">
            <v>19</v>
          </cell>
          <cell r="AW18" t="str">
            <v>artisanat</v>
          </cell>
          <cell r="AX18">
            <v>34</v>
          </cell>
          <cell r="AY18" t="str">
            <v>commerce</v>
          </cell>
          <cell r="BA18">
            <v>3</v>
          </cell>
        </row>
        <row r="19">
          <cell r="AT19">
            <v>9</v>
          </cell>
          <cell r="AU19" t="str">
            <v>épices.fruit</v>
          </cell>
          <cell r="AV19">
            <v>18</v>
          </cell>
          <cell r="AW19" t="str">
            <v>construction</v>
          </cell>
          <cell r="AX19">
            <v>59</v>
          </cell>
          <cell r="AY19" t="str">
            <v>créature</v>
          </cell>
          <cell r="BA19" t="str">
            <v xml:space="preserve"> </v>
          </cell>
        </row>
        <row r="20">
          <cell r="AT20">
            <v>5</v>
          </cell>
          <cell r="AU20" t="str">
            <v>minerai</v>
          </cell>
          <cell r="AV20">
            <v>30</v>
          </cell>
          <cell r="AW20" t="str">
            <v>créature</v>
          </cell>
          <cell r="AX20">
            <v>37</v>
          </cell>
          <cell r="AY20" t="str">
            <v>culture</v>
          </cell>
          <cell r="BA20" t="str">
            <v xml:space="preserve"> </v>
          </cell>
        </row>
        <row r="21">
          <cell r="AT21">
            <v>1</v>
          </cell>
          <cell r="AU21" t="str">
            <v>pêche</v>
          </cell>
          <cell r="AV21">
            <v>20</v>
          </cell>
          <cell r="AW21" t="str">
            <v>dressage</v>
          </cell>
          <cell r="AX21">
            <v>40</v>
          </cell>
          <cell r="AY21" t="str">
            <v>économie</v>
          </cell>
          <cell r="BA21" t="str">
            <v xml:space="preserve"> </v>
          </cell>
        </row>
        <row r="22">
          <cell r="AT22">
            <v>6</v>
          </cell>
          <cell r="AU22" t="str">
            <v>pierre</v>
          </cell>
          <cell r="AV22">
            <v>22</v>
          </cell>
          <cell r="AW22" t="str">
            <v>fourrures</v>
          </cell>
          <cell r="AX22">
            <v>41</v>
          </cell>
          <cell r="AY22" t="str">
            <v>écrits</v>
          </cell>
          <cell r="BA22" t="str">
            <v xml:space="preserve"> </v>
          </cell>
        </row>
        <row r="23">
          <cell r="AT23">
            <v>8</v>
          </cell>
          <cell r="AU23" t="str">
            <v>précieux</v>
          </cell>
          <cell r="AV23">
            <v>24</v>
          </cell>
          <cell r="AW23" t="str">
            <v>joute</v>
          </cell>
          <cell r="AX23">
            <v>47</v>
          </cell>
          <cell r="AY23" t="str">
            <v>enseignement</v>
          </cell>
          <cell r="BA23" t="str">
            <v xml:space="preserve"> </v>
          </cell>
        </row>
        <row r="24">
          <cell r="AT24">
            <v>10</v>
          </cell>
          <cell r="AU24" t="str">
            <v>végétal.plan</v>
          </cell>
          <cell r="AV24">
            <v>28</v>
          </cell>
          <cell r="AW24" t="str">
            <v>matériaux</v>
          </cell>
          <cell r="AX24">
            <v>56</v>
          </cell>
          <cell r="AY24" t="str">
            <v>ésotérisme</v>
          </cell>
          <cell r="BA24" t="str">
            <v xml:space="preserve"> </v>
          </cell>
        </row>
        <row r="25">
          <cell r="AV25">
            <v>17</v>
          </cell>
          <cell r="AW25" t="str">
            <v>métaux</v>
          </cell>
          <cell r="AX25">
            <v>42</v>
          </cell>
          <cell r="AY25" t="str">
            <v>étrange</v>
          </cell>
          <cell r="BA25" t="str">
            <v xml:space="preserve"> </v>
          </cell>
        </row>
        <row r="26">
          <cell r="AV26">
            <v>21</v>
          </cell>
          <cell r="AW26" t="str">
            <v>mobilier</v>
          </cell>
          <cell r="AX26">
            <v>38</v>
          </cell>
          <cell r="AY26" t="str">
            <v>exotique</v>
          </cell>
          <cell r="BA26" t="str">
            <v xml:space="preserve"> </v>
          </cell>
        </row>
        <row r="27">
          <cell r="AV27">
            <v>25</v>
          </cell>
          <cell r="AW27" t="str">
            <v>ornements</v>
          </cell>
          <cell r="AX27">
            <v>50</v>
          </cell>
          <cell r="AY27" t="str">
            <v>finance</v>
          </cell>
          <cell r="BA27" t="str">
            <v xml:space="preserve"> </v>
          </cell>
        </row>
        <row r="28">
          <cell r="AV28">
            <v>27</v>
          </cell>
          <cell r="AW28" t="str">
            <v>outils</v>
          </cell>
          <cell r="AX28">
            <v>55</v>
          </cell>
          <cell r="AY28" t="str">
            <v>fresque</v>
          </cell>
          <cell r="BA28" t="str">
            <v xml:space="preserve"> </v>
          </cell>
        </row>
        <row r="29">
          <cell r="AV29">
            <v>12</v>
          </cell>
          <cell r="AW29" t="str">
            <v>peaux</v>
          </cell>
          <cell r="AX29">
            <v>49</v>
          </cell>
          <cell r="AY29" t="str">
            <v>guerre</v>
          </cell>
          <cell r="BA29" t="str">
            <v xml:space="preserve"> </v>
          </cell>
        </row>
        <row r="30">
          <cell r="AV30">
            <v>11</v>
          </cell>
          <cell r="AW30" t="str">
            <v>poterie</v>
          </cell>
          <cell r="AX30">
            <v>44</v>
          </cell>
          <cell r="AY30" t="str">
            <v>guildes</v>
          </cell>
          <cell r="BA30" t="str">
            <v xml:space="preserve"> </v>
          </cell>
        </row>
        <row r="31">
          <cell r="AV31">
            <v>29</v>
          </cell>
          <cell r="AW31" t="str">
            <v>spécialité</v>
          </cell>
          <cell r="AX31">
            <v>51</v>
          </cell>
          <cell r="AY31" t="str">
            <v>librairie</v>
          </cell>
          <cell r="BA31" t="str">
            <v xml:space="preserve"> </v>
          </cell>
        </row>
        <row r="32">
          <cell r="AV32">
            <v>23</v>
          </cell>
          <cell r="AW32" t="str">
            <v>tapisserie</v>
          </cell>
          <cell r="AX32">
            <v>52</v>
          </cell>
          <cell r="AY32" t="str">
            <v>magie</v>
          </cell>
          <cell r="BA32" t="str">
            <v xml:space="preserve"> </v>
          </cell>
        </row>
        <row r="33">
          <cell r="AV33">
            <v>26</v>
          </cell>
          <cell r="AW33" t="str">
            <v>tisane</v>
          </cell>
          <cell r="AX33">
            <v>39</v>
          </cell>
          <cell r="AY33" t="str">
            <v>militaire</v>
          </cell>
          <cell r="BA33" t="str">
            <v xml:space="preserve"> </v>
          </cell>
        </row>
        <row r="34">
          <cell r="AV34">
            <v>13</v>
          </cell>
          <cell r="AW34" t="str">
            <v>tissu</v>
          </cell>
          <cell r="AX34">
            <v>43</v>
          </cell>
          <cell r="AY34" t="str">
            <v>ordre relig.</v>
          </cell>
          <cell r="BA34" t="str">
            <v xml:space="preserve"> </v>
          </cell>
        </row>
        <row r="35">
          <cell r="AX35">
            <v>48</v>
          </cell>
          <cell r="AY35" t="str">
            <v>parfum</v>
          </cell>
          <cell r="BA35" t="str">
            <v xml:space="preserve"> </v>
          </cell>
        </row>
        <row r="36">
          <cell r="AX36">
            <v>31</v>
          </cell>
          <cell r="AY36" t="str">
            <v>philosophie</v>
          </cell>
          <cell r="BA36" t="str">
            <v xml:space="preserve"> </v>
          </cell>
        </row>
        <row r="37">
          <cell r="AX37">
            <v>58</v>
          </cell>
          <cell r="AY37" t="str">
            <v>poison</v>
          </cell>
          <cell r="BA37" t="str">
            <v xml:space="preserve"> </v>
          </cell>
        </row>
        <row r="38">
          <cell r="AX38">
            <v>54</v>
          </cell>
          <cell r="AY38" t="str">
            <v>règne guilde</v>
          </cell>
          <cell r="BA38" t="str">
            <v xml:space="preserve"> </v>
          </cell>
        </row>
        <row r="39">
          <cell r="AX39">
            <v>33</v>
          </cell>
          <cell r="AY39" t="str">
            <v>religion</v>
          </cell>
          <cell r="BA39" t="str">
            <v xml:space="preserve"> </v>
          </cell>
        </row>
        <row r="40">
          <cell r="AX40">
            <v>53</v>
          </cell>
          <cell r="AY40" t="str">
            <v>relique</v>
          </cell>
          <cell r="BA40" t="str">
            <v xml:space="preserve"> </v>
          </cell>
        </row>
        <row r="41">
          <cell r="AX41">
            <v>32</v>
          </cell>
          <cell r="AY41" t="str">
            <v>science</v>
          </cell>
          <cell r="BA41" t="str">
            <v xml:space="preserve"> </v>
          </cell>
        </row>
        <row r="42">
          <cell r="AX42">
            <v>45</v>
          </cell>
          <cell r="AY42" t="str">
            <v>sculpture</v>
          </cell>
          <cell r="BA42" t="str">
            <v xml:space="preserve"> </v>
          </cell>
        </row>
        <row r="43">
          <cell r="AX43">
            <v>60</v>
          </cell>
          <cell r="AY43" t="str">
            <v>unique</v>
          </cell>
          <cell r="BA43" t="str">
            <v xml:space="preserve"> </v>
          </cell>
        </row>
        <row r="44">
          <cell r="AX44">
            <v>57</v>
          </cell>
          <cell r="AY44" t="str">
            <v>université</v>
          </cell>
          <cell r="BA44" t="str">
            <v xml:space="preserve"> </v>
          </cell>
        </row>
        <row r="45">
          <cell r="BA45" t="str">
            <v xml:space="preserve"> </v>
          </cell>
        </row>
        <row r="46">
          <cell r="BA46" t="str">
            <v xml:space="preserve"> </v>
          </cell>
        </row>
        <row r="47">
          <cell r="BA47" t="str">
            <v xml:space="preserve"> </v>
          </cell>
        </row>
        <row r="48">
          <cell r="BA48" t="str">
            <v xml:space="preserve"> </v>
          </cell>
        </row>
        <row r="49">
          <cell r="BA49" t="str">
            <v xml:space="preserve"> </v>
          </cell>
        </row>
        <row r="50">
          <cell r="BA50" t="str">
            <v xml:space="preserve"> </v>
          </cell>
        </row>
        <row r="51">
          <cell r="BA51" t="str">
            <v xml:space="preserve"> </v>
          </cell>
        </row>
        <row r="52">
          <cell r="BA52" t="str">
            <v xml:space="preserve"> </v>
          </cell>
        </row>
        <row r="53">
          <cell r="BA53" t="str">
            <v xml:space="preserve"> </v>
          </cell>
        </row>
        <row r="54">
          <cell r="BA54" t="str">
            <v xml:space="preserve"> </v>
          </cell>
        </row>
        <row r="55">
          <cell r="BA55" t="str">
            <v xml:space="preserve"> </v>
          </cell>
        </row>
        <row r="56">
          <cell r="BA56" t="str">
            <v xml:space="preserve"> </v>
          </cell>
        </row>
        <row r="57">
          <cell r="BA57" t="str">
            <v xml:space="preserve"> </v>
          </cell>
        </row>
        <row r="58">
          <cell r="BA58" t="str">
            <v xml:space="preserve"> </v>
          </cell>
        </row>
        <row r="59">
          <cell r="BA59" t="str">
            <v xml:space="preserve"> </v>
          </cell>
        </row>
        <row r="60">
          <cell r="BA60" t="str">
            <v xml:space="preserve"> </v>
          </cell>
        </row>
        <row r="61">
          <cell r="BA61" t="str">
            <v xml:space="preserve"> </v>
          </cell>
        </row>
        <row r="62">
          <cell r="BA62" t="str">
            <v xml:space="preserve"> </v>
          </cell>
        </row>
        <row r="63">
          <cell r="BA63" t="str">
            <v xml:space="preserve"> </v>
          </cell>
        </row>
        <row r="64">
          <cell r="BA64" t="str">
            <v xml:space="preserve"> </v>
          </cell>
        </row>
        <row r="65">
          <cell r="BA65" t="str">
            <v xml:space="preserve"> </v>
          </cell>
        </row>
        <row r="66">
          <cell r="BA66" t="str">
            <v xml:space="preserve"> </v>
          </cell>
        </row>
        <row r="67">
          <cell r="BA67" t="str">
            <v xml:space="preserve"> </v>
          </cell>
        </row>
        <row r="68">
          <cell r="BA68" t="str">
            <v xml:space="preserve"> </v>
          </cell>
        </row>
        <row r="69">
          <cell r="BA69" t="str">
            <v xml:space="preserve"> </v>
          </cell>
        </row>
        <row r="70">
          <cell r="BA70" t="str">
            <v xml:space="preserve"> </v>
          </cell>
        </row>
        <row r="71">
          <cell r="BA71" t="str">
            <v xml:space="preserve"> </v>
          </cell>
        </row>
        <row r="72">
          <cell r="BA72" t="str">
            <v xml:space="preserve"> </v>
          </cell>
        </row>
        <row r="73">
          <cell r="BA73" t="str">
            <v xml:space="preserve"> </v>
          </cell>
        </row>
        <row r="74">
          <cell r="BA74" t="str">
            <v xml:space="preserve"> </v>
          </cell>
        </row>
        <row r="75">
          <cell r="BA75" t="str">
            <v xml:space="preserve"> </v>
          </cell>
        </row>
      </sheetData>
      <sheetData sheetId="2"/>
      <sheetData sheetId="3">
        <row r="1">
          <cell r="B1">
            <v>0</v>
          </cell>
        </row>
        <row r="2">
          <cell r="B2">
            <v>0</v>
          </cell>
        </row>
        <row r="4">
          <cell r="B4">
            <v>0</v>
          </cell>
        </row>
        <row r="5">
          <cell r="B5">
            <v>0</v>
          </cell>
        </row>
        <row r="6">
          <cell r="B6">
            <v>0</v>
          </cell>
        </row>
        <row r="12">
          <cell r="B12">
            <v>0</v>
          </cell>
        </row>
        <row r="14">
          <cell r="B14">
            <v>0</v>
          </cell>
        </row>
        <row r="16">
          <cell r="B16">
            <v>0</v>
          </cell>
        </row>
        <row r="18">
          <cell r="B18">
            <v>0</v>
          </cell>
        </row>
        <row r="21">
          <cell r="B21">
            <v>0</v>
          </cell>
        </row>
        <row r="23">
          <cell r="B23">
            <v>0</v>
          </cell>
        </row>
      </sheetData>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NJgen"/>
      <sheetName val="PNJcombat"/>
      <sheetName val="Sheet1"/>
    </sheetNames>
    <sheetDataSet>
      <sheetData sheetId="0" refreshError="1"/>
      <sheetData sheetId="1" refreshError="1"/>
      <sheetData sheetId="2" refreshError="1">
        <row r="2">
          <cell r="A2">
            <v>2</v>
          </cell>
          <cell r="B2">
            <v>1</v>
          </cell>
          <cell r="C2">
            <v>1</v>
          </cell>
          <cell r="E2">
            <v>80</v>
          </cell>
          <cell r="F2">
            <v>20</v>
          </cell>
          <cell r="G2" t="str">
            <v>chauve</v>
          </cell>
          <cell r="H2" t="str">
            <v>blanc</v>
          </cell>
          <cell r="I2" t="str">
            <v>fanatique</v>
          </cell>
          <cell r="J2">
            <v>150</v>
          </cell>
          <cell r="K2">
            <v>40</v>
          </cell>
          <cell r="L2" t="str">
            <v xml:space="preserve">Fief voisin </v>
          </cell>
          <cell r="M2">
            <v>11</v>
          </cell>
          <cell r="N2" t="str">
            <v>El’Der</v>
          </cell>
          <cell r="O2">
            <v>0</v>
          </cell>
          <cell r="Q2" t="str">
            <v>Guenilles, troués</v>
          </cell>
          <cell r="R2" t="str">
            <v>aucune</v>
          </cell>
          <cell r="S2" t="str">
            <v>aucune</v>
          </cell>
          <cell r="T2" t="str">
            <v>Survie</v>
          </cell>
          <cell r="U2" t="str">
            <v>potier/charpentier/maçon/brasseur</v>
          </cell>
          <cell r="V2" t="str">
            <v>Assassin</v>
          </cell>
          <cell r="W2" t="str">
            <v>Spéciale</v>
          </cell>
          <cell r="X2" t="str">
            <v>-</v>
          </cell>
        </row>
        <row r="3">
          <cell r="A3">
            <v>3</v>
          </cell>
          <cell r="B3">
            <v>2</v>
          </cell>
          <cell r="C3">
            <v>2</v>
          </cell>
          <cell r="E3">
            <v>70</v>
          </cell>
          <cell r="F3">
            <v>10</v>
          </cell>
          <cell r="G3" t="str">
            <v>très ras</v>
          </cell>
          <cell r="H3" t="str">
            <v>gris clair</v>
          </cell>
          <cell r="I3" t="str">
            <v>généreux</v>
          </cell>
          <cell r="J3">
            <v>155</v>
          </cell>
          <cell r="K3">
            <v>45</v>
          </cell>
          <cell r="L3" t="str">
            <v>Fief éloigné</v>
          </cell>
          <cell r="M3">
            <v>10</v>
          </cell>
          <cell r="N3" t="str">
            <v>El’Der</v>
          </cell>
          <cell r="O3">
            <v>0</v>
          </cell>
          <cell r="Q3" t="str">
            <v>Guenilles, troués</v>
          </cell>
          <cell r="R3" t="str">
            <v>1 sans valeur</v>
          </cell>
          <cell r="S3" t="str">
            <v>2 SO</v>
          </cell>
          <cell r="T3" t="str">
            <v>Escalade</v>
          </cell>
          <cell r="U3" t="str">
            <v>homme d’arme/cavalier régulier</v>
          </cell>
          <cell r="V3" t="str">
            <v>Mathématicien</v>
          </cell>
          <cell r="W3" t="str">
            <v>Combat à cheval</v>
          </cell>
          <cell r="X3" t="str">
            <v>-</v>
          </cell>
        </row>
        <row r="4">
          <cell r="A4">
            <v>4</v>
          </cell>
          <cell r="B4">
            <v>3</v>
          </cell>
          <cell r="C4">
            <v>3</v>
          </cell>
          <cell r="E4">
            <v>60</v>
          </cell>
          <cell r="F4">
            <v>20</v>
          </cell>
          <cell r="G4" t="str">
            <v>blanc</v>
          </cell>
          <cell r="H4" t="str">
            <v>gris</v>
          </cell>
          <cell r="I4" t="str">
            <v>courageux</v>
          </cell>
          <cell r="J4">
            <v>155</v>
          </cell>
          <cell r="K4">
            <v>50</v>
          </cell>
          <cell r="L4" t="str">
            <v>de la région à 25km</v>
          </cell>
          <cell r="M4">
            <v>9</v>
          </cell>
          <cell r="N4" t="str">
            <v>El’Der</v>
          </cell>
          <cell r="O4">
            <v>0</v>
          </cell>
          <cell r="Q4" t="str">
            <v>Sales, odorants</v>
          </cell>
          <cell r="R4" t="str">
            <v>2 sans valeur</v>
          </cell>
          <cell r="S4" t="str">
            <v>4 SO</v>
          </cell>
          <cell r="T4" t="str">
            <v>Nage</v>
          </cell>
          <cell r="U4" t="str">
            <v>chef guerrier/de troupe/tacticien/stratège</v>
          </cell>
          <cell r="V4" t="str">
            <v>Alchimiste</v>
          </cell>
          <cell r="W4" t="str">
            <v>Combat à 2 armes</v>
          </cell>
          <cell r="X4" t="str">
            <v>gros tissus</v>
          </cell>
        </row>
        <row r="5">
          <cell r="A5">
            <v>5</v>
          </cell>
          <cell r="B5">
            <v>4</v>
          </cell>
          <cell r="C5">
            <v>4</v>
          </cell>
          <cell r="E5">
            <v>50</v>
          </cell>
          <cell r="F5">
            <v>30</v>
          </cell>
          <cell r="G5" t="str">
            <v>blond clair</v>
          </cell>
          <cell r="H5" t="str">
            <v>gris foncé</v>
          </cell>
          <cell r="I5" t="str">
            <v>gai</v>
          </cell>
          <cell r="J5">
            <v>160</v>
          </cell>
          <cell r="K5">
            <v>50</v>
          </cell>
          <cell r="L5" t="str">
            <v>de la région à 50km</v>
          </cell>
          <cell r="M5">
            <v>8</v>
          </cell>
          <cell r="N5" t="str">
            <v>El’Der</v>
          </cell>
          <cell r="O5">
            <v>0</v>
          </cell>
          <cell r="Q5" t="str">
            <v>Sales, odorants</v>
          </cell>
          <cell r="R5" t="str">
            <v>3 sans valeur</v>
          </cell>
          <cell r="S5" t="str">
            <v>6 SO</v>
          </cell>
          <cell r="T5" t="str">
            <v>Rhétorique</v>
          </cell>
          <cell r="U5" t="str">
            <v>marin/marinier/marin-pêcheur/équarisseur</v>
          </cell>
          <cell r="V5" t="str">
            <v>Astrologue</v>
          </cell>
          <cell r="W5" t="str">
            <v>Acrobatie combat</v>
          </cell>
          <cell r="X5" t="str">
            <v>gros tissus</v>
          </cell>
        </row>
        <row r="6">
          <cell r="A6">
            <v>6</v>
          </cell>
          <cell r="B6">
            <v>5</v>
          </cell>
          <cell r="C6">
            <v>5</v>
          </cell>
          <cell r="E6">
            <v>40</v>
          </cell>
          <cell r="F6">
            <v>40</v>
          </cell>
          <cell r="G6" t="str">
            <v>blond</v>
          </cell>
          <cell r="H6" t="str">
            <v>bleu clair</v>
          </cell>
          <cell r="I6" t="str">
            <v>hédoniste</v>
          </cell>
          <cell r="J6">
            <v>160</v>
          </cell>
          <cell r="K6">
            <v>55</v>
          </cell>
          <cell r="L6" t="str">
            <v>d’un lieu situé à 5 km</v>
          </cell>
          <cell r="M6">
            <v>7</v>
          </cell>
          <cell r="N6" t="str">
            <v>El’Der</v>
          </cell>
          <cell r="O6">
            <v>0</v>
          </cell>
          <cell r="Q6" t="str">
            <v>Usés, taches</v>
          </cell>
          <cell r="R6" t="str">
            <v>1 faible valeur</v>
          </cell>
          <cell r="S6" t="str">
            <v>8 SO</v>
          </cell>
          <cell r="T6" t="str">
            <v>Cueillette</v>
          </cell>
          <cell r="U6" t="str">
            <v>médecin/herboriste/chef coq</v>
          </cell>
          <cell r="V6" t="str">
            <v>Architecte</v>
          </cell>
          <cell r="W6" t="str">
            <v>Arbalète*</v>
          </cell>
          <cell r="X6" t="str">
            <v>cuir</v>
          </cell>
        </row>
        <row r="7">
          <cell r="A7">
            <v>7</v>
          </cell>
          <cell r="B7">
            <v>6</v>
          </cell>
          <cell r="C7">
            <v>6</v>
          </cell>
          <cell r="E7">
            <v>30</v>
          </cell>
          <cell r="F7">
            <v>50</v>
          </cell>
          <cell r="G7" t="str">
            <v>châtain clair</v>
          </cell>
          <cell r="H7" t="str">
            <v>bleu</v>
          </cell>
          <cell r="I7" t="str">
            <v>compassionné</v>
          </cell>
          <cell r="J7">
            <v>160</v>
          </cell>
          <cell r="K7">
            <v>55</v>
          </cell>
          <cell r="L7" t="str">
            <v>d’un lieu situé à 10 km</v>
          </cell>
          <cell r="M7">
            <v>6</v>
          </cell>
          <cell r="N7" t="str">
            <v>El’Bis</v>
          </cell>
          <cell r="O7">
            <v>0</v>
          </cell>
          <cell r="Q7" t="str">
            <v>Usés, taches</v>
          </cell>
          <cell r="R7" t="str">
            <v>3 faible valeur</v>
          </cell>
          <cell r="S7" t="str">
            <v>10 SO</v>
          </cell>
          <cell r="T7" t="str">
            <v>lire&amp;écrire</v>
          </cell>
          <cell r="U7" t="str">
            <v>scribe/artiste/joueur/musicien</v>
          </cell>
          <cell r="V7" t="str">
            <v>Diplomate</v>
          </cell>
          <cell r="W7" t="str">
            <v>Arc*</v>
          </cell>
          <cell r="X7" t="str">
            <v>cuir</v>
          </cell>
        </row>
        <row r="8">
          <cell r="A8">
            <v>8</v>
          </cell>
          <cell r="B8">
            <v>7</v>
          </cell>
          <cell r="C8">
            <v>7</v>
          </cell>
          <cell r="E8">
            <v>20</v>
          </cell>
          <cell r="F8">
            <v>60</v>
          </cell>
          <cell r="G8" t="str">
            <v>châtain</v>
          </cell>
          <cell r="H8" t="str">
            <v>bleu foncé</v>
          </cell>
          <cell r="I8" t="str">
            <v>timide</v>
          </cell>
          <cell r="J8">
            <v>165</v>
          </cell>
          <cell r="K8">
            <v>60</v>
          </cell>
          <cell r="L8" t="str">
            <v>du lieu le plus proche</v>
          </cell>
          <cell r="M8">
            <v>5</v>
          </cell>
          <cell r="N8" t="str">
            <v>El’Bis</v>
          </cell>
          <cell r="O8">
            <v>0</v>
          </cell>
          <cell r="Q8" t="str">
            <v>De travail</v>
          </cell>
          <cell r="R8" t="str">
            <v>5 faible valeur</v>
          </cell>
          <cell r="S8" t="str">
            <v>2 PC</v>
          </cell>
          <cell r="T8" t="str">
            <v>Langue</v>
          </cell>
          <cell r="U8" t="str">
            <v>armurier/</v>
          </cell>
          <cell r="V8" t="str">
            <v>Héraut</v>
          </cell>
          <cell r="W8" t="str">
            <v>Masse*</v>
          </cell>
          <cell r="X8" t="str">
            <v>cuir  renf</v>
          </cell>
        </row>
        <row r="9">
          <cell r="A9">
            <v>9</v>
          </cell>
          <cell r="B9">
            <v>8</v>
          </cell>
          <cell r="C9">
            <v>8</v>
          </cell>
          <cell r="E9">
            <v>10</v>
          </cell>
          <cell r="F9">
            <v>50</v>
          </cell>
          <cell r="G9" t="str">
            <v>châtain foncé</v>
          </cell>
          <cell r="H9" t="str">
            <v>bleu-gris</v>
          </cell>
          <cell r="I9" t="str">
            <v>aimable</v>
          </cell>
          <cell r="J9">
            <v>165</v>
          </cell>
          <cell r="K9">
            <v>60</v>
          </cell>
          <cell r="L9" t="str">
            <v>du lieu le plus proche</v>
          </cell>
          <cell r="M9">
            <v>4</v>
          </cell>
          <cell r="N9" t="str">
            <v>El’Bis</v>
          </cell>
          <cell r="O9">
            <v>0</v>
          </cell>
          <cell r="Q9" t="str">
            <v>De travail</v>
          </cell>
          <cell r="R9" t="str">
            <v>8 faible valeur</v>
          </cell>
          <cell r="S9" t="str">
            <v>4 PC</v>
          </cell>
          <cell r="T9" t="str">
            <v>Pister</v>
          </cell>
          <cell r="U9" t="str">
            <v>fabricant arc/flèche</v>
          </cell>
          <cell r="V9" t="str">
            <v>Trafiquant</v>
          </cell>
          <cell r="W9" t="str">
            <v>Epée*</v>
          </cell>
          <cell r="X9" t="str">
            <v xml:space="preserve">cuir </v>
          </cell>
        </row>
        <row r="10">
          <cell r="A10">
            <v>10</v>
          </cell>
          <cell r="B10">
            <v>9</v>
          </cell>
          <cell r="C10">
            <v>9</v>
          </cell>
          <cell r="E10">
            <v>20</v>
          </cell>
          <cell r="F10">
            <v>40</v>
          </cell>
          <cell r="G10" t="str">
            <v>brun clair</v>
          </cell>
          <cell r="H10" t="str">
            <v>noisette</v>
          </cell>
          <cell r="I10" t="str">
            <v>vénal</v>
          </cell>
          <cell r="J10">
            <v>165</v>
          </cell>
          <cell r="K10">
            <v>65</v>
          </cell>
          <cell r="L10" t="str">
            <v>autre royaume</v>
          </cell>
          <cell r="M10">
            <v>3</v>
          </cell>
          <cell r="N10" t="str">
            <v>El’Bis</v>
          </cell>
          <cell r="O10">
            <v>0</v>
          </cell>
          <cell r="Q10" t="str">
            <v>Fonctionnels</v>
          </cell>
          <cell r="R10" t="str">
            <v>1 valeur moyenne</v>
          </cell>
          <cell r="S10" t="str">
            <v>6 PC</v>
          </cell>
          <cell r="T10" t="str">
            <v>Pister</v>
          </cell>
          <cell r="U10" t="str">
            <v>serviteur/berger/</v>
          </cell>
          <cell r="V10" t="str">
            <v>Eclaireur</v>
          </cell>
          <cell r="W10" t="str">
            <v>Grande Epée</v>
          </cell>
          <cell r="X10" t="str">
            <v>cuir clou</v>
          </cell>
        </row>
        <row r="11">
          <cell r="A11">
            <v>11</v>
          </cell>
          <cell r="B11">
            <v>10</v>
          </cell>
          <cell r="C11">
            <v>10</v>
          </cell>
          <cell r="E11">
            <v>30</v>
          </cell>
          <cell r="F11">
            <v>30</v>
          </cell>
          <cell r="G11" t="str">
            <v>brun</v>
          </cell>
          <cell r="H11" t="str">
            <v>noisette</v>
          </cell>
          <cell r="I11" t="str">
            <v>brave</v>
          </cell>
          <cell r="J11">
            <v>170</v>
          </cell>
          <cell r="K11">
            <v>65</v>
          </cell>
          <cell r="L11" t="str">
            <v>autre tribu</v>
          </cell>
          <cell r="M11">
            <v>2</v>
          </cell>
          <cell r="N11" t="str">
            <v>El’Bis</v>
          </cell>
          <cell r="O11">
            <v>0</v>
          </cell>
          <cell r="Q11" t="str">
            <v>Fonctionnels</v>
          </cell>
          <cell r="R11" t="str">
            <v>2 valeur moyenne</v>
          </cell>
          <cell r="S11" t="str">
            <v>8 PC</v>
          </cell>
          <cell r="T11" t="str">
            <v>pister en ville</v>
          </cell>
          <cell r="U11" t="str">
            <v>élevage</v>
          </cell>
          <cell r="V11" t="str">
            <v>Bourreau</v>
          </cell>
          <cell r="W11" t="str">
            <v>Dague*</v>
          </cell>
          <cell r="X11" t="str">
            <v>broigne</v>
          </cell>
        </row>
        <row r="12">
          <cell r="A12">
            <v>12</v>
          </cell>
          <cell r="B12">
            <v>11</v>
          </cell>
          <cell r="E12">
            <v>40</v>
          </cell>
          <cell r="F12">
            <v>20</v>
          </cell>
          <cell r="G12" t="str">
            <v>brun foncé</v>
          </cell>
          <cell r="H12" t="str">
            <v>brun</v>
          </cell>
          <cell r="I12" t="str">
            <v>égoïste</v>
          </cell>
          <cell r="J12">
            <v>175</v>
          </cell>
          <cell r="K12">
            <v>65</v>
          </cell>
          <cell r="M12">
            <v>1</v>
          </cell>
          <cell r="N12" t="str">
            <v>El’Bis</v>
          </cell>
          <cell r="O12">
            <v>0</v>
          </cell>
          <cell r="Q12" t="str">
            <v>Corrects, bonne coupe</v>
          </cell>
          <cell r="R12" t="str">
            <v>4 valeur moyenne</v>
          </cell>
          <cell r="S12" t="str">
            <v>2 PA</v>
          </cell>
          <cell r="T12" t="str">
            <v>pister en ville</v>
          </cell>
          <cell r="U12" t="str">
            <v>marchand/maître équipage/</v>
          </cell>
          <cell r="V12" t="str">
            <v>Religieux</v>
          </cell>
          <cell r="W12" t="str">
            <v>Miséricorde</v>
          </cell>
          <cell r="X12" t="str">
            <v>broigne</v>
          </cell>
        </row>
        <row r="13">
          <cell r="A13">
            <v>13</v>
          </cell>
          <cell r="B13">
            <v>12</v>
          </cell>
          <cell r="E13">
            <v>50</v>
          </cell>
          <cell r="F13">
            <v>10</v>
          </cell>
          <cell r="G13" t="str">
            <v>poivre et sel</v>
          </cell>
          <cell r="H13" t="str">
            <v>brun</v>
          </cell>
          <cell r="I13" t="str">
            <v>autoritaire</v>
          </cell>
          <cell r="J13">
            <v>175</v>
          </cell>
          <cell r="K13">
            <v>70</v>
          </cell>
          <cell r="M13">
            <v>0</v>
          </cell>
          <cell r="N13" t="str">
            <v>El’Bis</v>
          </cell>
          <cell r="O13">
            <v>0</v>
          </cell>
          <cell r="Q13" t="str">
            <v>Corrects, bonne coupe</v>
          </cell>
          <cell r="R13" t="str">
            <v>6 valeur moyenne</v>
          </cell>
          <cell r="S13" t="str">
            <v>4 PA</v>
          </cell>
          <cell r="T13" t="str">
            <v>Porteur</v>
          </cell>
          <cell r="U13" t="str">
            <v>prêteur</v>
          </cell>
          <cell r="V13" t="str">
            <v>Polyglotte</v>
          </cell>
          <cell r="W13" t="str">
            <v>Pique*</v>
          </cell>
          <cell r="X13" t="str">
            <v>broigne</v>
          </cell>
        </row>
        <row r="14">
          <cell r="A14">
            <v>14</v>
          </cell>
          <cell r="B14">
            <v>13</v>
          </cell>
          <cell r="E14">
            <v>60</v>
          </cell>
          <cell r="F14">
            <v>20</v>
          </cell>
          <cell r="G14" t="str">
            <v>gris clair</v>
          </cell>
          <cell r="H14" t="str">
            <v>brun foncé</v>
          </cell>
          <cell r="I14" t="str">
            <v>violent</v>
          </cell>
          <cell r="J14">
            <v>175</v>
          </cell>
          <cell r="K14">
            <v>70</v>
          </cell>
          <cell r="M14">
            <v>1</v>
          </cell>
          <cell r="N14" t="str">
            <v>El’Bis</v>
          </cell>
          <cell r="O14">
            <v>0</v>
          </cell>
          <cell r="Q14" t="str">
            <v>Beaux, colorés</v>
          </cell>
          <cell r="R14" t="str">
            <v>1 précieux</v>
          </cell>
          <cell r="S14" t="str">
            <v>6 PA</v>
          </cell>
          <cell r="T14" t="str">
            <v>baratin</v>
          </cell>
          <cell r="U14" t="str">
            <v>chanteur/acteur/</v>
          </cell>
          <cell r="V14" t="str">
            <v>Usurier</v>
          </cell>
          <cell r="W14" t="str">
            <v>Masse Lourde</v>
          </cell>
          <cell r="X14" t="str">
            <v>maille lég</v>
          </cell>
        </row>
        <row r="15">
          <cell r="A15">
            <v>15</v>
          </cell>
          <cell r="B15">
            <v>14</v>
          </cell>
          <cell r="E15">
            <v>50</v>
          </cell>
          <cell r="F15">
            <v>30</v>
          </cell>
          <cell r="G15" t="str">
            <v>gris</v>
          </cell>
          <cell r="H15" t="str">
            <v>noir</v>
          </cell>
          <cell r="I15" t="str">
            <v>couard</v>
          </cell>
          <cell r="J15">
            <v>180</v>
          </cell>
          <cell r="K15">
            <v>70</v>
          </cell>
          <cell r="M15">
            <v>2</v>
          </cell>
          <cell r="N15" t="str">
            <v>El’Bis</v>
          </cell>
          <cell r="O15">
            <v>0</v>
          </cell>
          <cell r="Q15" t="str">
            <v>Beaux, colorés</v>
          </cell>
          <cell r="R15" t="str">
            <v>2 précieux</v>
          </cell>
          <cell r="S15" t="str">
            <v>8 Pa</v>
          </cell>
          <cell r="T15" t="str">
            <v>Soudoyer</v>
          </cell>
          <cell r="U15" t="str">
            <v>danseur/acrobate</v>
          </cell>
          <cell r="V15" t="str">
            <v>Voleur</v>
          </cell>
          <cell r="W15" t="str">
            <v>Hache*</v>
          </cell>
          <cell r="X15" t="str">
            <v>maille</v>
          </cell>
        </row>
        <row r="16">
          <cell r="A16">
            <v>16</v>
          </cell>
          <cell r="B16">
            <v>15</v>
          </cell>
          <cell r="E16">
            <v>40</v>
          </cell>
          <cell r="F16">
            <v>40</v>
          </cell>
          <cell r="G16" t="str">
            <v>gris foncé</v>
          </cell>
          <cell r="H16" t="str">
            <v>vert clair</v>
          </cell>
          <cell r="I16" t="str">
            <v>malicieux</v>
          </cell>
          <cell r="J16">
            <v>180</v>
          </cell>
          <cell r="K16">
            <v>75</v>
          </cell>
          <cell r="M16">
            <v>3</v>
          </cell>
          <cell r="N16" t="str">
            <v>El’Bis</v>
          </cell>
          <cell r="O16">
            <v>0</v>
          </cell>
          <cell r="Q16" t="str">
            <v>Très beaux, couleurs vives</v>
          </cell>
          <cell r="R16" t="str">
            <v>3 précieux</v>
          </cell>
          <cell r="S16" t="str">
            <v>1 PO</v>
          </cell>
          <cell r="T16" t="str">
            <v>élevage</v>
          </cell>
          <cell r="U16" t="str">
            <v>homme des bois/plaines/</v>
          </cell>
          <cell r="V16" t="str">
            <v>Intriguant</v>
          </cell>
          <cell r="W16" t="str">
            <v>Grande Hache</v>
          </cell>
          <cell r="X16" t="str">
            <v xml:space="preserve">maille  </v>
          </cell>
        </row>
        <row r="17">
          <cell r="A17">
            <v>17</v>
          </cell>
          <cell r="B17">
            <v>16</v>
          </cell>
          <cell r="E17">
            <v>30</v>
          </cell>
          <cell r="F17">
            <v>50</v>
          </cell>
          <cell r="G17" t="str">
            <v>noir brillant</v>
          </cell>
          <cell r="H17" t="str">
            <v>vert</v>
          </cell>
          <cell r="I17" t="str">
            <v>fourbe</v>
          </cell>
          <cell r="J17">
            <v>185</v>
          </cell>
          <cell r="K17">
            <v>80</v>
          </cell>
          <cell r="M17">
            <v>4</v>
          </cell>
          <cell r="N17" t="str">
            <v>El’Bis</v>
          </cell>
          <cell r="O17">
            <v>0</v>
          </cell>
          <cell r="Q17" t="str">
            <v>Très beaux, couleurs vives</v>
          </cell>
          <cell r="R17" t="str">
            <v>5 précieux</v>
          </cell>
          <cell r="S17" t="str">
            <v>3 PO</v>
          </cell>
          <cell r="T17" t="str">
            <v>piège &amp; trappe</v>
          </cell>
          <cell r="U17" t="str">
            <v>nomade</v>
          </cell>
          <cell r="V17" t="str">
            <v>Spécialiste plaisir</v>
          </cell>
          <cell r="W17" t="str">
            <v>Lance*</v>
          </cell>
          <cell r="X17" t="str">
            <v>maille  renf</v>
          </cell>
        </row>
        <row r="18">
          <cell r="A18">
            <v>18</v>
          </cell>
          <cell r="B18">
            <v>17</v>
          </cell>
          <cell r="E18">
            <v>20</v>
          </cell>
          <cell r="F18">
            <v>60</v>
          </cell>
          <cell r="G18" t="str">
            <v>noir</v>
          </cell>
          <cell r="H18" t="str">
            <v>vert foncé</v>
          </cell>
          <cell r="I18" t="str">
            <v>menteur</v>
          </cell>
          <cell r="J18">
            <v>190</v>
          </cell>
          <cell r="K18">
            <v>85</v>
          </cell>
          <cell r="M18">
            <v>5</v>
          </cell>
          <cell r="N18" t="str">
            <v>El’Bis</v>
          </cell>
          <cell r="O18">
            <v>0</v>
          </cell>
          <cell r="Q18" t="str">
            <v>Superbes, fils d’argent</v>
          </cell>
          <cell r="R18" t="str">
            <v>1 très précieux</v>
          </cell>
          <cell r="S18" t="str">
            <v>5PO</v>
          </cell>
          <cell r="T18" t="str">
            <v>joueur</v>
          </cell>
          <cell r="U18" t="str">
            <v>malandrin/serrurier</v>
          </cell>
          <cell r="V18" t="str">
            <v>Espion</v>
          </cell>
          <cell r="W18" t="str">
            <v>Croche</v>
          </cell>
          <cell r="X18" t="str">
            <v>brigandine</v>
          </cell>
        </row>
        <row r="19">
          <cell r="A19">
            <v>19</v>
          </cell>
          <cell r="B19">
            <v>18</v>
          </cell>
          <cell r="E19">
            <v>10</v>
          </cell>
          <cell r="F19">
            <v>80</v>
          </cell>
          <cell r="G19" t="str">
            <v>noir mat</v>
          </cell>
          <cell r="H19" t="str">
            <v>bicolore</v>
          </cell>
          <cell r="I19" t="str">
            <v>sanguinaire</v>
          </cell>
          <cell r="J19">
            <v>195</v>
          </cell>
          <cell r="K19">
            <v>90</v>
          </cell>
          <cell r="M19">
            <v>6</v>
          </cell>
          <cell r="N19" t="str">
            <v>El’Bis</v>
          </cell>
          <cell r="O19">
            <v>0</v>
          </cell>
          <cell r="Q19" t="str">
            <v>Superbes, fils d’argent</v>
          </cell>
          <cell r="R19" t="str">
            <v>2 très précieux</v>
          </cell>
          <cell r="S19" t="str">
            <v>8 PO</v>
          </cell>
          <cell r="T19" t="str">
            <v>Dissimulation</v>
          </cell>
          <cell r="U19" t="str">
            <v>religieux/vigneron</v>
          </cell>
          <cell r="V19" t="str">
            <v>Surviveur</v>
          </cell>
          <cell r="W19" t="str">
            <v>Art du combat</v>
          </cell>
          <cell r="X19" t="str">
            <v>brigandine</v>
          </cell>
        </row>
        <row r="20">
          <cell r="A20">
            <v>20</v>
          </cell>
          <cell r="B20">
            <v>19</v>
          </cell>
          <cell r="E20">
            <v>20</v>
          </cell>
          <cell r="F20">
            <v>90</v>
          </cell>
          <cell r="G20" t="str">
            <v>roux</v>
          </cell>
          <cell r="H20" t="str">
            <v>violet</v>
          </cell>
          <cell r="I20" t="str">
            <v>sadique</v>
          </cell>
          <cell r="J20">
            <v>200</v>
          </cell>
          <cell r="K20">
            <v>95</v>
          </cell>
          <cell r="M20">
            <v>7</v>
          </cell>
          <cell r="N20" t="str">
            <v>El’Bis</v>
          </cell>
          <cell r="O20">
            <v>0</v>
          </cell>
          <cell r="Q20" t="str">
            <v>Exceptionnels, fils d’or</v>
          </cell>
          <cell r="R20" t="str">
            <v>3 très précieux</v>
          </cell>
          <cell r="S20" t="str">
            <v>10 PO</v>
          </cell>
          <cell r="T20" t="str">
            <v>surviveur</v>
          </cell>
          <cell r="U20" t="str">
            <v>mineur/tailleur/tanneur</v>
          </cell>
          <cell r="V20" t="str">
            <v>Aventurier</v>
          </cell>
          <cell r="W20" t="str">
            <v>Fouet</v>
          </cell>
          <cell r="X20" t="str">
            <v>plaque</v>
          </cell>
        </row>
        <row r="21">
          <cell r="B21">
            <v>20</v>
          </cell>
          <cell r="N21" t="str">
            <v>El’Bis</v>
          </cell>
          <cell r="O21">
            <v>1</v>
          </cell>
        </row>
        <row r="22">
          <cell r="B22">
            <v>21</v>
          </cell>
          <cell r="N22" t="str">
            <v>El’Bis</v>
          </cell>
          <cell r="O22">
            <v>1</v>
          </cell>
        </row>
        <row r="23">
          <cell r="B23">
            <v>22</v>
          </cell>
          <cell r="N23" t="str">
            <v>El’Bis</v>
          </cell>
          <cell r="O23">
            <v>1</v>
          </cell>
        </row>
        <row r="24">
          <cell r="B24">
            <v>23</v>
          </cell>
          <cell r="N24" t="str">
            <v>El’Bis</v>
          </cell>
          <cell r="O24">
            <v>1</v>
          </cell>
        </row>
        <row r="25">
          <cell r="B25">
            <v>24</v>
          </cell>
          <cell r="N25" t="str">
            <v>El’Bis</v>
          </cell>
          <cell r="O25">
            <v>1</v>
          </cell>
        </row>
        <row r="26">
          <cell r="B26">
            <v>25</v>
          </cell>
          <cell r="N26" t="str">
            <v>El’Bis</v>
          </cell>
          <cell r="O26">
            <v>1</v>
          </cell>
        </row>
        <row r="27">
          <cell r="B27">
            <v>26</v>
          </cell>
          <cell r="N27" t="str">
            <v>El’Bis</v>
          </cell>
          <cell r="O27">
            <v>1</v>
          </cell>
        </row>
        <row r="28">
          <cell r="B28">
            <v>27</v>
          </cell>
          <cell r="N28" t="str">
            <v>El’Bis</v>
          </cell>
          <cell r="O28">
            <v>1</v>
          </cell>
        </row>
        <row r="29">
          <cell r="B29">
            <v>28</v>
          </cell>
          <cell r="N29" t="str">
            <v>El’Bis</v>
          </cell>
          <cell r="O29">
            <v>1</v>
          </cell>
        </row>
        <row r="30">
          <cell r="B30">
            <v>29</v>
          </cell>
          <cell r="N30" t="str">
            <v>El’Bis</v>
          </cell>
          <cell r="O30">
            <v>1</v>
          </cell>
        </row>
        <row r="31">
          <cell r="B31">
            <v>30</v>
          </cell>
          <cell r="N31" t="str">
            <v>El’Bis</v>
          </cell>
          <cell r="O31">
            <v>1</v>
          </cell>
        </row>
        <row r="32">
          <cell r="B32">
            <v>31</v>
          </cell>
          <cell r="N32" t="str">
            <v>El’Bis</v>
          </cell>
          <cell r="O32">
            <v>1</v>
          </cell>
        </row>
        <row r="33">
          <cell r="B33">
            <v>32</v>
          </cell>
          <cell r="N33" t="str">
            <v>El’Bis</v>
          </cell>
          <cell r="O33">
            <v>1</v>
          </cell>
        </row>
        <row r="34">
          <cell r="B34">
            <v>33</v>
          </cell>
          <cell r="N34" t="str">
            <v>El’Bis</v>
          </cell>
          <cell r="O34">
            <v>1</v>
          </cell>
        </row>
        <row r="35">
          <cell r="B35">
            <v>34</v>
          </cell>
          <cell r="N35" t="str">
            <v>El’Bis</v>
          </cell>
          <cell r="O35">
            <v>1</v>
          </cell>
        </row>
        <row r="36">
          <cell r="B36">
            <v>35</v>
          </cell>
          <cell r="N36" t="str">
            <v>El’Bis</v>
          </cell>
          <cell r="O36">
            <v>1</v>
          </cell>
        </row>
        <row r="37">
          <cell r="B37">
            <v>36</v>
          </cell>
          <cell r="N37" t="str">
            <v>El’Bis</v>
          </cell>
          <cell r="O37">
            <v>1</v>
          </cell>
        </row>
        <row r="38">
          <cell r="B38">
            <v>37</v>
          </cell>
          <cell r="N38" t="str">
            <v>El’Bis</v>
          </cell>
          <cell r="O38">
            <v>2</v>
          </cell>
        </row>
        <row r="39">
          <cell r="B39">
            <v>38</v>
          </cell>
          <cell r="N39" t="str">
            <v>El’Bis</v>
          </cell>
          <cell r="O39">
            <v>2</v>
          </cell>
        </row>
        <row r="40">
          <cell r="B40">
            <v>39</v>
          </cell>
          <cell r="N40" t="str">
            <v>El’Bis</v>
          </cell>
          <cell r="O40">
            <v>2</v>
          </cell>
        </row>
        <row r="41">
          <cell r="B41">
            <v>40</v>
          </cell>
          <cell r="N41" t="str">
            <v>El’Bis</v>
          </cell>
          <cell r="O41">
            <v>2</v>
          </cell>
        </row>
        <row r="42">
          <cell r="B42">
            <v>41</v>
          </cell>
          <cell r="N42" t="str">
            <v>El’Bis</v>
          </cell>
          <cell r="O42">
            <v>2</v>
          </cell>
        </row>
        <row r="43">
          <cell r="B43">
            <v>42</v>
          </cell>
          <cell r="N43" t="str">
            <v>El’Bis</v>
          </cell>
          <cell r="O43">
            <v>2</v>
          </cell>
        </row>
        <row r="44">
          <cell r="B44">
            <v>43</v>
          </cell>
          <cell r="N44" t="str">
            <v>El’Bis</v>
          </cell>
          <cell r="O44">
            <v>2</v>
          </cell>
        </row>
        <row r="45">
          <cell r="B45">
            <v>44</v>
          </cell>
          <cell r="N45" t="str">
            <v>El’Bis</v>
          </cell>
          <cell r="O45">
            <v>2</v>
          </cell>
        </row>
        <row r="46">
          <cell r="B46">
            <v>45</v>
          </cell>
          <cell r="N46" t="str">
            <v>El’Bis</v>
          </cell>
          <cell r="O46">
            <v>2</v>
          </cell>
        </row>
        <row r="47">
          <cell r="B47">
            <v>46</v>
          </cell>
          <cell r="N47" t="str">
            <v>El’Bis</v>
          </cell>
          <cell r="O47">
            <v>2</v>
          </cell>
        </row>
        <row r="48">
          <cell r="B48">
            <v>47</v>
          </cell>
          <cell r="N48" t="str">
            <v>El’Bis</v>
          </cell>
          <cell r="O48">
            <v>2</v>
          </cell>
        </row>
        <row r="49">
          <cell r="B49">
            <v>48</v>
          </cell>
          <cell r="N49" t="str">
            <v>El’Bis</v>
          </cell>
          <cell r="O49">
            <v>2</v>
          </cell>
        </row>
        <row r="50">
          <cell r="B50">
            <v>49</v>
          </cell>
          <cell r="N50" t="str">
            <v>El’Bis</v>
          </cell>
          <cell r="O50">
            <v>2</v>
          </cell>
        </row>
        <row r="51">
          <cell r="B51">
            <v>50</v>
          </cell>
          <cell r="N51" t="str">
            <v>El’Bis</v>
          </cell>
          <cell r="O51">
            <v>2</v>
          </cell>
        </row>
        <row r="52">
          <cell r="B52">
            <v>51</v>
          </cell>
          <cell r="N52" t="str">
            <v>El’Bis</v>
          </cell>
          <cell r="O52">
            <v>2</v>
          </cell>
        </row>
        <row r="53">
          <cell r="B53">
            <v>52</v>
          </cell>
          <cell r="N53" t="str">
            <v>El’Bis</v>
          </cell>
          <cell r="O53">
            <v>3</v>
          </cell>
        </row>
        <row r="54">
          <cell r="B54">
            <v>53</v>
          </cell>
          <cell r="N54" t="str">
            <v>El’Bis</v>
          </cell>
          <cell r="O54">
            <v>3</v>
          </cell>
        </row>
        <row r="55">
          <cell r="B55">
            <v>54</v>
          </cell>
          <cell r="N55" t="str">
            <v>El’Bis</v>
          </cell>
          <cell r="O55">
            <v>3</v>
          </cell>
        </row>
        <row r="56">
          <cell r="B56">
            <v>55</v>
          </cell>
          <cell r="N56" t="str">
            <v>El’Bis</v>
          </cell>
          <cell r="O56">
            <v>3</v>
          </cell>
        </row>
        <row r="57">
          <cell r="B57">
            <v>56</v>
          </cell>
          <cell r="N57" t="str">
            <v>El’Bis</v>
          </cell>
          <cell r="O57">
            <v>3</v>
          </cell>
        </row>
        <row r="58">
          <cell r="B58">
            <v>57</v>
          </cell>
          <cell r="N58" t="str">
            <v>El’Bis</v>
          </cell>
          <cell r="O58">
            <v>3</v>
          </cell>
        </row>
        <row r="59">
          <cell r="B59">
            <v>58</v>
          </cell>
          <cell r="N59" t="str">
            <v>El’Bis</v>
          </cell>
          <cell r="O59">
            <v>3</v>
          </cell>
        </row>
        <row r="60">
          <cell r="B60">
            <v>59</v>
          </cell>
          <cell r="N60" t="str">
            <v>El’Bis</v>
          </cell>
          <cell r="O60">
            <v>3</v>
          </cell>
        </row>
        <row r="61">
          <cell r="B61">
            <v>60</v>
          </cell>
          <cell r="N61" t="str">
            <v>El’Bis</v>
          </cell>
          <cell r="O61">
            <v>3</v>
          </cell>
        </row>
        <row r="62">
          <cell r="B62">
            <v>61</v>
          </cell>
          <cell r="N62" t="str">
            <v>El’Bis</v>
          </cell>
          <cell r="O62">
            <v>3</v>
          </cell>
        </row>
        <row r="63">
          <cell r="B63">
            <v>62</v>
          </cell>
          <cell r="N63" t="str">
            <v>El’Bis</v>
          </cell>
          <cell r="O63">
            <v>3</v>
          </cell>
        </row>
        <row r="64">
          <cell r="B64">
            <v>63</v>
          </cell>
          <cell r="N64" t="str">
            <v>El’Bis</v>
          </cell>
          <cell r="O64">
            <v>3</v>
          </cell>
        </row>
        <row r="65">
          <cell r="B65">
            <v>64</v>
          </cell>
          <cell r="N65" t="str">
            <v>El’Bis</v>
          </cell>
          <cell r="O65">
            <v>3</v>
          </cell>
        </row>
        <row r="66">
          <cell r="B66">
            <v>65</v>
          </cell>
          <cell r="N66" t="str">
            <v>El’Bis</v>
          </cell>
          <cell r="O66">
            <v>4</v>
          </cell>
        </row>
        <row r="67">
          <cell r="B67">
            <v>66</v>
          </cell>
          <cell r="N67" t="str">
            <v>El’Bis</v>
          </cell>
          <cell r="O67">
            <v>4</v>
          </cell>
        </row>
        <row r="68">
          <cell r="B68">
            <v>67</v>
          </cell>
          <cell r="N68" t="str">
            <v>El’Bis</v>
          </cell>
          <cell r="O68">
            <v>4</v>
          </cell>
        </row>
        <row r="69">
          <cell r="B69">
            <v>68</v>
          </cell>
          <cell r="N69" t="str">
            <v>El’Bis</v>
          </cell>
          <cell r="O69">
            <v>4</v>
          </cell>
        </row>
        <row r="70">
          <cell r="B70">
            <v>69</v>
          </cell>
          <cell r="N70" t="str">
            <v>El’Bis</v>
          </cell>
          <cell r="O70">
            <v>4</v>
          </cell>
        </row>
        <row r="71">
          <cell r="B71">
            <v>70</v>
          </cell>
          <cell r="N71" t="str">
            <v>El’Bis</v>
          </cell>
          <cell r="O71">
            <v>4</v>
          </cell>
        </row>
        <row r="72">
          <cell r="B72">
            <v>71</v>
          </cell>
          <cell r="N72" t="str">
            <v>El’Bis</v>
          </cell>
          <cell r="O72">
            <v>4</v>
          </cell>
        </row>
        <row r="73">
          <cell r="B73">
            <v>72</v>
          </cell>
          <cell r="N73" t="str">
            <v>El’Bis</v>
          </cell>
          <cell r="O73">
            <v>4</v>
          </cell>
        </row>
        <row r="74">
          <cell r="B74">
            <v>73</v>
          </cell>
          <cell r="N74" t="str">
            <v>El’Bis</v>
          </cell>
          <cell r="O74">
            <v>4</v>
          </cell>
        </row>
        <row r="75">
          <cell r="B75">
            <v>74</v>
          </cell>
          <cell r="N75" t="str">
            <v>El’Bis</v>
          </cell>
          <cell r="O75">
            <v>4</v>
          </cell>
        </row>
        <row r="76">
          <cell r="B76">
            <v>75</v>
          </cell>
          <cell r="N76" t="str">
            <v>El’Bis</v>
          </cell>
          <cell r="O76">
            <v>5</v>
          </cell>
        </row>
        <row r="77">
          <cell r="B77">
            <v>76</v>
          </cell>
          <cell r="N77" t="str">
            <v>El’Bis</v>
          </cell>
          <cell r="O77">
            <v>5</v>
          </cell>
        </row>
        <row r="78">
          <cell r="B78">
            <v>77</v>
          </cell>
          <cell r="N78" t="str">
            <v>El’Bis</v>
          </cell>
          <cell r="O78">
            <v>5</v>
          </cell>
        </row>
        <row r="79">
          <cell r="B79">
            <v>78</v>
          </cell>
          <cell r="N79" t="str">
            <v>El’Bis</v>
          </cell>
          <cell r="O79">
            <v>5</v>
          </cell>
        </row>
        <row r="80">
          <cell r="B80">
            <v>79</v>
          </cell>
          <cell r="N80" t="str">
            <v>El’Bis</v>
          </cell>
          <cell r="O80">
            <v>5</v>
          </cell>
        </row>
        <row r="81">
          <cell r="B81">
            <v>80</v>
          </cell>
          <cell r="N81" t="str">
            <v>El’Bis</v>
          </cell>
          <cell r="O81">
            <v>5</v>
          </cell>
        </row>
        <row r="82">
          <cell r="B82">
            <v>81</v>
          </cell>
          <cell r="N82" t="str">
            <v>El’Bis</v>
          </cell>
          <cell r="O82">
            <v>5</v>
          </cell>
        </row>
        <row r="83">
          <cell r="B83">
            <v>82</v>
          </cell>
          <cell r="N83" t="str">
            <v>El’Bis</v>
          </cell>
          <cell r="O83">
            <v>5</v>
          </cell>
        </row>
        <row r="84">
          <cell r="B84">
            <v>83</v>
          </cell>
          <cell r="N84" t="str">
            <v>El’Bis</v>
          </cell>
          <cell r="O84">
            <v>5</v>
          </cell>
        </row>
        <row r="85">
          <cell r="B85">
            <v>84</v>
          </cell>
          <cell r="N85" t="str">
            <v>El’Bis</v>
          </cell>
          <cell r="O85">
            <v>5</v>
          </cell>
        </row>
        <row r="86">
          <cell r="B86">
            <v>85</v>
          </cell>
          <cell r="N86" t="str">
            <v>El’Bis</v>
          </cell>
          <cell r="O86">
            <v>6</v>
          </cell>
        </row>
        <row r="87">
          <cell r="B87">
            <v>86</v>
          </cell>
          <cell r="N87" t="str">
            <v>El’Bis</v>
          </cell>
          <cell r="O87">
            <v>6</v>
          </cell>
        </row>
        <row r="88">
          <cell r="B88">
            <v>87</v>
          </cell>
          <cell r="N88" t="str">
            <v>El’Bis</v>
          </cell>
          <cell r="O88">
            <v>6</v>
          </cell>
        </row>
        <row r="89">
          <cell r="B89">
            <v>88</v>
          </cell>
          <cell r="N89" t="str">
            <v>El’Dor</v>
          </cell>
          <cell r="O89">
            <v>6</v>
          </cell>
        </row>
        <row r="90">
          <cell r="B90">
            <v>89</v>
          </cell>
          <cell r="N90" t="str">
            <v>El’Dor</v>
          </cell>
          <cell r="O90">
            <v>6</v>
          </cell>
        </row>
        <row r="91">
          <cell r="B91">
            <v>90</v>
          </cell>
          <cell r="N91" t="str">
            <v>El’Dor</v>
          </cell>
          <cell r="O91">
            <v>6</v>
          </cell>
        </row>
        <row r="92">
          <cell r="B92">
            <v>91</v>
          </cell>
          <cell r="N92" t="str">
            <v>El’Dor</v>
          </cell>
          <cell r="O92">
            <v>7</v>
          </cell>
        </row>
        <row r="93">
          <cell r="B93">
            <v>92</v>
          </cell>
          <cell r="N93" t="str">
            <v>El’Dor</v>
          </cell>
          <cell r="O93">
            <v>7</v>
          </cell>
        </row>
        <row r="94">
          <cell r="B94">
            <v>93</v>
          </cell>
          <cell r="N94" t="str">
            <v>El’Lar</v>
          </cell>
          <cell r="O94">
            <v>7</v>
          </cell>
        </row>
        <row r="95">
          <cell r="B95">
            <v>94</v>
          </cell>
          <cell r="N95" t="str">
            <v>El’Lar</v>
          </cell>
          <cell r="O95">
            <v>7</v>
          </cell>
        </row>
        <row r="96">
          <cell r="B96">
            <v>95</v>
          </cell>
          <cell r="N96" t="str">
            <v>El’Lar</v>
          </cell>
          <cell r="O96">
            <v>7</v>
          </cell>
        </row>
        <row r="97">
          <cell r="B97">
            <v>96</v>
          </cell>
          <cell r="N97" t="str">
            <v>Koth’Oth</v>
          </cell>
          <cell r="O97">
            <v>8</v>
          </cell>
        </row>
        <row r="98">
          <cell r="B98">
            <v>97</v>
          </cell>
          <cell r="N98" t="str">
            <v>Koth’Oth</v>
          </cell>
          <cell r="O98">
            <v>8</v>
          </cell>
        </row>
        <row r="99">
          <cell r="B99">
            <v>98</v>
          </cell>
          <cell r="N99" t="str">
            <v>Si’Th</v>
          </cell>
          <cell r="O99">
            <v>8</v>
          </cell>
        </row>
        <row r="100">
          <cell r="B100">
            <v>99</v>
          </cell>
          <cell r="N100" t="str">
            <v>Nature</v>
          </cell>
          <cell r="O100">
            <v>9</v>
          </cell>
        </row>
        <row r="101">
          <cell r="B101">
            <v>100</v>
          </cell>
        </row>
        <row r="105">
          <cell r="B105">
            <v>4</v>
          </cell>
          <cell r="F105">
            <v>5</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rso"/>
      <sheetName val="Talents"/>
      <sheetName val="ArmURe"/>
      <sheetName val="Corps"/>
      <sheetName val="Effets"/>
    </sheetNames>
    <sheetDataSet>
      <sheetData sheetId="0">
        <row r="26">
          <cell r="E26">
            <v>50</v>
          </cell>
        </row>
        <row r="28">
          <cell r="E28">
            <v>50</v>
          </cell>
        </row>
        <row r="32">
          <cell r="E32">
            <v>50</v>
          </cell>
        </row>
        <row r="34">
          <cell r="E34">
            <v>50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rtisan"/>
      <sheetName val="Paramètres"/>
    </sheetNames>
    <sheetDataSet>
      <sheetData sheetId="0">
        <row r="1">
          <cell r="A1">
            <v>1</v>
          </cell>
          <cell r="B1" t="str">
            <v>A</v>
          </cell>
          <cell r="C1">
            <v>1</v>
          </cell>
          <cell r="E1">
            <v>0</v>
          </cell>
          <cell r="F1">
            <v>0.5</v>
          </cell>
          <cell r="G1" t="str">
            <v>Berger </v>
          </cell>
          <cell r="H1" t="str">
            <v>Alchimiste </v>
          </cell>
          <cell r="I1" t="str">
            <v>Assassin </v>
          </cell>
          <cell r="J1" t="str">
            <v>Bateleur </v>
          </cell>
          <cell r="K1" t="str">
            <v>Acrobate </v>
          </cell>
          <cell r="L1" t="str">
            <v>Apothicaire </v>
          </cell>
          <cell r="M1" t="str">
            <v>Architecte </v>
          </cell>
          <cell r="N1" t="str">
            <v>Écuyer </v>
          </cell>
          <cell r="O1" t="str">
            <v>Astrologue </v>
          </cell>
          <cell r="P1" t="str">
            <v>Banneret </v>
          </cell>
          <cell r="Q1" t="str">
            <v>A</v>
          </cell>
          <cell r="R1" t="str">
            <v>Nom famille</v>
          </cell>
          <cell r="S1" t="str">
            <v>caché</v>
          </cell>
        </row>
        <row r="2">
          <cell r="A2">
            <v>2</v>
          </cell>
          <cell r="B2" t="str">
            <v>B</v>
          </cell>
          <cell r="C2">
            <v>1</v>
          </cell>
          <cell r="E2">
            <v>0</v>
          </cell>
          <cell r="F2">
            <v>0.5</v>
          </cell>
          <cell r="G2" t="str">
            <v>Domestique</v>
          </cell>
          <cell r="H2" t="str">
            <v>Amuseur </v>
          </cell>
          <cell r="I2" t="str">
            <v>Chasseur</v>
          </cell>
          <cell r="J2" t="str">
            <v>Cuisinier </v>
          </cell>
          <cell r="K2" t="str">
            <v>Arracheur dent </v>
          </cell>
          <cell r="L2" t="str">
            <v>Aubergiste </v>
          </cell>
          <cell r="M2" t="str">
            <v>Armateur </v>
          </cell>
          <cell r="N2" t="str">
            <v>Étudiant-érud </v>
          </cell>
          <cell r="O2" t="str">
            <v>Bailli </v>
          </cell>
          <cell r="P2" t="str">
            <v>Banneret </v>
          </cell>
          <cell r="Q2" t="str">
            <v>A</v>
          </cell>
          <cell r="R2" t="str">
            <v>Animal</v>
          </cell>
          <cell r="S2" t="str">
            <v>hall de guilde</v>
          </cell>
        </row>
        <row r="3">
          <cell r="A3">
            <v>3</v>
          </cell>
          <cell r="B3" t="str">
            <v>C</v>
          </cell>
          <cell r="C3">
            <v>1</v>
          </cell>
          <cell r="E3">
            <v>0</v>
          </cell>
          <cell r="F3">
            <v>0.5</v>
          </cell>
          <cell r="G3" t="str">
            <v>Esclave</v>
          </cell>
          <cell r="H3" t="str">
            <v>Amuseur </v>
          </cell>
          <cell r="I3" t="str">
            <v>Esclavagiste </v>
          </cell>
          <cell r="J3" t="str">
            <v>Danseur </v>
          </cell>
          <cell r="K3" t="str">
            <v>Barbier </v>
          </cell>
          <cell r="L3" t="str">
            <v>Aubergiste </v>
          </cell>
          <cell r="M3" t="str">
            <v>Armurier </v>
          </cell>
          <cell r="N3" t="str">
            <v>Fou</v>
          </cell>
          <cell r="O3" t="str">
            <v>Changeur</v>
          </cell>
          <cell r="P3" t="str">
            <v>Baron </v>
          </cell>
          <cell r="Q3" t="str">
            <v>A</v>
          </cell>
          <cell r="R3" t="str">
            <v>Adjectif</v>
          </cell>
          <cell r="S3" t="str">
            <v>Siège de Guilde</v>
          </cell>
        </row>
        <row r="4">
          <cell r="A4">
            <v>4</v>
          </cell>
          <cell r="B4" t="str">
            <v>D</v>
          </cell>
          <cell r="C4">
            <v>1</v>
          </cell>
          <cell r="E4">
            <v>0</v>
          </cell>
          <cell r="F4">
            <v>0.5</v>
          </cell>
          <cell r="G4" t="str">
            <v>Garçon d’écurie </v>
          </cell>
          <cell r="H4" t="str">
            <v>Artiste </v>
          </cell>
          <cell r="I4" t="str">
            <v>Jongleur </v>
          </cell>
          <cell r="J4" t="str">
            <v>Distilleur </v>
          </cell>
          <cell r="K4" t="str">
            <v>Boulanger</v>
          </cell>
          <cell r="L4" t="str">
            <v>Boucher</v>
          </cell>
          <cell r="M4" t="str">
            <v>Armurier </v>
          </cell>
          <cell r="N4" t="str">
            <v>Lexicographe</v>
          </cell>
          <cell r="O4" t="str">
            <v>Chapelain </v>
          </cell>
          <cell r="P4" t="str">
            <v>Comte </v>
          </cell>
          <cell r="Q4" t="str">
            <v>A</v>
          </cell>
          <cell r="R4" t="str">
            <v>Couleur</v>
          </cell>
          <cell r="S4" t="str">
            <v>Comptoir de guilde</v>
          </cell>
        </row>
        <row r="5">
          <cell r="A5">
            <v>5</v>
          </cell>
          <cell r="B5" t="str">
            <v>E</v>
          </cell>
          <cell r="C5">
            <v>2</v>
          </cell>
          <cell r="E5">
            <v>0</v>
          </cell>
          <cell r="F5">
            <v>0.5</v>
          </cell>
          <cell r="G5" t="str">
            <v>Gardien de terre</v>
          </cell>
          <cell r="H5" t="str">
            <v>Artiste </v>
          </cell>
          <cell r="I5" t="str">
            <v>Mercenaire</v>
          </cell>
          <cell r="J5" t="str">
            <v>Espion </v>
          </cell>
          <cell r="K5" t="str">
            <v>Charpentier </v>
          </cell>
          <cell r="L5" t="str">
            <v>Boucher</v>
          </cell>
          <cell r="M5" t="str">
            <v>Cartographe </v>
          </cell>
          <cell r="N5" t="str">
            <v>Linguiste</v>
          </cell>
          <cell r="O5" t="str">
            <v>Chevalier </v>
          </cell>
          <cell r="P5" t="str">
            <v>Dignitaire religieux </v>
          </cell>
          <cell r="Q5" t="str">
            <v>E</v>
          </cell>
          <cell r="R5" t="str">
            <v>Nom connu</v>
          </cell>
          <cell r="S5" t="str">
            <v>Secret</v>
          </cell>
        </row>
        <row r="6">
          <cell r="A6">
            <v>6</v>
          </cell>
          <cell r="B6" t="str">
            <v>F</v>
          </cell>
          <cell r="C6">
            <v>2</v>
          </cell>
          <cell r="E6">
            <v>1</v>
          </cell>
          <cell r="F6">
            <v>0.5</v>
          </cell>
          <cell r="G6" t="str">
            <v>Laboureur</v>
          </cell>
          <cell r="H6" t="str">
            <v>Artiste </v>
          </cell>
          <cell r="I6" t="str">
            <v>Potier </v>
          </cell>
          <cell r="J6" t="str">
            <v>Fabricant trappe </v>
          </cell>
          <cell r="K6" t="str">
            <v>Charpentier </v>
          </cell>
          <cell r="L6" t="str">
            <v>Chaudronnier </v>
          </cell>
          <cell r="M6" t="str">
            <v>Enlumineur </v>
          </cell>
          <cell r="N6" t="str">
            <v>Mathématicien </v>
          </cell>
          <cell r="O6" t="str">
            <v>Clerc </v>
          </cell>
          <cell r="P6" t="str">
            <v>Duc </v>
          </cell>
          <cell r="Q6" t="str">
            <v>E</v>
          </cell>
          <cell r="R6" t="str">
            <v>Mot profession</v>
          </cell>
          <cell r="S6" t="str">
            <v>A l'abandon</v>
          </cell>
        </row>
        <row r="7">
          <cell r="A7">
            <v>7</v>
          </cell>
          <cell r="B7" t="str">
            <v>G</v>
          </cell>
          <cell r="C7">
            <v>2</v>
          </cell>
          <cell r="E7">
            <v>1</v>
          </cell>
          <cell r="F7">
            <v>0.5</v>
          </cell>
          <cell r="G7" t="str">
            <v>Maraud </v>
          </cell>
          <cell r="H7" t="str">
            <v>Artiste </v>
          </cell>
          <cell r="I7" t="str">
            <v>Sapeur</v>
          </cell>
          <cell r="J7" t="str">
            <v>Forestier </v>
          </cell>
          <cell r="K7" t="str">
            <v>Cordonnier </v>
          </cell>
          <cell r="L7" t="str">
            <v>Drapier </v>
          </cell>
          <cell r="M7" t="str">
            <v>Fauconnier </v>
          </cell>
          <cell r="N7" t="str">
            <v>Orateur </v>
          </cell>
          <cell r="O7" t="str">
            <v>Conseiller </v>
          </cell>
          <cell r="P7" t="str">
            <v>Héraut </v>
          </cell>
          <cell r="Q7" t="str">
            <v>E</v>
          </cell>
          <cell r="S7" t="str">
            <v>connu</v>
          </cell>
        </row>
        <row r="8">
          <cell r="A8">
            <v>8</v>
          </cell>
          <cell r="B8" t="str">
            <v>H</v>
          </cell>
          <cell r="C8">
            <v>3</v>
          </cell>
          <cell r="E8">
            <v>1</v>
          </cell>
          <cell r="F8">
            <v>0.5</v>
          </cell>
          <cell r="G8" t="str">
            <v>Mendiant </v>
          </cell>
          <cell r="H8" t="str">
            <v>Aumônier </v>
          </cell>
          <cell r="I8" t="str">
            <v>Tavernier </v>
          </cell>
          <cell r="J8" t="str">
            <v>Maçon </v>
          </cell>
          <cell r="K8" t="str">
            <v>Embaumeur </v>
          </cell>
          <cell r="L8" t="str">
            <v>Drapier </v>
          </cell>
          <cell r="M8" t="str">
            <v>Harpiste </v>
          </cell>
          <cell r="N8" t="str">
            <v>Prêtre </v>
          </cell>
          <cell r="O8" t="str">
            <v>Courtisan </v>
          </cell>
          <cell r="P8" t="str">
            <v>Inquisiteur </v>
          </cell>
          <cell r="Q8" t="str">
            <v>I</v>
          </cell>
          <cell r="S8" t="str">
            <v>très connu</v>
          </cell>
        </row>
        <row r="9">
          <cell r="A9">
            <v>9</v>
          </cell>
          <cell r="B9" t="str">
            <v>I</v>
          </cell>
          <cell r="C9">
            <v>3</v>
          </cell>
          <cell r="E9">
            <v>1</v>
          </cell>
          <cell r="F9">
            <v>0.5</v>
          </cell>
          <cell r="G9" t="str">
            <v>Saisonnier </v>
          </cell>
          <cell r="H9" t="str">
            <v>Aumônier </v>
          </cell>
          <cell r="I9" t="str">
            <v>Usurier </v>
          </cell>
          <cell r="J9" t="str">
            <v>Maître chenil </v>
          </cell>
          <cell r="K9" t="str">
            <v>Embaumeur </v>
          </cell>
          <cell r="L9" t="str">
            <v>Ébéniste </v>
          </cell>
          <cell r="M9" t="str">
            <v>Joaillier </v>
          </cell>
          <cell r="N9" t="str">
            <v>Scientifique </v>
          </cell>
          <cell r="O9" t="str">
            <v>Diplomate </v>
          </cell>
          <cell r="P9" t="str">
            <v>Petit seigneur</v>
          </cell>
          <cell r="Q9" t="str">
            <v>I</v>
          </cell>
          <cell r="S9" t="str">
            <v>unique</v>
          </cell>
        </row>
        <row r="10">
          <cell r="A10">
            <v>10</v>
          </cell>
          <cell r="B10" t="str">
            <v>J</v>
          </cell>
          <cell r="C10">
            <v>4</v>
          </cell>
          <cell r="E10">
            <v>1</v>
          </cell>
          <cell r="F10">
            <v>0.5</v>
          </cell>
          <cell r="G10" t="str">
            <v>Vendangeur</v>
          </cell>
          <cell r="H10" t="str">
            <v>Aumônier </v>
          </cell>
          <cell r="I10" t="str">
            <v>Voleur </v>
          </cell>
          <cell r="J10" t="str">
            <v>Maître équipage </v>
          </cell>
          <cell r="K10" t="str">
            <v>Ménestrel </v>
          </cell>
          <cell r="L10" t="str">
            <v>Écrivain public </v>
          </cell>
          <cell r="M10" t="str">
            <v>Joaillier </v>
          </cell>
          <cell r="N10" t="str">
            <v>Tuteur </v>
          </cell>
          <cell r="O10" t="str">
            <v>Guérisseur </v>
          </cell>
          <cell r="P10" t="str">
            <v>Roi </v>
          </cell>
          <cell r="Q10" t="str">
            <v>O</v>
          </cell>
          <cell r="S10" t="str">
            <v>usurpateur</v>
          </cell>
        </row>
        <row r="11">
          <cell r="A11">
            <v>11</v>
          </cell>
          <cell r="B11" t="str">
            <v>K</v>
          </cell>
          <cell r="E11">
            <v>1</v>
          </cell>
          <cell r="F11">
            <v>0.8</v>
          </cell>
          <cell r="H11" t="str">
            <v>Bûcheron </v>
          </cell>
          <cell r="J11" t="str">
            <v>Messager</v>
          </cell>
          <cell r="K11" t="str">
            <v>Menuisier </v>
          </cell>
          <cell r="L11" t="str">
            <v>Forgeron </v>
          </cell>
          <cell r="M11" t="str">
            <v>Maître d’arme </v>
          </cell>
          <cell r="O11" t="str">
            <v>Ingénieur </v>
          </cell>
          <cell r="Q11" t="str">
            <v>O</v>
          </cell>
        </row>
        <row r="12">
          <cell r="A12">
            <v>12</v>
          </cell>
          <cell r="B12" t="str">
            <v>L</v>
          </cell>
          <cell r="E12">
            <v>1</v>
          </cell>
          <cell r="F12">
            <v>0.8</v>
          </cell>
          <cell r="H12" t="str">
            <v>Bûcheron </v>
          </cell>
          <cell r="J12" t="str">
            <v>Musicien </v>
          </cell>
          <cell r="K12" t="str">
            <v>Meunier</v>
          </cell>
          <cell r="L12" t="str">
            <v>Forgeron </v>
          </cell>
          <cell r="M12" t="str">
            <v>Médecin </v>
          </cell>
          <cell r="O12" t="str">
            <v>Intendant </v>
          </cell>
          <cell r="Q12" t="str">
            <v>U</v>
          </cell>
        </row>
        <row r="13">
          <cell r="A13">
            <v>13</v>
          </cell>
          <cell r="B13" t="str">
            <v>M</v>
          </cell>
          <cell r="E13">
            <v>1</v>
          </cell>
          <cell r="F13">
            <v>0.8</v>
          </cell>
          <cell r="H13" t="str">
            <v>Bûcheron </v>
          </cell>
          <cell r="J13" t="str">
            <v>Ramoneur </v>
          </cell>
          <cell r="K13" t="str">
            <v>Officier </v>
          </cell>
          <cell r="L13" t="str">
            <v>Fourreur </v>
          </cell>
          <cell r="M13" t="str">
            <v>Médecin </v>
          </cell>
          <cell r="O13" t="str">
            <v>Juge</v>
          </cell>
          <cell r="Q13" t="str">
            <v>U</v>
          </cell>
        </row>
        <row r="14">
          <cell r="A14">
            <v>14</v>
          </cell>
          <cell r="B14" t="str">
            <v>N</v>
          </cell>
          <cell r="E14">
            <v>1</v>
          </cell>
          <cell r="F14">
            <v>0.8</v>
          </cell>
          <cell r="H14" t="str">
            <v>Bûcheron </v>
          </cell>
          <cell r="J14" t="str">
            <v>Savant</v>
          </cell>
          <cell r="K14" t="str">
            <v>Sellier </v>
          </cell>
          <cell r="L14" t="str">
            <v>Graveur </v>
          </cell>
          <cell r="M14" t="str">
            <v>Parfumeur </v>
          </cell>
          <cell r="O14" t="str">
            <v>Notaire </v>
          </cell>
          <cell r="Q14" t="str">
            <v>Y</v>
          </cell>
        </row>
        <row r="15">
          <cell r="A15">
            <v>15</v>
          </cell>
          <cell r="B15" t="str">
            <v>O</v>
          </cell>
          <cell r="E15">
            <v>1</v>
          </cell>
          <cell r="F15">
            <v>0.8</v>
          </cell>
          <cell r="H15" t="str">
            <v>Bûcheron </v>
          </cell>
          <cell r="J15" t="str">
            <v>Serviteur </v>
          </cell>
          <cell r="K15" t="str">
            <v>Sellier </v>
          </cell>
          <cell r="L15" t="str">
            <v>Herboriste </v>
          </cell>
          <cell r="M15" t="str">
            <v>Pilote </v>
          </cell>
          <cell r="O15" t="str">
            <v>Page</v>
          </cell>
        </row>
        <row r="16">
          <cell r="A16">
            <v>16</v>
          </cell>
          <cell r="B16" t="str">
            <v>P</v>
          </cell>
          <cell r="E16">
            <v>2</v>
          </cell>
          <cell r="F16">
            <v>0.8</v>
          </cell>
          <cell r="H16" t="str">
            <v>Bûcheron </v>
          </cell>
          <cell r="J16" t="str">
            <v>Serviteur </v>
          </cell>
          <cell r="K16" t="str">
            <v>Sergent </v>
          </cell>
          <cell r="L16" t="str">
            <v>Marchand </v>
          </cell>
          <cell r="M16" t="str">
            <v>Pilote </v>
          </cell>
          <cell r="O16" t="str">
            <v>Plaideur </v>
          </cell>
        </row>
        <row r="17">
          <cell r="A17">
            <v>17</v>
          </cell>
          <cell r="B17" t="str">
            <v>Q</v>
          </cell>
          <cell r="E17">
            <v>2</v>
          </cell>
          <cell r="F17">
            <v>0.8</v>
          </cell>
          <cell r="H17" t="str">
            <v>Caravanier </v>
          </cell>
          <cell r="J17" t="str">
            <v>Tailleur pierre </v>
          </cell>
          <cell r="K17" t="str">
            <v>Serrurier </v>
          </cell>
          <cell r="L17" t="str">
            <v>Marchand </v>
          </cell>
          <cell r="M17" t="str">
            <v>Pilote </v>
          </cell>
          <cell r="O17" t="str">
            <v>Prévôt </v>
          </cell>
        </row>
        <row r="18">
          <cell r="A18">
            <v>18</v>
          </cell>
          <cell r="B18" t="str">
            <v>R</v>
          </cell>
          <cell r="E18">
            <v>2</v>
          </cell>
          <cell r="F18">
            <v>0.8</v>
          </cell>
          <cell r="H18" t="str">
            <v>Caravanier </v>
          </cell>
          <cell r="J18" t="str">
            <v>Fabr. de tente </v>
          </cell>
          <cell r="K18" t="str">
            <v>Tanneur </v>
          </cell>
          <cell r="L18" t="str">
            <v>Tailleur </v>
          </cell>
          <cell r="M18" t="str">
            <v>Scribe </v>
          </cell>
          <cell r="O18" t="str">
            <v>Professeur </v>
          </cell>
        </row>
        <row r="19">
          <cell r="A19">
            <v>19</v>
          </cell>
          <cell r="B19" t="str">
            <v>S</v>
          </cell>
          <cell r="E19">
            <v>2</v>
          </cell>
          <cell r="F19">
            <v>0.8</v>
          </cell>
          <cell r="H19" t="str">
            <v>Caravanier </v>
          </cell>
          <cell r="J19" t="str">
            <v>Tuilier </v>
          </cell>
          <cell r="K19" t="str">
            <v>Tisserand </v>
          </cell>
          <cell r="L19" t="str">
            <v>Tailleur </v>
          </cell>
          <cell r="M19" t="str">
            <v>Scribe </v>
          </cell>
          <cell r="O19" t="str">
            <v>Rentier </v>
          </cell>
        </row>
        <row r="20">
          <cell r="A20">
            <v>20</v>
          </cell>
          <cell r="B20" t="str">
            <v>T</v>
          </cell>
          <cell r="E20">
            <v>2</v>
          </cell>
          <cell r="F20">
            <v>0.8</v>
          </cell>
          <cell r="H20" t="str">
            <v>Caravanier </v>
          </cell>
          <cell r="J20" t="str">
            <v>Vigneron </v>
          </cell>
          <cell r="K20" t="str">
            <v>Tisserand </v>
          </cell>
          <cell r="L20" t="str">
            <v>Teinturier </v>
          </cell>
          <cell r="M20" t="str">
            <v>Soigneur d’animaux </v>
          </cell>
          <cell r="O20" t="str">
            <v>Sénéchal </v>
          </cell>
        </row>
        <row r="21">
          <cell r="A21">
            <v>21</v>
          </cell>
          <cell r="B21" t="str">
            <v>U</v>
          </cell>
          <cell r="E21">
            <v>2</v>
          </cell>
          <cell r="F21">
            <v>0.8</v>
          </cell>
          <cell r="H21" t="str">
            <v>Carrier </v>
          </cell>
        </row>
        <row r="22">
          <cell r="A22">
            <v>22</v>
          </cell>
          <cell r="B22" t="str">
            <v>V</v>
          </cell>
          <cell r="E22">
            <v>2</v>
          </cell>
          <cell r="F22">
            <v>0.8</v>
          </cell>
          <cell r="H22" t="str">
            <v>Carrier </v>
          </cell>
        </row>
        <row r="23">
          <cell r="A23">
            <v>23</v>
          </cell>
          <cell r="B23" t="str">
            <v>W</v>
          </cell>
          <cell r="E23">
            <v>2</v>
          </cell>
          <cell r="F23">
            <v>0.8</v>
          </cell>
          <cell r="H23" t="str">
            <v>Carrier </v>
          </cell>
        </row>
        <row r="24">
          <cell r="A24">
            <v>24</v>
          </cell>
          <cell r="B24" t="str">
            <v>X</v>
          </cell>
          <cell r="E24">
            <v>2</v>
          </cell>
          <cell r="F24">
            <v>0.8</v>
          </cell>
          <cell r="H24" t="str">
            <v>Charbonnier</v>
          </cell>
        </row>
        <row r="25">
          <cell r="A25">
            <v>25</v>
          </cell>
          <cell r="B25" t="str">
            <v>Y</v>
          </cell>
          <cell r="E25">
            <v>2</v>
          </cell>
          <cell r="F25">
            <v>0.8</v>
          </cell>
          <cell r="H25" t="str">
            <v>Charbonnier</v>
          </cell>
        </row>
        <row r="26">
          <cell r="A26">
            <v>26</v>
          </cell>
          <cell r="B26" t="str">
            <v>Z</v>
          </cell>
          <cell r="E26">
            <v>2</v>
          </cell>
          <cell r="F26">
            <v>0.8</v>
          </cell>
          <cell r="H26" t="str">
            <v>Charretier </v>
          </cell>
        </row>
        <row r="27">
          <cell r="A27">
            <v>27</v>
          </cell>
          <cell r="E27">
            <v>2</v>
          </cell>
          <cell r="F27">
            <v>0.8</v>
          </cell>
          <cell r="H27" t="str">
            <v>Charretier </v>
          </cell>
        </row>
        <row r="28">
          <cell r="A28">
            <v>28</v>
          </cell>
          <cell r="E28">
            <v>2</v>
          </cell>
          <cell r="F28">
            <v>0.8</v>
          </cell>
          <cell r="H28" t="str">
            <v>Charretier </v>
          </cell>
        </row>
        <row r="29">
          <cell r="A29">
            <v>29</v>
          </cell>
          <cell r="E29">
            <v>2</v>
          </cell>
          <cell r="F29">
            <v>0.8</v>
          </cell>
          <cell r="H29" t="str">
            <v>Charretier </v>
          </cell>
        </row>
        <row r="30">
          <cell r="A30">
            <v>30</v>
          </cell>
          <cell r="E30">
            <v>2</v>
          </cell>
          <cell r="F30">
            <v>0.8</v>
          </cell>
          <cell r="H30" t="str">
            <v>Charretier </v>
          </cell>
        </row>
        <row r="31">
          <cell r="A31">
            <v>31</v>
          </cell>
          <cell r="E31">
            <v>3</v>
          </cell>
          <cell r="F31">
            <v>0.8</v>
          </cell>
          <cell r="H31" t="str">
            <v>Chiffonnier </v>
          </cell>
        </row>
        <row r="32">
          <cell r="A32">
            <v>32</v>
          </cell>
          <cell r="E32">
            <v>3</v>
          </cell>
          <cell r="F32">
            <v>0.8</v>
          </cell>
          <cell r="H32" t="str">
            <v>Chiffonnier </v>
          </cell>
        </row>
        <row r="33">
          <cell r="A33">
            <v>33</v>
          </cell>
          <cell r="E33">
            <v>3</v>
          </cell>
          <cell r="F33">
            <v>0.8</v>
          </cell>
          <cell r="H33" t="str">
            <v>Chiffonnier </v>
          </cell>
        </row>
        <row r="34">
          <cell r="A34">
            <v>34</v>
          </cell>
          <cell r="E34">
            <v>3</v>
          </cell>
          <cell r="F34">
            <v>0.8</v>
          </cell>
          <cell r="H34" t="str">
            <v>Colporteur </v>
          </cell>
        </row>
        <row r="35">
          <cell r="A35">
            <v>35</v>
          </cell>
          <cell r="E35">
            <v>3</v>
          </cell>
          <cell r="F35">
            <v>0.8</v>
          </cell>
          <cell r="H35" t="str">
            <v>Colporteur </v>
          </cell>
        </row>
        <row r="36">
          <cell r="A36">
            <v>36</v>
          </cell>
          <cell r="E36">
            <v>3</v>
          </cell>
          <cell r="F36">
            <v>0.8</v>
          </cell>
          <cell r="H36" t="str">
            <v>Colporteur </v>
          </cell>
        </row>
        <row r="37">
          <cell r="A37">
            <v>37</v>
          </cell>
          <cell r="E37">
            <v>3</v>
          </cell>
          <cell r="F37">
            <v>0.8</v>
          </cell>
          <cell r="H37" t="str">
            <v>Colporteur </v>
          </cell>
        </row>
        <row r="38">
          <cell r="A38">
            <v>38</v>
          </cell>
          <cell r="E38">
            <v>3</v>
          </cell>
          <cell r="F38">
            <v>0.8</v>
          </cell>
          <cell r="H38" t="str">
            <v>Colporteur </v>
          </cell>
        </row>
        <row r="39">
          <cell r="A39">
            <v>39</v>
          </cell>
          <cell r="E39">
            <v>3</v>
          </cell>
          <cell r="F39">
            <v>0.8</v>
          </cell>
          <cell r="H39" t="str">
            <v>Éclaireur</v>
          </cell>
        </row>
        <row r="40">
          <cell r="A40">
            <v>40</v>
          </cell>
          <cell r="E40">
            <v>3</v>
          </cell>
          <cell r="F40">
            <v>1</v>
          </cell>
          <cell r="H40" t="str">
            <v>Éleveur</v>
          </cell>
        </row>
        <row r="41">
          <cell r="A41">
            <v>41</v>
          </cell>
          <cell r="E41">
            <v>3</v>
          </cell>
          <cell r="F41">
            <v>1</v>
          </cell>
          <cell r="H41" t="str">
            <v>Éleveur</v>
          </cell>
        </row>
        <row r="42">
          <cell r="A42">
            <v>42</v>
          </cell>
          <cell r="E42">
            <v>3</v>
          </cell>
          <cell r="F42">
            <v>1</v>
          </cell>
          <cell r="H42" t="str">
            <v>Éleveur</v>
          </cell>
        </row>
        <row r="43">
          <cell r="A43">
            <v>43</v>
          </cell>
          <cell r="E43">
            <v>3</v>
          </cell>
          <cell r="F43">
            <v>1</v>
          </cell>
          <cell r="H43" t="str">
            <v>Éleveur</v>
          </cell>
        </row>
        <row r="44">
          <cell r="A44">
            <v>44</v>
          </cell>
          <cell r="E44">
            <v>3</v>
          </cell>
          <cell r="F44">
            <v>1</v>
          </cell>
          <cell r="H44" t="str">
            <v>Éleveur</v>
          </cell>
        </row>
        <row r="45">
          <cell r="A45">
            <v>45</v>
          </cell>
          <cell r="E45">
            <v>3</v>
          </cell>
          <cell r="F45">
            <v>1</v>
          </cell>
          <cell r="H45" t="str">
            <v>Éleveur</v>
          </cell>
        </row>
        <row r="46">
          <cell r="A46">
            <v>46</v>
          </cell>
          <cell r="E46">
            <v>3</v>
          </cell>
          <cell r="F46">
            <v>1</v>
          </cell>
          <cell r="H46" t="str">
            <v xml:space="preserve">Entraîneur </v>
          </cell>
        </row>
        <row r="47">
          <cell r="A47">
            <v>47</v>
          </cell>
          <cell r="E47">
            <v>3</v>
          </cell>
          <cell r="F47">
            <v>1</v>
          </cell>
          <cell r="H47" t="str">
            <v>Ermite </v>
          </cell>
        </row>
        <row r="48">
          <cell r="A48">
            <v>48</v>
          </cell>
          <cell r="E48">
            <v>3</v>
          </cell>
          <cell r="F48">
            <v>1</v>
          </cell>
          <cell r="H48" t="str">
            <v>Fermier</v>
          </cell>
        </row>
        <row r="49">
          <cell r="A49">
            <v>49</v>
          </cell>
          <cell r="E49">
            <v>3</v>
          </cell>
          <cell r="F49">
            <v>1</v>
          </cell>
          <cell r="H49" t="str">
            <v>Fermier</v>
          </cell>
        </row>
        <row r="50">
          <cell r="A50">
            <v>50</v>
          </cell>
          <cell r="E50">
            <v>3</v>
          </cell>
          <cell r="F50">
            <v>1</v>
          </cell>
          <cell r="H50" t="str">
            <v>Fermier</v>
          </cell>
        </row>
        <row r="51">
          <cell r="A51">
            <v>51</v>
          </cell>
          <cell r="E51">
            <v>3</v>
          </cell>
          <cell r="F51">
            <v>1</v>
          </cell>
          <cell r="H51" t="str">
            <v>Fermier</v>
          </cell>
        </row>
        <row r="52">
          <cell r="A52">
            <v>52</v>
          </cell>
          <cell r="E52">
            <v>3</v>
          </cell>
          <cell r="F52">
            <v>1</v>
          </cell>
          <cell r="H52" t="str">
            <v>Fermier</v>
          </cell>
        </row>
        <row r="53">
          <cell r="A53">
            <v>53</v>
          </cell>
          <cell r="E53">
            <v>3</v>
          </cell>
          <cell r="F53">
            <v>1</v>
          </cell>
          <cell r="H53" t="str">
            <v>Fermier</v>
          </cell>
        </row>
        <row r="54">
          <cell r="A54">
            <v>54</v>
          </cell>
          <cell r="E54">
            <v>3</v>
          </cell>
          <cell r="F54">
            <v>1</v>
          </cell>
          <cell r="H54" t="str">
            <v>Fermier</v>
          </cell>
        </row>
        <row r="55">
          <cell r="A55">
            <v>55</v>
          </cell>
          <cell r="E55">
            <v>3</v>
          </cell>
          <cell r="F55">
            <v>1</v>
          </cell>
          <cell r="H55" t="str">
            <v>Fermier</v>
          </cell>
        </row>
        <row r="56">
          <cell r="A56">
            <v>56</v>
          </cell>
          <cell r="E56">
            <v>4</v>
          </cell>
          <cell r="F56">
            <v>1</v>
          </cell>
          <cell r="H56" t="str">
            <v>Fermier</v>
          </cell>
        </row>
        <row r="57">
          <cell r="A57">
            <v>57</v>
          </cell>
          <cell r="E57">
            <v>4</v>
          </cell>
          <cell r="F57">
            <v>1</v>
          </cell>
          <cell r="H57" t="str">
            <v>Fermier</v>
          </cell>
        </row>
        <row r="58">
          <cell r="A58">
            <v>58</v>
          </cell>
          <cell r="E58">
            <v>4</v>
          </cell>
          <cell r="F58">
            <v>1</v>
          </cell>
          <cell r="H58" t="str">
            <v>Fermier</v>
          </cell>
        </row>
        <row r="59">
          <cell r="A59">
            <v>59</v>
          </cell>
          <cell r="E59">
            <v>4</v>
          </cell>
          <cell r="F59">
            <v>1</v>
          </cell>
          <cell r="H59" t="str">
            <v>Fermier</v>
          </cell>
        </row>
        <row r="60">
          <cell r="A60">
            <v>60</v>
          </cell>
          <cell r="E60">
            <v>4</v>
          </cell>
          <cell r="F60">
            <v>1</v>
          </cell>
          <cell r="H60" t="str">
            <v>Gens d’arme</v>
          </cell>
        </row>
        <row r="61">
          <cell r="A61">
            <v>61</v>
          </cell>
          <cell r="E61">
            <v>4</v>
          </cell>
          <cell r="F61">
            <v>1</v>
          </cell>
          <cell r="H61" t="str">
            <v>Gens d’arme</v>
          </cell>
        </row>
        <row r="62">
          <cell r="A62">
            <v>62</v>
          </cell>
          <cell r="E62">
            <v>4</v>
          </cell>
          <cell r="F62">
            <v>1</v>
          </cell>
          <cell r="H62" t="str">
            <v>Gens d’arme</v>
          </cell>
        </row>
        <row r="63">
          <cell r="A63">
            <v>63</v>
          </cell>
          <cell r="E63">
            <v>4</v>
          </cell>
          <cell r="F63">
            <v>1</v>
          </cell>
          <cell r="H63" t="str">
            <v>Geôlier </v>
          </cell>
        </row>
        <row r="64">
          <cell r="A64">
            <v>64</v>
          </cell>
          <cell r="E64">
            <v>4</v>
          </cell>
          <cell r="F64">
            <v>1</v>
          </cell>
          <cell r="H64" t="str">
            <v>Homme d’arme</v>
          </cell>
        </row>
        <row r="65">
          <cell r="A65">
            <v>65</v>
          </cell>
          <cell r="E65">
            <v>4</v>
          </cell>
          <cell r="F65">
            <v>1</v>
          </cell>
          <cell r="H65" t="str">
            <v>Homme d’arme</v>
          </cell>
        </row>
        <row r="66">
          <cell r="A66">
            <v>66</v>
          </cell>
          <cell r="E66">
            <v>4</v>
          </cell>
          <cell r="F66">
            <v>1</v>
          </cell>
          <cell r="H66" t="str">
            <v>Homme d’arme</v>
          </cell>
        </row>
        <row r="67">
          <cell r="A67">
            <v>67</v>
          </cell>
          <cell r="E67">
            <v>4</v>
          </cell>
          <cell r="F67">
            <v>1</v>
          </cell>
          <cell r="H67" t="str">
            <v>Joueur </v>
          </cell>
        </row>
        <row r="68">
          <cell r="A68">
            <v>68</v>
          </cell>
          <cell r="E68">
            <v>4</v>
          </cell>
          <cell r="F68">
            <v>1</v>
          </cell>
          <cell r="H68" t="str">
            <v>Joueur </v>
          </cell>
        </row>
        <row r="69">
          <cell r="A69">
            <v>69</v>
          </cell>
          <cell r="E69">
            <v>4</v>
          </cell>
          <cell r="F69">
            <v>1</v>
          </cell>
          <cell r="H69" t="str">
            <v>Laitier </v>
          </cell>
        </row>
        <row r="70">
          <cell r="A70">
            <v>70</v>
          </cell>
          <cell r="E70">
            <v>4</v>
          </cell>
          <cell r="F70">
            <v>1</v>
          </cell>
          <cell r="H70" t="str">
            <v>Laitier </v>
          </cell>
        </row>
        <row r="71">
          <cell r="A71">
            <v>71</v>
          </cell>
          <cell r="E71">
            <v>4</v>
          </cell>
          <cell r="F71">
            <v>1</v>
          </cell>
          <cell r="H71" t="str">
            <v>Laitier </v>
          </cell>
        </row>
        <row r="72">
          <cell r="A72">
            <v>72</v>
          </cell>
          <cell r="E72">
            <v>4</v>
          </cell>
          <cell r="F72">
            <v>1</v>
          </cell>
          <cell r="H72" t="str">
            <v>Laitier </v>
          </cell>
        </row>
        <row r="73">
          <cell r="A73">
            <v>73</v>
          </cell>
          <cell r="E73">
            <v>4</v>
          </cell>
          <cell r="F73">
            <v>1</v>
          </cell>
          <cell r="H73" t="str">
            <v>Maraîcher</v>
          </cell>
        </row>
        <row r="74">
          <cell r="A74">
            <v>74</v>
          </cell>
          <cell r="E74">
            <v>4</v>
          </cell>
          <cell r="F74">
            <v>1</v>
          </cell>
          <cell r="H74" t="str">
            <v>Maraîcher</v>
          </cell>
        </row>
        <row r="75">
          <cell r="A75">
            <v>75</v>
          </cell>
          <cell r="E75">
            <v>4</v>
          </cell>
          <cell r="F75">
            <v>1</v>
          </cell>
          <cell r="H75" t="str">
            <v>Marin eau douce</v>
          </cell>
        </row>
        <row r="76">
          <cell r="A76">
            <v>76</v>
          </cell>
          <cell r="E76">
            <v>5</v>
          </cell>
          <cell r="F76">
            <v>1</v>
          </cell>
          <cell r="H76" t="str">
            <v>Marin eau douce</v>
          </cell>
        </row>
        <row r="77">
          <cell r="A77">
            <v>77</v>
          </cell>
          <cell r="E77">
            <v>5</v>
          </cell>
          <cell r="F77">
            <v>1</v>
          </cell>
          <cell r="H77" t="str">
            <v>Marin eau douce</v>
          </cell>
        </row>
        <row r="78">
          <cell r="A78">
            <v>78</v>
          </cell>
          <cell r="E78">
            <v>5</v>
          </cell>
          <cell r="F78">
            <v>1</v>
          </cell>
          <cell r="H78" t="str">
            <v>Marin eau douce</v>
          </cell>
        </row>
        <row r="79">
          <cell r="A79">
            <v>79</v>
          </cell>
          <cell r="E79">
            <v>5</v>
          </cell>
          <cell r="F79">
            <v>1</v>
          </cell>
          <cell r="H79" t="str">
            <v>Marin mer </v>
          </cell>
        </row>
        <row r="80">
          <cell r="A80">
            <v>80</v>
          </cell>
          <cell r="E80">
            <v>5</v>
          </cell>
          <cell r="F80">
            <v>1</v>
          </cell>
          <cell r="H80" t="str">
            <v>Marin mer </v>
          </cell>
        </row>
        <row r="81">
          <cell r="A81">
            <v>81</v>
          </cell>
          <cell r="E81">
            <v>5</v>
          </cell>
          <cell r="F81">
            <v>1.1000000000000001</v>
          </cell>
          <cell r="H81" t="str">
            <v>Marinier </v>
          </cell>
        </row>
        <row r="82">
          <cell r="A82">
            <v>82</v>
          </cell>
          <cell r="E82">
            <v>5</v>
          </cell>
          <cell r="F82">
            <v>1.1000000000000001</v>
          </cell>
          <cell r="H82" t="str">
            <v>Mineur </v>
          </cell>
        </row>
        <row r="83">
          <cell r="A83">
            <v>83</v>
          </cell>
          <cell r="E83">
            <v>5</v>
          </cell>
          <cell r="F83">
            <v>1.1000000000000001</v>
          </cell>
          <cell r="H83" t="str">
            <v>Mineur </v>
          </cell>
        </row>
        <row r="84">
          <cell r="A84">
            <v>84</v>
          </cell>
          <cell r="E84">
            <v>5</v>
          </cell>
          <cell r="F84">
            <v>1.1000000000000001</v>
          </cell>
          <cell r="H84" t="str">
            <v>Mineur </v>
          </cell>
        </row>
        <row r="85">
          <cell r="A85">
            <v>85</v>
          </cell>
          <cell r="E85">
            <v>5</v>
          </cell>
          <cell r="F85">
            <v>1.1000000000000001</v>
          </cell>
          <cell r="H85" t="str">
            <v>Mineur </v>
          </cell>
        </row>
        <row r="86">
          <cell r="A86">
            <v>86</v>
          </cell>
          <cell r="E86">
            <v>5</v>
          </cell>
          <cell r="F86">
            <v>1.1000000000000001</v>
          </cell>
          <cell r="H86" t="str">
            <v>Mineur </v>
          </cell>
        </row>
        <row r="87">
          <cell r="A87">
            <v>87</v>
          </cell>
          <cell r="E87">
            <v>5</v>
          </cell>
          <cell r="F87">
            <v>1.1000000000000001</v>
          </cell>
          <cell r="H87" t="str">
            <v>Ouvrier </v>
          </cell>
        </row>
        <row r="88">
          <cell r="A88">
            <v>88</v>
          </cell>
          <cell r="E88">
            <v>5</v>
          </cell>
          <cell r="F88">
            <v>1.1000000000000001</v>
          </cell>
          <cell r="H88" t="str">
            <v>Ouvrier </v>
          </cell>
        </row>
        <row r="89">
          <cell r="A89">
            <v>89</v>
          </cell>
          <cell r="E89">
            <v>5</v>
          </cell>
          <cell r="F89">
            <v>1.1000000000000001</v>
          </cell>
          <cell r="H89" t="str">
            <v>Ouvrier </v>
          </cell>
        </row>
        <row r="90">
          <cell r="A90">
            <v>90</v>
          </cell>
          <cell r="E90">
            <v>5</v>
          </cell>
          <cell r="F90">
            <v>1.1000000000000001</v>
          </cell>
          <cell r="H90" t="str">
            <v>Ouvrier </v>
          </cell>
        </row>
        <row r="91">
          <cell r="A91">
            <v>91</v>
          </cell>
          <cell r="E91">
            <v>6</v>
          </cell>
          <cell r="F91">
            <v>1.1000000000000001</v>
          </cell>
          <cell r="H91" t="str">
            <v>Pêcheur </v>
          </cell>
        </row>
        <row r="92">
          <cell r="A92">
            <v>92</v>
          </cell>
          <cell r="E92">
            <v>6</v>
          </cell>
          <cell r="F92">
            <v>1.1000000000000001</v>
          </cell>
          <cell r="H92" t="str">
            <v>Pêcheur </v>
          </cell>
        </row>
        <row r="93">
          <cell r="A93">
            <v>93</v>
          </cell>
          <cell r="E93">
            <v>6</v>
          </cell>
          <cell r="F93">
            <v>1.1000000000000001</v>
          </cell>
          <cell r="H93" t="str">
            <v>Pêcheur </v>
          </cell>
        </row>
        <row r="94">
          <cell r="A94">
            <v>94</v>
          </cell>
          <cell r="E94">
            <v>6</v>
          </cell>
          <cell r="F94">
            <v>1.1000000000000001</v>
          </cell>
          <cell r="H94" t="str">
            <v>Pisteur </v>
          </cell>
        </row>
        <row r="95">
          <cell r="A95">
            <v>95</v>
          </cell>
          <cell r="E95">
            <v>7</v>
          </cell>
          <cell r="F95">
            <v>1.1000000000000001</v>
          </cell>
          <cell r="H95" t="str">
            <v>Poète</v>
          </cell>
        </row>
        <row r="96">
          <cell r="A96">
            <v>96</v>
          </cell>
          <cell r="E96">
            <v>7</v>
          </cell>
          <cell r="F96">
            <v>1.3</v>
          </cell>
          <cell r="H96" t="str">
            <v>Porcher </v>
          </cell>
        </row>
        <row r="97">
          <cell r="A97">
            <v>97</v>
          </cell>
          <cell r="E97">
            <v>7</v>
          </cell>
          <cell r="F97">
            <v>1.3</v>
          </cell>
          <cell r="H97" t="str">
            <v>Prêcheur </v>
          </cell>
        </row>
        <row r="98">
          <cell r="A98">
            <v>98</v>
          </cell>
          <cell r="E98">
            <v>8</v>
          </cell>
          <cell r="F98">
            <v>1.3</v>
          </cell>
          <cell r="H98" t="str">
            <v>Prostitué </v>
          </cell>
        </row>
        <row r="99">
          <cell r="A99">
            <v>99</v>
          </cell>
          <cell r="E99">
            <v>8</v>
          </cell>
          <cell r="F99">
            <v>1.3</v>
          </cell>
          <cell r="H99" t="str">
            <v>Rebouteux </v>
          </cell>
        </row>
        <row r="100">
          <cell r="A100">
            <v>100</v>
          </cell>
          <cell r="E100">
            <v>9</v>
          </cell>
          <cell r="F100">
            <v>1.3</v>
          </cell>
          <cell r="H100" t="str">
            <v>Sorcier</v>
          </cell>
        </row>
        <row r="105">
          <cell r="F105">
            <v>40</v>
          </cell>
        </row>
      </sheetData>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énéalogie"/>
      <sheetName val="Famille"/>
      <sheetName val="test"/>
      <sheetName val="Blason"/>
    </sheetNames>
    <sheetDataSet>
      <sheetData sheetId="0"/>
      <sheetData sheetId="1"/>
      <sheetData sheetId="2">
        <row r="3">
          <cell r="E3">
            <v>9</v>
          </cell>
        </row>
      </sheetData>
      <sheetData sheetId="3"/>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335"/>
  <sheetViews>
    <sheetView topLeftCell="B103" zoomScaleNormal="100" workbookViewId="0">
      <selection activeCell="E110" sqref="E110"/>
    </sheetView>
  </sheetViews>
  <sheetFormatPr baseColWidth="10" defaultColWidth="9.109375" defaultRowHeight="10.199999999999999"/>
  <cols>
    <col min="1" max="1" width="4.109375" style="78" hidden="1" customWidth="1"/>
    <col min="2" max="2" width="3.6640625" style="78" customWidth="1"/>
    <col min="3" max="3" width="4" style="78" customWidth="1"/>
    <col min="4" max="5" width="10" style="78" customWidth="1"/>
    <col min="6" max="6" width="9.44140625" style="78" customWidth="1"/>
    <col min="7" max="7" width="10.109375" style="78" customWidth="1"/>
    <col min="8" max="8" width="9.88671875" style="78" customWidth="1"/>
    <col min="9" max="9" width="9.5546875" style="78" bestFit="1" customWidth="1"/>
    <col min="10" max="10" width="10.44140625" style="78" customWidth="1"/>
    <col min="11" max="11" width="9.109375" style="78"/>
    <col min="12" max="12" width="8" style="78" customWidth="1"/>
    <col min="13" max="13" width="5.44140625" style="78" customWidth="1"/>
    <col min="14" max="14" width="5.6640625" style="187" customWidth="1"/>
    <col min="15" max="15" width="6.5546875" style="187" customWidth="1"/>
    <col min="16" max="16" width="7.109375" style="187" customWidth="1"/>
    <col min="17" max="17" width="5.44140625" style="186" customWidth="1"/>
    <col min="18" max="18" width="6.44140625" style="78" customWidth="1"/>
    <col min="19" max="19" width="8.6640625" style="78" customWidth="1"/>
    <col min="20" max="20" width="23.33203125" style="186" bestFit="1" customWidth="1"/>
    <col min="21" max="21" width="5.33203125" style="78" customWidth="1"/>
    <col min="22" max="22" width="7.5546875" style="78" customWidth="1"/>
    <col min="23" max="23" width="7.6640625" style="78" customWidth="1"/>
    <col min="24" max="24" width="4.6640625" style="78" customWidth="1"/>
    <col min="25" max="26" width="8.6640625" style="78" customWidth="1"/>
    <col min="27" max="27" width="5.6640625" style="187" customWidth="1"/>
    <col min="28" max="28" width="9.109375" style="78" hidden="1" customWidth="1"/>
    <col min="29" max="29" width="6" style="78" hidden="1" customWidth="1"/>
    <col min="30" max="30" width="4.6640625" style="78" hidden="1" customWidth="1"/>
    <col min="31" max="31" width="4.33203125" style="78" hidden="1" customWidth="1"/>
    <col min="32" max="32" width="7.33203125" style="78" hidden="1" customWidth="1"/>
    <col min="33" max="33" width="3.5546875" style="78" hidden="1" customWidth="1"/>
    <col min="34" max="35" width="9.109375" style="78" hidden="1" customWidth="1"/>
    <col min="36" max="36" width="8.109375" style="78" hidden="1" customWidth="1"/>
    <col min="37" max="37" width="7.88671875" style="78" hidden="1" customWidth="1"/>
    <col min="38" max="38" width="7.33203125" style="78" hidden="1" customWidth="1"/>
    <col min="39" max="39" width="8" style="78" hidden="1" customWidth="1"/>
    <col min="40" max="40" width="7.109375" style="78" hidden="1" customWidth="1"/>
    <col min="41" max="54" width="9.109375" style="78" hidden="1" customWidth="1"/>
    <col min="55" max="55" width="15.88671875" style="78" hidden="1" customWidth="1"/>
    <col min="56" max="56" width="9.109375" style="78" hidden="1" customWidth="1"/>
    <col min="57" max="57" width="15.33203125" style="78" hidden="1" customWidth="1"/>
    <col min="58" max="58" width="9.109375" style="78" hidden="1" customWidth="1"/>
    <col min="59" max="59" width="15.88671875" style="78" hidden="1" customWidth="1"/>
    <col min="60" max="60" width="9.109375" style="78" customWidth="1"/>
    <col min="61" max="16384" width="9.109375" style="78"/>
  </cols>
  <sheetData>
    <row r="1" spans="1:53" hidden="1">
      <c r="A1" s="179">
        <v>1</v>
      </c>
      <c r="B1" s="179" t="s">
        <v>677</v>
      </c>
      <c r="C1" s="180">
        <v>1</v>
      </c>
      <c r="D1" s="181" t="s">
        <v>872</v>
      </c>
      <c r="E1" s="78">
        <v>0</v>
      </c>
      <c r="F1" s="78">
        <v>0.5</v>
      </c>
      <c r="G1" s="179" t="s">
        <v>1143</v>
      </c>
      <c r="H1" s="179" t="s">
        <v>1156</v>
      </c>
      <c r="I1" s="183" t="s">
        <v>1192</v>
      </c>
      <c r="J1" s="179" t="s">
        <v>1203</v>
      </c>
      <c r="K1" s="179" t="s">
        <v>1223</v>
      </c>
      <c r="L1" s="182" t="s">
        <v>1241</v>
      </c>
      <c r="M1" s="182" t="s">
        <v>1256</v>
      </c>
      <c r="N1" s="183" t="s">
        <v>1270</v>
      </c>
      <c r="O1" s="182" t="s">
        <v>1281</v>
      </c>
      <c r="P1" s="185" t="s">
        <v>1302</v>
      </c>
      <c r="Q1" s="182" t="s">
        <v>677</v>
      </c>
      <c r="R1" s="183" t="s">
        <v>1596</v>
      </c>
      <c r="S1" s="179" t="s">
        <v>1597</v>
      </c>
      <c r="T1" s="186" t="s">
        <v>879</v>
      </c>
      <c r="U1" s="78">
        <f>FIND(":",T1)</f>
        <v>12</v>
      </c>
      <c r="V1" s="186" t="str">
        <f t="shared" ref="V1:V64" si="0">LEFT(T1,U1-1)</f>
        <v>Astrologue </v>
      </c>
      <c r="Y1" s="181"/>
      <c r="AB1" s="78" t="s">
        <v>624</v>
      </c>
      <c r="AC1" s="78">
        <v>0</v>
      </c>
      <c r="AD1" s="78">
        <v>0</v>
      </c>
      <c r="AE1" s="78">
        <v>40</v>
      </c>
      <c r="AF1" s="78" t="s">
        <v>880</v>
      </c>
      <c r="AG1" s="78">
        <v>0.1</v>
      </c>
      <c r="AH1" s="78" t="s">
        <v>878</v>
      </c>
      <c r="AI1" s="78" t="s">
        <v>881</v>
      </c>
      <c r="AJ1" s="78" t="s">
        <v>882</v>
      </c>
      <c r="AK1" s="109" t="s">
        <v>883</v>
      </c>
      <c r="AL1" s="78">
        <v>0</v>
      </c>
      <c r="AM1" s="78" t="s">
        <v>884</v>
      </c>
      <c r="AN1" s="78" t="s">
        <v>885</v>
      </c>
      <c r="AO1" s="78" t="s">
        <v>880</v>
      </c>
      <c r="AP1" s="78" t="s">
        <v>886</v>
      </c>
      <c r="AQ1" s="78" t="s">
        <v>872</v>
      </c>
      <c r="AR1" s="109" t="s">
        <v>561</v>
      </c>
      <c r="AT1" s="78">
        <v>1</v>
      </c>
      <c r="AU1" s="186" t="s">
        <v>887</v>
      </c>
      <c r="AV1" s="78">
        <v>1</v>
      </c>
      <c r="AW1" s="78">
        <v>0</v>
      </c>
      <c r="AX1" s="78">
        <v>0</v>
      </c>
      <c r="AY1" s="78">
        <v>0</v>
      </c>
      <c r="AZ1" s="78">
        <v>0</v>
      </c>
      <c r="BA1" s="78">
        <v>0</v>
      </c>
    </row>
    <row r="2" spans="1:53" hidden="1">
      <c r="A2" s="188">
        <v>2</v>
      </c>
      <c r="B2" s="188" t="s">
        <v>718</v>
      </c>
      <c r="C2" s="189">
        <v>1</v>
      </c>
      <c r="D2" s="190" t="s">
        <v>888</v>
      </c>
      <c r="E2" s="78">
        <v>0</v>
      </c>
      <c r="F2" s="78">
        <v>0.5</v>
      </c>
      <c r="G2" s="188" t="s">
        <v>1598</v>
      </c>
      <c r="H2" s="188" t="s">
        <v>1157</v>
      </c>
      <c r="I2" s="191" t="s">
        <v>1193</v>
      </c>
      <c r="J2" s="188" t="s">
        <v>1204</v>
      </c>
      <c r="K2" s="188" t="s">
        <v>1224</v>
      </c>
      <c r="L2" s="188" t="s">
        <v>1242</v>
      </c>
      <c r="M2" s="193" t="s">
        <v>1257</v>
      </c>
      <c r="N2" s="191" t="s">
        <v>1599</v>
      </c>
      <c r="O2" s="193" t="s">
        <v>1282</v>
      </c>
      <c r="P2" s="185" t="s">
        <v>1302</v>
      </c>
      <c r="Q2" s="193" t="s">
        <v>677</v>
      </c>
      <c r="R2" s="191" t="s">
        <v>1600</v>
      </c>
      <c r="S2" s="188" t="s">
        <v>1601</v>
      </c>
      <c r="T2" s="186" t="s">
        <v>890</v>
      </c>
      <c r="U2" s="78">
        <f t="shared" ref="U2:U65" si="1">FIND(":",T2)</f>
        <v>8</v>
      </c>
      <c r="V2" s="186" t="str">
        <f t="shared" si="0"/>
        <v>Bailli </v>
      </c>
      <c r="Y2" s="190"/>
      <c r="AB2" s="78" t="s">
        <v>624</v>
      </c>
      <c r="AC2" s="78">
        <v>0</v>
      </c>
      <c r="AD2" s="78">
        <v>0</v>
      </c>
      <c r="AE2" s="78">
        <v>40</v>
      </c>
      <c r="AF2" s="78" t="s">
        <v>891</v>
      </c>
      <c r="AG2" s="78">
        <v>0.5</v>
      </c>
      <c r="AH2" s="78" t="s">
        <v>878</v>
      </c>
      <c r="AI2" s="78" t="s">
        <v>892</v>
      </c>
      <c r="AJ2" s="78" t="s">
        <v>893</v>
      </c>
      <c r="AK2" s="78" t="s">
        <v>883</v>
      </c>
      <c r="AL2" s="78">
        <v>0</v>
      </c>
      <c r="AM2" s="78" t="s">
        <v>884</v>
      </c>
      <c r="AN2" s="78" t="s">
        <v>885</v>
      </c>
      <c r="AO2" s="78" t="s">
        <v>880</v>
      </c>
      <c r="AP2" s="78" t="s">
        <v>894</v>
      </c>
      <c r="AQ2" s="78" t="s">
        <v>872</v>
      </c>
      <c r="AR2" s="109" t="s">
        <v>561</v>
      </c>
      <c r="AT2" s="78">
        <v>2</v>
      </c>
      <c r="AU2" s="186" t="s">
        <v>621</v>
      </c>
      <c r="AV2" s="78">
        <v>2</v>
      </c>
      <c r="AW2" s="186" t="s">
        <v>895</v>
      </c>
      <c r="AX2" s="186" t="s">
        <v>320</v>
      </c>
      <c r="AY2" s="186" t="s">
        <v>896</v>
      </c>
    </row>
    <row r="3" spans="1:53" hidden="1">
      <c r="A3" s="188">
        <v>3</v>
      </c>
      <c r="B3" s="188" t="s">
        <v>703</v>
      </c>
      <c r="C3" s="189">
        <v>1</v>
      </c>
      <c r="D3" s="190" t="s">
        <v>888</v>
      </c>
      <c r="E3" s="78">
        <v>0</v>
      </c>
      <c r="F3" s="78">
        <v>0.5</v>
      </c>
      <c r="G3" s="188" t="s">
        <v>1147</v>
      </c>
      <c r="H3" s="188" t="s">
        <v>1157</v>
      </c>
      <c r="I3" s="191" t="s">
        <v>1194</v>
      </c>
      <c r="J3" s="188" t="s">
        <v>1205</v>
      </c>
      <c r="K3" s="188" t="s">
        <v>1225</v>
      </c>
      <c r="L3" s="188" t="s">
        <v>1242</v>
      </c>
      <c r="M3" s="193" t="s">
        <v>1258</v>
      </c>
      <c r="N3" s="191" t="s">
        <v>1272</v>
      </c>
      <c r="O3" s="193" t="s">
        <v>1283</v>
      </c>
      <c r="P3" s="195" t="s">
        <v>1303</v>
      </c>
      <c r="Q3" s="193" t="s">
        <v>677</v>
      </c>
      <c r="R3" s="191" t="s">
        <v>1602</v>
      </c>
      <c r="S3" s="188" t="s">
        <v>1603</v>
      </c>
      <c r="T3" s="186" t="s">
        <v>899</v>
      </c>
      <c r="U3" s="78">
        <f t="shared" si="1"/>
        <v>15</v>
      </c>
      <c r="V3" s="186" t="str">
        <f t="shared" si="0"/>
        <v>Changeur-prêt </v>
      </c>
      <c r="Y3" s="190"/>
      <c r="AB3" s="78" t="s">
        <v>624</v>
      </c>
      <c r="AC3" s="78">
        <v>0</v>
      </c>
      <c r="AD3" s="78">
        <v>0</v>
      </c>
      <c r="AE3" s="78">
        <v>40</v>
      </c>
      <c r="AF3" s="78" t="s">
        <v>891</v>
      </c>
      <c r="AG3" s="78">
        <v>0.5</v>
      </c>
      <c r="AH3" s="78" t="s">
        <v>878</v>
      </c>
      <c r="AI3" s="78" t="s">
        <v>892</v>
      </c>
      <c r="AJ3" s="78" t="s">
        <v>900</v>
      </c>
      <c r="AK3" s="109" t="s">
        <v>883</v>
      </c>
      <c r="AL3" s="78">
        <v>0</v>
      </c>
      <c r="AM3" s="78" t="s">
        <v>884</v>
      </c>
      <c r="AN3" s="78" t="s">
        <v>885</v>
      </c>
      <c r="AO3" s="78" t="s">
        <v>891</v>
      </c>
      <c r="AP3" s="78" t="s">
        <v>894</v>
      </c>
      <c r="AQ3" s="78" t="s">
        <v>872</v>
      </c>
      <c r="AR3" s="109" t="s">
        <v>561</v>
      </c>
      <c r="AT3" s="78">
        <v>3</v>
      </c>
      <c r="AU3" s="186" t="s">
        <v>901</v>
      </c>
      <c r="AV3" s="78">
        <v>3</v>
      </c>
      <c r="AW3" s="186" t="s">
        <v>878</v>
      </c>
      <c r="AX3" s="186" t="s">
        <v>310</v>
      </c>
      <c r="AY3" s="186" t="s">
        <v>546</v>
      </c>
    </row>
    <row r="4" spans="1:53" hidden="1">
      <c r="A4" s="188">
        <v>4</v>
      </c>
      <c r="B4" s="188" t="s">
        <v>705</v>
      </c>
      <c r="C4" s="189">
        <v>1</v>
      </c>
      <c r="D4" s="190" t="s">
        <v>902</v>
      </c>
      <c r="E4" s="78">
        <v>0</v>
      </c>
      <c r="F4" s="78">
        <v>0.5</v>
      </c>
      <c r="G4" s="188" t="s">
        <v>1148</v>
      </c>
      <c r="H4" s="188" t="s">
        <v>1158</v>
      </c>
      <c r="I4" s="191" t="s">
        <v>1195</v>
      </c>
      <c r="J4" s="188" t="s">
        <v>1206</v>
      </c>
      <c r="K4" s="188" t="s">
        <v>1226</v>
      </c>
      <c r="L4" s="188" t="s">
        <v>1243</v>
      </c>
      <c r="M4" s="193" t="s">
        <v>1258</v>
      </c>
      <c r="N4" s="191" t="s">
        <v>1273</v>
      </c>
      <c r="O4" s="193" t="s">
        <v>1284</v>
      </c>
      <c r="P4" s="195" t="s">
        <v>1304</v>
      </c>
      <c r="Q4" s="193" t="s">
        <v>677</v>
      </c>
      <c r="R4" s="191" t="s">
        <v>1604</v>
      </c>
      <c r="S4" s="188" t="s">
        <v>1605</v>
      </c>
      <c r="T4" s="186" t="s">
        <v>906</v>
      </c>
      <c r="U4" s="78">
        <f t="shared" si="1"/>
        <v>11</v>
      </c>
      <c r="V4" s="186" t="str">
        <f t="shared" si="0"/>
        <v>Chapelain </v>
      </c>
      <c r="Y4" s="190"/>
      <c r="AB4" s="78" t="s">
        <v>624</v>
      </c>
      <c r="AC4" s="78">
        <v>0</v>
      </c>
      <c r="AD4" s="78">
        <v>0</v>
      </c>
      <c r="AE4" s="78">
        <v>40</v>
      </c>
      <c r="AF4" s="78" t="s">
        <v>891</v>
      </c>
      <c r="AG4" s="78">
        <v>0.5</v>
      </c>
      <c r="AH4" s="78" t="s">
        <v>878</v>
      </c>
      <c r="AI4" s="78" t="s">
        <v>907</v>
      </c>
      <c r="AJ4" s="78" t="s">
        <v>681</v>
      </c>
      <c r="AK4" s="78" t="s">
        <v>883</v>
      </c>
      <c r="AL4" s="78">
        <v>0</v>
      </c>
      <c r="AM4" s="78" t="s">
        <v>884</v>
      </c>
      <c r="AN4" s="78" t="s">
        <v>885</v>
      </c>
      <c r="AO4" s="78" t="s">
        <v>891</v>
      </c>
      <c r="AP4" s="78" t="s">
        <v>309</v>
      </c>
      <c r="AQ4" s="78" t="s">
        <v>872</v>
      </c>
      <c r="AR4" s="109" t="s">
        <v>561</v>
      </c>
      <c r="AT4" s="78">
        <v>4</v>
      </c>
      <c r="AU4" s="186" t="s">
        <v>895</v>
      </c>
      <c r="AV4" s="78">
        <v>4</v>
      </c>
      <c r="AW4" s="186" t="s">
        <v>621</v>
      </c>
      <c r="AX4" s="186" t="s">
        <v>303</v>
      </c>
      <c r="AY4" s="186" t="s">
        <v>908</v>
      </c>
    </row>
    <row r="5" spans="1:53" hidden="1">
      <c r="A5" s="188">
        <v>5</v>
      </c>
      <c r="B5" s="188" t="s">
        <v>681</v>
      </c>
      <c r="C5" s="189">
        <v>2</v>
      </c>
      <c r="D5" s="190" t="s">
        <v>902</v>
      </c>
      <c r="E5" s="78">
        <v>0</v>
      </c>
      <c r="F5" s="78">
        <v>0.5</v>
      </c>
      <c r="G5" s="188" t="s">
        <v>1149</v>
      </c>
      <c r="H5" s="188" t="s">
        <v>1158</v>
      </c>
      <c r="I5" s="191" t="s">
        <v>1196</v>
      </c>
      <c r="J5" s="188" t="s">
        <v>1207</v>
      </c>
      <c r="K5" s="188" t="s">
        <v>1227</v>
      </c>
      <c r="L5" s="188" t="s">
        <v>1243</v>
      </c>
      <c r="M5" s="193" t="s">
        <v>1259</v>
      </c>
      <c r="N5" s="191" t="s">
        <v>1274</v>
      </c>
      <c r="O5" s="193" t="s">
        <v>1285</v>
      </c>
      <c r="P5" s="195" t="s">
        <v>1305</v>
      </c>
      <c r="Q5" s="193" t="s">
        <v>681</v>
      </c>
      <c r="R5" s="191" t="s">
        <v>1606</v>
      </c>
      <c r="S5" s="188" t="s">
        <v>871</v>
      </c>
      <c r="T5" s="186" t="s">
        <v>914</v>
      </c>
      <c r="U5" s="78">
        <f t="shared" si="1"/>
        <v>11</v>
      </c>
      <c r="V5" s="186" t="str">
        <f t="shared" si="0"/>
        <v>Chevalier </v>
      </c>
      <c r="Y5" s="188"/>
      <c r="AB5" s="78" t="s">
        <v>624</v>
      </c>
      <c r="AC5" s="78">
        <v>0</v>
      </c>
      <c r="AD5" s="78">
        <v>0</v>
      </c>
      <c r="AE5" s="78">
        <v>40</v>
      </c>
      <c r="AF5" s="78" t="s">
        <v>891</v>
      </c>
      <c r="AG5" s="78">
        <v>0.5</v>
      </c>
      <c r="AH5" s="78" t="s">
        <v>878</v>
      </c>
      <c r="AI5" s="78" t="s">
        <v>907</v>
      </c>
      <c r="AJ5" s="78" t="s">
        <v>915</v>
      </c>
      <c r="AK5" s="109" t="s">
        <v>883</v>
      </c>
      <c r="AL5" s="78">
        <v>0</v>
      </c>
      <c r="AM5" s="78" t="s">
        <v>916</v>
      </c>
      <c r="AN5" s="78" t="s">
        <v>917</v>
      </c>
      <c r="AO5" s="78" t="s">
        <v>891</v>
      </c>
      <c r="AP5" s="78" t="s">
        <v>309</v>
      </c>
      <c r="AQ5" s="78" t="s">
        <v>888</v>
      </c>
      <c r="AR5" s="78" t="s">
        <v>846</v>
      </c>
      <c r="AT5" s="78">
        <v>5</v>
      </c>
      <c r="AU5" s="186" t="s">
        <v>918</v>
      </c>
      <c r="AV5" s="78">
        <v>5</v>
      </c>
      <c r="AW5" s="186" t="s">
        <v>901</v>
      </c>
      <c r="AX5" s="186" t="s">
        <v>919</v>
      </c>
      <c r="AY5" s="186" t="s">
        <v>920</v>
      </c>
    </row>
    <row r="6" spans="1:53" ht="10.8" hidden="1" thickBot="1">
      <c r="A6" s="188">
        <v>6</v>
      </c>
      <c r="B6" s="188" t="s">
        <v>707</v>
      </c>
      <c r="C6" s="189">
        <v>2</v>
      </c>
      <c r="D6" s="190" t="s">
        <v>902</v>
      </c>
      <c r="E6" s="78">
        <v>1</v>
      </c>
      <c r="F6" s="78">
        <v>0.5</v>
      </c>
      <c r="G6" s="188" t="s">
        <v>1607</v>
      </c>
      <c r="H6" s="188" t="s">
        <v>1158</v>
      </c>
      <c r="I6" s="191" t="s">
        <v>1197</v>
      </c>
      <c r="J6" s="188" t="s">
        <v>1208</v>
      </c>
      <c r="K6" s="188" t="s">
        <v>1227</v>
      </c>
      <c r="L6" s="188" t="s">
        <v>1244</v>
      </c>
      <c r="M6" s="193" t="s">
        <v>1260</v>
      </c>
      <c r="N6" s="191" t="s">
        <v>1275</v>
      </c>
      <c r="O6" s="193" t="s">
        <v>1286</v>
      </c>
      <c r="P6" s="195" t="s">
        <v>1306</v>
      </c>
      <c r="Q6" s="193" t="s">
        <v>681</v>
      </c>
      <c r="R6" s="197" t="s">
        <v>1608</v>
      </c>
      <c r="S6" s="188" t="s">
        <v>1609</v>
      </c>
      <c r="T6" s="186" t="s">
        <v>925</v>
      </c>
      <c r="U6" s="78">
        <f t="shared" si="1"/>
        <v>7</v>
      </c>
      <c r="V6" s="186" t="str">
        <f t="shared" si="0"/>
        <v>Clerc </v>
      </c>
      <c r="Y6" s="188"/>
      <c r="AB6" s="78" t="s">
        <v>624</v>
      </c>
      <c r="AC6" s="78">
        <v>0</v>
      </c>
      <c r="AD6" s="78">
        <v>0</v>
      </c>
      <c r="AE6" s="78">
        <v>40</v>
      </c>
      <c r="AF6" s="78" t="s">
        <v>891</v>
      </c>
      <c r="AG6" s="78">
        <v>0.5</v>
      </c>
      <c r="AH6" s="78" t="s">
        <v>878</v>
      </c>
      <c r="AI6" s="78" t="s">
        <v>907</v>
      </c>
      <c r="AJ6" s="78" t="s">
        <v>681</v>
      </c>
      <c r="AK6" s="78" t="s">
        <v>926</v>
      </c>
      <c r="AL6" s="78">
        <v>0</v>
      </c>
      <c r="AM6" s="78" t="s">
        <v>211</v>
      </c>
      <c r="AN6" s="78" t="s">
        <v>917</v>
      </c>
      <c r="AO6" s="78" t="s">
        <v>309</v>
      </c>
      <c r="AP6" s="78" t="s">
        <v>309</v>
      </c>
      <c r="AQ6" s="78" t="s">
        <v>888</v>
      </c>
      <c r="AR6" s="78" t="s">
        <v>846</v>
      </c>
      <c r="AT6" s="78">
        <v>6</v>
      </c>
      <c r="AU6" s="186" t="s">
        <v>927</v>
      </c>
      <c r="AV6" s="78">
        <v>6</v>
      </c>
      <c r="AW6" s="186" t="s">
        <v>928</v>
      </c>
      <c r="AX6" s="186" t="s">
        <v>280</v>
      </c>
      <c r="AY6" s="186" t="s">
        <v>87</v>
      </c>
    </row>
    <row r="7" spans="1:53" ht="10.8" hidden="1" thickBot="1">
      <c r="A7" s="188">
        <v>7</v>
      </c>
      <c r="B7" s="188" t="s">
        <v>929</v>
      </c>
      <c r="C7" s="189">
        <v>2</v>
      </c>
      <c r="D7" s="190" t="s">
        <v>902</v>
      </c>
      <c r="E7" s="78">
        <v>1</v>
      </c>
      <c r="F7" s="78">
        <v>0.5</v>
      </c>
      <c r="G7" s="188" t="s">
        <v>1151</v>
      </c>
      <c r="H7" s="188" t="s">
        <v>1158</v>
      </c>
      <c r="I7" s="191" t="s">
        <v>1198</v>
      </c>
      <c r="J7" s="188" t="s">
        <v>1209</v>
      </c>
      <c r="K7" s="188" t="s">
        <v>1228</v>
      </c>
      <c r="L7" s="188" t="s">
        <v>1245</v>
      </c>
      <c r="M7" s="193" t="s">
        <v>1261</v>
      </c>
      <c r="N7" s="191" t="s">
        <v>1276</v>
      </c>
      <c r="O7" s="193" t="s">
        <v>1287</v>
      </c>
      <c r="P7" s="195" t="s">
        <v>1307</v>
      </c>
      <c r="Q7" s="193" t="s">
        <v>681</v>
      </c>
      <c r="R7" s="108" t="s">
        <v>1610</v>
      </c>
      <c r="S7" s="188" t="s">
        <v>846</v>
      </c>
      <c r="T7" s="186" t="s">
        <v>932</v>
      </c>
      <c r="U7" s="78">
        <f t="shared" si="1"/>
        <v>12</v>
      </c>
      <c r="V7" s="186" t="str">
        <f t="shared" si="0"/>
        <v>Conseiller </v>
      </c>
      <c r="Y7" s="188"/>
      <c r="AB7" s="78" t="s">
        <v>624</v>
      </c>
      <c r="AC7" s="78">
        <v>0</v>
      </c>
      <c r="AD7" s="78">
        <v>0</v>
      </c>
      <c r="AE7" s="78">
        <v>40</v>
      </c>
      <c r="AF7" s="78" t="s">
        <v>891</v>
      </c>
      <c r="AG7" s="78">
        <v>0.5</v>
      </c>
      <c r="AH7" s="78" t="s">
        <v>878</v>
      </c>
      <c r="AI7" s="78" t="s">
        <v>907</v>
      </c>
      <c r="AJ7" s="78" t="s">
        <v>933</v>
      </c>
      <c r="AK7" s="78" t="s">
        <v>926</v>
      </c>
      <c r="AL7" s="78">
        <v>1</v>
      </c>
      <c r="AM7" s="78" t="s">
        <v>934</v>
      </c>
      <c r="AN7" s="78" t="s">
        <v>917</v>
      </c>
      <c r="AO7" s="78" t="s">
        <v>309</v>
      </c>
      <c r="AP7" s="78" t="s">
        <v>309</v>
      </c>
      <c r="AQ7" s="78" t="s">
        <v>902</v>
      </c>
      <c r="AR7" s="78" t="s">
        <v>846</v>
      </c>
      <c r="AT7" s="78">
        <v>7</v>
      </c>
      <c r="AU7" s="186" t="s">
        <v>878</v>
      </c>
      <c r="AV7" s="78">
        <v>7</v>
      </c>
      <c r="AW7" s="186" t="s">
        <v>918</v>
      </c>
      <c r="AX7" s="186" t="s">
        <v>22</v>
      </c>
      <c r="AY7" s="186" t="s">
        <v>22</v>
      </c>
    </row>
    <row r="8" spans="1:53" hidden="1">
      <c r="A8" s="188">
        <v>8</v>
      </c>
      <c r="B8" s="188" t="s">
        <v>935</v>
      </c>
      <c r="C8" s="189">
        <v>3</v>
      </c>
      <c r="D8" s="190" t="s">
        <v>936</v>
      </c>
      <c r="E8" s="78">
        <v>1</v>
      </c>
      <c r="F8" s="78">
        <v>0.5</v>
      </c>
      <c r="G8" s="188" t="s">
        <v>1152</v>
      </c>
      <c r="H8" s="188" t="s">
        <v>1159</v>
      </c>
      <c r="I8" s="191" t="s">
        <v>1199</v>
      </c>
      <c r="J8" s="188" t="s">
        <v>1210</v>
      </c>
      <c r="K8" s="188" t="s">
        <v>1229</v>
      </c>
      <c r="L8" s="188" t="s">
        <v>1245</v>
      </c>
      <c r="M8" s="193" t="s">
        <v>1262</v>
      </c>
      <c r="N8" s="191" t="s">
        <v>1277</v>
      </c>
      <c r="O8" s="193" t="s">
        <v>1288</v>
      </c>
      <c r="P8" s="195" t="s">
        <v>1308</v>
      </c>
      <c r="Q8" s="193" t="s">
        <v>684</v>
      </c>
      <c r="S8" s="188" t="s">
        <v>946</v>
      </c>
      <c r="T8" s="186" t="s">
        <v>941</v>
      </c>
      <c r="U8" s="78">
        <f t="shared" si="1"/>
        <v>11</v>
      </c>
      <c r="V8" s="186" t="str">
        <f t="shared" si="0"/>
        <v>Courtisan </v>
      </c>
      <c r="Y8" s="188"/>
      <c r="AB8" s="78" t="s">
        <v>624</v>
      </c>
      <c r="AC8" s="78">
        <v>0</v>
      </c>
      <c r="AD8" s="78">
        <v>0</v>
      </c>
      <c r="AE8" s="78">
        <v>40</v>
      </c>
      <c r="AF8" s="78" t="s">
        <v>891</v>
      </c>
      <c r="AG8" s="78">
        <v>0.5</v>
      </c>
      <c r="AH8" s="78" t="s">
        <v>878</v>
      </c>
      <c r="AI8" s="78" t="s">
        <v>907</v>
      </c>
      <c r="AJ8" s="78" t="s">
        <v>942</v>
      </c>
      <c r="AK8" s="78" t="s">
        <v>926</v>
      </c>
      <c r="AL8" s="78">
        <v>1</v>
      </c>
      <c r="AM8" s="78" t="s">
        <v>943</v>
      </c>
      <c r="AN8" s="78" t="s">
        <v>944</v>
      </c>
      <c r="AO8" s="78" t="s">
        <v>309</v>
      </c>
      <c r="AP8" s="78" t="s">
        <v>945</v>
      </c>
      <c r="AQ8" s="78" t="s">
        <v>902</v>
      </c>
      <c r="AR8" s="78" t="s">
        <v>946</v>
      </c>
      <c r="AT8" s="78">
        <v>8</v>
      </c>
      <c r="AU8" s="186" t="s">
        <v>947</v>
      </c>
      <c r="AV8" s="78">
        <v>8</v>
      </c>
      <c r="AW8" s="186" t="s">
        <v>887</v>
      </c>
      <c r="AX8" s="186" t="s">
        <v>948</v>
      </c>
      <c r="AY8" s="186" t="s">
        <v>949</v>
      </c>
    </row>
    <row r="9" spans="1:53" hidden="1">
      <c r="A9" s="188">
        <v>9</v>
      </c>
      <c r="B9" s="188" t="s">
        <v>684</v>
      </c>
      <c r="C9" s="189">
        <v>3</v>
      </c>
      <c r="D9" s="190" t="s">
        <v>936</v>
      </c>
      <c r="E9" s="78">
        <v>1</v>
      </c>
      <c r="F9" s="78">
        <v>0.5</v>
      </c>
      <c r="G9" s="188" t="s">
        <v>1153</v>
      </c>
      <c r="H9" s="188" t="s">
        <v>1159</v>
      </c>
      <c r="I9" s="191" t="s">
        <v>1200</v>
      </c>
      <c r="J9" s="188" t="s">
        <v>1211</v>
      </c>
      <c r="K9" s="188" t="s">
        <v>1229</v>
      </c>
      <c r="L9" s="188" t="s">
        <v>1246</v>
      </c>
      <c r="M9" s="193" t="s">
        <v>1263</v>
      </c>
      <c r="N9" s="191" t="s">
        <v>1278</v>
      </c>
      <c r="O9" s="193" t="s">
        <v>1289</v>
      </c>
      <c r="P9" s="195" t="s">
        <v>1309</v>
      </c>
      <c r="Q9" s="193" t="s">
        <v>684</v>
      </c>
      <c r="S9" s="188" t="s">
        <v>968</v>
      </c>
      <c r="T9" s="186" t="s">
        <v>953</v>
      </c>
      <c r="U9" s="78">
        <f t="shared" si="1"/>
        <v>11</v>
      </c>
      <c r="V9" s="186" t="str">
        <f t="shared" si="0"/>
        <v>Diplomate </v>
      </c>
      <c r="Y9" s="188"/>
      <c r="AB9" s="78" t="s">
        <v>624</v>
      </c>
      <c r="AC9" s="78">
        <v>0</v>
      </c>
      <c r="AD9" s="78">
        <v>0</v>
      </c>
      <c r="AE9" s="78">
        <v>40</v>
      </c>
      <c r="AF9" s="78" t="s">
        <v>891</v>
      </c>
      <c r="AG9" s="78">
        <v>0.5</v>
      </c>
      <c r="AH9" s="78" t="s">
        <v>878</v>
      </c>
      <c r="AI9" s="78" t="s">
        <v>907</v>
      </c>
      <c r="AJ9" s="78" t="s">
        <v>329</v>
      </c>
      <c r="AK9" s="78" t="s">
        <v>954</v>
      </c>
      <c r="AL9" s="78">
        <v>1</v>
      </c>
      <c r="AM9" s="78" t="s">
        <v>955</v>
      </c>
      <c r="AN9" s="78" t="s">
        <v>934</v>
      </c>
      <c r="AO9" s="78" t="s">
        <v>309</v>
      </c>
      <c r="AP9" s="78" t="s">
        <v>945</v>
      </c>
      <c r="AQ9" s="78" t="s">
        <v>902</v>
      </c>
      <c r="AR9" s="78" t="s">
        <v>946</v>
      </c>
      <c r="AT9" s="78">
        <v>9</v>
      </c>
      <c r="AU9" s="186" t="s">
        <v>928</v>
      </c>
      <c r="AV9" s="78">
        <v>9</v>
      </c>
      <c r="AW9" s="186" t="s">
        <v>927</v>
      </c>
      <c r="AX9" s="186" t="s">
        <v>956</v>
      </c>
      <c r="AY9" s="186" t="s">
        <v>158</v>
      </c>
    </row>
    <row r="10" spans="1:53" ht="10.8" hidden="1" thickBot="1">
      <c r="A10" s="188">
        <v>10</v>
      </c>
      <c r="B10" s="188" t="s">
        <v>957</v>
      </c>
      <c r="C10" s="198">
        <v>4</v>
      </c>
      <c r="D10" s="199" t="s">
        <v>958</v>
      </c>
      <c r="E10" s="78">
        <v>1</v>
      </c>
      <c r="F10" s="78">
        <v>0.5</v>
      </c>
      <c r="G10" s="194" t="s">
        <v>1611</v>
      </c>
      <c r="H10" s="188" t="s">
        <v>1159</v>
      </c>
      <c r="I10" s="197" t="s">
        <v>1201</v>
      </c>
      <c r="J10" s="188" t="s">
        <v>1212</v>
      </c>
      <c r="K10" s="188" t="s">
        <v>1230</v>
      </c>
      <c r="L10" s="188" t="s">
        <v>1247</v>
      </c>
      <c r="M10" s="193" t="s">
        <v>1263</v>
      </c>
      <c r="N10" s="197" t="s">
        <v>1279</v>
      </c>
      <c r="O10" s="193" t="s">
        <v>1290</v>
      </c>
      <c r="P10" s="200" t="s">
        <v>1310</v>
      </c>
      <c r="Q10" s="193" t="s">
        <v>680</v>
      </c>
      <c r="S10" s="194" t="s">
        <v>1612</v>
      </c>
      <c r="T10" s="186" t="s">
        <v>964</v>
      </c>
      <c r="U10" s="78">
        <f t="shared" si="1"/>
        <v>12</v>
      </c>
      <c r="V10" s="186" t="str">
        <f t="shared" si="0"/>
        <v>Guérisseur </v>
      </c>
      <c r="Y10" s="194"/>
      <c r="AB10" s="78" t="s">
        <v>624</v>
      </c>
      <c r="AC10" s="78">
        <v>0</v>
      </c>
      <c r="AD10" s="78">
        <v>0</v>
      </c>
      <c r="AE10" s="78">
        <v>40</v>
      </c>
      <c r="AF10" s="78" t="s">
        <v>891</v>
      </c>
      <c r="AG10" s="78">
        <v>0.5</v>
      </c>
      <c r="AH10" s="78" t="s">
        <v>878</v>
      </c>
      <c r="AI10" s="78" t="s">
        <v>907</v>
      </c>
      <c r="AJ10" s="78" t="s">
        <v>915</v>
      </c>
      <c r="AK10" s="78" t="s">
        <v>954</v>
      </c>
      <c r="AL10" s="78">
        <v>1</v>
      </c>
      <c r="AM10" s="78" t="s">
        <v>965</v>
      </c>
      <c r="AN10" s="78" t="s">
        <v>966</v>
      </c>
      <c r="AO10" s="78" t="s">
        <v>967</v>
      </c>
      <c r="AP10" s="78" t="s">
        <v>644</v>
      </c>
      <c r="AQ10" s="78" t="s">
        <v>902</v>
      </c>
      <c r="AR10" s="78" t="s">
        <v>968</v>
      </c>
      <c r="AT10" s="78">
        <v>10</v>
      </c>
      <c r="AU10" s="186" t="s">
        <v>969</v>
      </c>
      <c r="AV10" s="78">
        <v>10</v>
      </c>
      <c r="AW10" s="186" t="s">
        <v>947</v>
      </c>
      <c r="AX10" s="186" t="s">
        <v>970</v>
      </c>
      <c r="AY10" s="186" t="s">
        <v>277</v>
      </c>
    </row>
    <row r="11" spans="1:53" ht="10.8" hidden="1" thickBot="1">
      <c r="A11" s="188">
        <v>11</v>
      </c>
      <c r="B11" s="188" t="s">
        <v>679</v>
      </c>
      <c r="C11" s="201" t="s">
        <v>971</v>
      </c>
      <c r="D11" s="196" t="s">
        <v>179</v>
      </c>
      <c r="E11" s="78">
        <v>1</v>
      </c>
      <c r="F11" s="78">
        <v>0.8</v>
      </c>
      <c r="G11" s="196" t="s">
        <v>1613</v>
      </c>
      <c r="H11" s="188" t="s">
        <v>1160</v>
      </c>
      <c r="I11" s="106" t="s">
        <v>1614</v>
      </c>
      <c r="J11" s="188" t="s">
        <v>1213</v>
      </c>
      <c r="K11" s="188" t="s">
        <v>1231</v>
      </c>
      <c r="L11" s="188" t="s">
        <v>1248</v>
      </c>
      <c r="M11" s="193" t="s">
        <v>1264</v>
      </c>
      <c r="N11" s="108" t="s">
        <v>1615</v>
      </c>
      <c r="O11" s="193" t="s">
        <v>1291</v>
      </c>
      <c r="P11" s="203" t="s">
        <v>1616</v>
      </c>
      <c r="Q11" s="193" t="s">
        <v>680</v>
      </c>
      <c r="S11" s="196" t="s">
        <v>1617</v>
      </c>
      <c r="T11" s="186" t="s">
        <v>976</v>
      </c>
      <c r="U11" s="78">
        <f t="shared" si="1"/>
        <v>11</v>
      </c>
      <c r="V11" s="186" t="str">
        <f t="shared" si="0"/>
        <v>Ingénieur </v>
      </c>
      <c r="Y11" s="196"/>
      <c r="AB11" s="78" t="s">
        <v>624</v>
      </c>
      <c r="AC11" s="78">
        <v>0</v>
      </c>
      <c r="AD11" s="78">
        <v>0</v>
      </c>
      <c r="AE11" s="78">
        <v>40</v>
      </c>
      <c r="AF11" s="78" t="s">
        <v>309</v>
      </c>
      <c r="AG11" s="78">
        <v>1</v>
      </c>
      <c r="AH11" s="78" t="s">
        <v>878</v>
      </c>
      <c r="AI11" s="78" t="s">
        <v>907</v>
      </c>
      <c r="AJ11" s="78" t="s">
        <v>977</v>
      </c>
      <c r="AK11" s="78" t="s">
        <v>978</v>
      </c>
      <c r="AL11" s="78">
        <v>1</v>
      </c>
      <c r="AM11" s="78" t="s">
        <v>979</v>
      </c>
      <c r="AN11" s="78" t="s">
        <v>980</v>
      </c>
      <c r="AO11" s="78" t="s">
        <v>981</v>
      </c>
      <c r="AP11" s="78" t="s">
        <v>982</v>
      </c>
      <c r="AQ11" s="78" t="s">
        <v>936</v>
      </c>
      <c r="AR11" s="78" t="s">
        <v>983</v>
      </c>
      <c r="AT11" s="78">
        <v>11</v>
      </c>
      <c r="AU11" s="186" t="s">
        <v>984</v>
      </c>
      <c r="AV11" s="78">
        <v>11</v>
      </c>
      <c r="AW11" s="186" t="s">
        <v>969</v>
      </c>
      <c r="AX11" s="186" t="s">
        <v>985</v>
      </c>
      <c r="AY11" s="186" t="s">
        <v>986</v>
      </c>
    </row>
    <row r="12" spans="1:53" hidden="1">
      <c r="A12" s="188">
        <v>12</v>
      </c>
      <c r="B12" s="188" t="s">
        <v>987</v>
      </c>
      <c r="E12" s="78">
        <v>1</v>
      </c>
      <c r="F12" s="78">
        <v>0.8</v>
      </c>
      <c r="H12" s="188" t="s">
        <v>1160</v>
      </c>
      <c r="J12" s="188" t="s">
        <v>1214</v>
      </c>
      <c r="K12" s="188" t="s">
        <v>1232</v>
      </c>
      <c r="L12" s="188" t="s">
        <v>1248</v>
      </c>
      <c r="M12" s="193" t="s">
        <v>1265</v>
      </c>
      <c r="N12" s="78"/>
      <c r="O12" s="193" t="s">
        <v>1292</v>
      </c>
      <c r="Q12" s="193" t="s">
        <v>989</v>
      </c>
      <c r="T12" s="186" t="s">
        <v>990</v>
      </c>
      <c r="U12" s="78">
        <f t="shared" si="1"/>
        <v>11</v>
      </c>
      <c r="V12" s="186" t="str">
        <f t="shared" si="0"/>
        <v>Intendant </v>
      </c>
      <c r="AB12" s="78" t="s">
        <v>624</v>
      </c>
      <c r="AC12" s="78">
        <v>0</v>
      </c>
      <c r="AD12" s="78">
        <v>0</v>
      </c>
      <c r="AE12" s="78">
        <v>40</v>
      </c>
      <c r="AF12" s="78" t="s">
        <v>309</v>
      </c>
      <c r="AG12" s="78">
        <v>1</v>
      </c>
      <c r="AH12" s="78" t="s">
        <v>878</v>
      </c>
      <c r="AI12" s="78" t="s">
        <v>991</v>
      </c>
      <c r="AL12" s="78">
        <v>1</v>
      </c>
      <c r="AQ12" s="78" t="s">
        <v>936</v>
      </c>
      <c r="AT12" s="78">
        <v>12</v>
      </c>
      <c r="AU12" s="186" t="s">
        <v>222</v>
      </c>
      <c r="AV12" s="78">
        <v>12</v>
      </c>
      <c r="AW12" s="106" t="s">
        <v>992</v>
      </c>
      <c r="AX12" s="186" t="s">
        <v>993</v>
      </c>
      <c r="AY12" s="186" t="s">
        <v>994</v>
      </c>
    </row>
    <row r="13" spans="1:53" hidden="1">
      <c r="A13" s="188">
        <v>13</v>
      </c>
      <c r="B13" s="188" t="s">
        <v>995</v>
      </c>
      <c r="E13" s="78">
        <v>1</v>
      </c>
      <c r="F13" s="78">
        <v>0.8</v>
      </c>
      <c r="H13" s="188" t="s">
        <v>1160</v>
      </c>
      <c r="J13" s="188" t="s">
        <v>1215</v>
      </c>
      <c r="K13" s="188" t="s">
        <v>1233</v>
      </c>
      <c r="L13" s="188" t="s">
        <v>1249</v>
      </c>
      <c r="M13" s="193" t="s">
        <v>1265</v>
      </c>
      <c r="N13" s="78"/>
      <c r="O13" s="193" t="s">
        <v>1293</v>
      </c>
      <c r="Q13" s="193" t="s">
        <v>989</v>
      </c>
      <c r="T13" s="186" t="s">
        <v>996</v>
      </c>
      <c r="U13" s="78">
        <f t="shared" si="1"/>
        <v>11</v>
      </c>
      <c r="V13" s="186" t="str">
        <f t="shared" si="0"/>
        <v>Juge-érud </v>
      </c>
      <c r="AB13" s="78" t="s">
        <v>624</v>
      </c>
      <c r="AC13" s="78">
        <v>0</v>
      </c>
      <c r="AD13" s="78">
        <v>0</v>
      </c>
      <c r="AE13" s="78">
        <v>40</v>
      </c>
      <c r="AF13" s="78" t="s">
        <v>309</v>
      </c>
      <c r="AG13" s="78">
        <v>1</v>
      </c>
      <c r="AH13" s="78" t="s">
        <v>878</v>
      </c>
      <c r="AI13" s="78" t="s">
        <v>991</v>
      </c>
      <c r="AL13" s="78">
        <v>1</v>
      </c>
      <c r="AQ13" s="78" t="s">
        <v>958</v>
      </c>
      <c r="AT13" s="78">
        <v>13</v>
      </c>
      <c r="AU13" s="186" t="s">
        <v>997</v>
      </c>
      <c r="AV13" s="78">
        <v>13</v>
      </c>
      <c r="AX13" s="186" t="s">
        <v>135</v>
      </c>
      <c r="AY13" s="78" t="s">
        <v>264</v>
      </c>
    </row>
    <row r="14" spans="1:53" ht="10.8" hidden="1" thickBot="1">
      <c r="A14" s="188">
        <v>14</v>
      </c>
      <c r="B14" s="188" t="s">
        <v>719</v>
      </c>
      <c r="E14" s="78">
        <v>1</v>
      </c>
      <c r="F14" s="78">
        <v>0.8</v>
      </c>
      <c r="H14" s="188" t="s">
        <v>1160</v>
      </c>
      <c r="J14" s="188" t="s">
        <v>1216</v>
      </c>
      <c r="K14" s="188" t="s">
        <v>1235</v>
      </c>
      <c r="L14" s="188" t="s">
        <v>1250</v>
      </c>
      <c r="M14" s="193" t="s">
        <v>1266</v>
      </c>
      <c r="N14" s="78"/>
      <c r="O14" s="193" t="s">
        <v>1294</v>
      </c>
      <c r="Q14" s="204" t="s">
        <v>999</v>
      </c>
      <c r="T14" s="186" t="s">
        <v>1000</v>
      </c>
      <c r="U14" s="78">
        <f t="shared" si="1"/>
        <v>9</v>
      </c>
      <c r="V14" s="186" t="str">
        <f t="shared" si="0"/>
        <v>Notaire </v>
      </c>
      <c r="AB14" s="78" t="s">
        <v>624</v>
      </c>
      <c r="AC14" s="78">
        <v>0</v>
      </c>
      <c r="AD14" s="78">
        <v>0</v>
      </c>
      <c r="AE14" s="78">
        <v>40</v>
      </c>
      <c r="AF14" s="78" t="s">
        <v>309</v>
      </c>
      <c r="AG14" s="78">
        <v>1</v>
      </c>
      <c r="AH14" s="78" t="s">
        <v>878</v>
      </c>
      <c r="AI14" s="78" t="s">
        <v>991</v>
      </c>
      <c r="AL14" s="78">
        <v>1</v>
      </c>
      <c r="AQ14" s="78" t="s">
        <v>958</v>
      </c>
      <c r="AT14" s="78">
        <v>14</v>
      </c>
      <c r="AU14" s="186" t="s">
        <v>310</v>
      </c>
      <c r="AV14" s="78">
        <v>14</v>
      </c>
      <c r="AX14" s="186" t="s">
        <v>1001</v>
      </c>
      <c r="AY14" s="186" t="s">
        <v>1002</v>
      </c>
    </row>
    <row r="15" spans="1:53" ht="10.8" hidden="1" thickBot="1">
      <c r="A15" s="188">
        <v>15</v>
      </c>
      <c r="B15" s="188" t="s">
        <v>680</v>
      </c>
      <c r="E15" s="78">
        <v>1</v>
      </c>
      <c r="F15" s="78">
        <v>0.8</v>
      </c>
      <c r="H15" s="188" t="s">
        <v>1160</v>
      </c>
      <c r="J15" s="188" t="s">
        <v>1217</v>
      </c>
      <c r="K15" s="188" t="s">
        <v>1235</v>
      </c>
      <c r="L15" s="188" t="s">
        <v>1251</v>
      </c>
      <c r="M15" s="193" t="s">
        <v>1267</v>
      </c>
      <c r="N15" s="78"/>
      <c r="O15" s="193" t="s">
        <v>1295</v>
      </c>
      <c r="Q15" s="202" t="s">
        <v>1004</v>
      </c>
      <c r="T15" s="186" t="s">
        <v>1005</v>
      </c>
      <c r="U15" s="78">
        <f t="shared" si="1"/>
        <v>11</v>
      </c>
      <c r="V15" s="186" t="str">
        <f t="shared" si="0"/>
        <v>Page-care </v>
      </c>
      <c r="AB15" s="78" t="s">
        <v>624</v>
      </c>
      <c r="AC15" s="78">
        <v>0</v>
      </c>
      <c r="AD15" s="78">
        <v>0</v>
      </c>
      <c r="AE15" s="78">
        <v>40</v>
      </c>
      <c r="AF15" s="78" t="s">
        <v>309</v>
      </c>
      <c r="AG15" s="78">
        <v>1</v>
      </c>
      <c r="AH15" s="78" t="s">
        <v>878</v>
      </c>
      <c r="AI15" s="78" t="s">
        <v>1006</v>
      </c>
      <c r="AL15" s="78">
        <v>1</v>
      </c>
      <c r="AQ15" s="78" t="s">
        <v>958</v>
      </c>
      <c r="AT15" s="78">
        <v>15</v>
      </c>
      <c r="AU15" s="186" t="s">
        <v>303</v>
      </c>
      <c r="AV15" s="78">
        <v>15</v>
      </c>
      <c r="AX15" s="186" t="s">
        <v>1007</v>
      </c>
      <c r="AY15" s="186" t="s">
        <v>1008</v>
      </c>
    </row>
    <row r="16" spans="1:53" hidden="1">
      <c r="A16" s="188">
        <v>16</v>
      </c>
      <c r="B16" s="188" t="s">
        <v>1009</v>
      </c>
      <c r="E16" s="78">
        <v>2</v>
      </c>
      <c r="F16" s="78">
        <v>0.8</v>
      </c>
      <c r="H16" s="188" t="s">
        <v>1160</v>
      </c>
      <c r="J16" s="188" t="s">
        <v>1217</v>
      </c>
      <c r="K16" s="188" t="s">
        <v>1236</v>
      </c>
      <c r="L16" s="188" t="s">
        <v>1252</v>
      </c>
      <c r="M16" s="193" t="s">
        <v>1267</v>
      </c>
      <c r="N16" s="78"/>
      <c r="O16" s="193" t="s">
        <v>1296</v>
      </c>
      <c r="T16" s="186" t="s">
        <v>1011</v>
      </c>
      <c r="U16" s="78">
        <f t="shared" si="1"/>
        <v>10</v>
      </c>
      <c r="V16" s="186" t="str">
        <f t="shared" si="0"/>
        <v>Plaideur </v>
      </c>
      <c r="AB16" s="78" t="s">
        <v>624</v>
      </c>
      <c r="AC16" s="78">
        <v>0</v>
      </c>
      <c r="AD16" s="78">
        <v>0</v>
      </c>
      <c r="AE16" s="78">
        <v>40</v>
      </c>
      <c r="AF16" s="78" t="s">
        <v>309</v>
      </c>
      <c r="AG16" s="78">
        <v>1</v>
      </c>
      <c r="AH16" s="78" t="s">
        <v>1012</v>
      </c>
      <c r="AI16" s="78" t="s">
        <v>1006</v>
      </c>
      <c r="AL16" s="78">
        <v>2</v>
      </c>
      <c r="AQ16" s="78" t="s">
        <v>958</v>
      </c>
      <c r="AT16" s="78">
        <v>16</v>
      </c>
      <c r="AU16" s="186" t="s">
        <v>320</v>
      </c>
      <c r="AV16" s="78">
        <v>16</v>
      </c>
      <c r="AX16" s="186" t="s">
        <v>222</v>
      </c>
      <c r="AY16" s="186" t="s">
        <v>1013</v>
      </c>
    </row>
    <row r="17" spans="1:51" hidden="1">
      <c r="A17" s="188">
        <v>17</v>
      </c>
      <c r="B17" s="188" t="s">
        <v>1014</v>
      </c>
      <c r="E17" s="78">
        <v>2</v>
      </c>
      <c r="F17" s="78">
        <v>0.8</v>
      </c>
      <c r="H17" s="188" t="s">
        <v>1161</v>
      </c>
      <c r="J17" s="188" t="s">
        <v>1218</v>
      </c>
      <c r="K17" s="188" t="s">
        <v>1237</v>
      </c>
      <c r="L17" s="188" t="s">
        <v>1252</v>
      </c>
      <c r="M17" s="193" t="s">
        <v>1267</v>
      </c>
      <c r="N17" s="78"/>
      <c r="O17" s="193" t="s">
        <v>1297</v>
      </c>
      <c r="T17" s="186" t="s">
        <v>1016</v>
      </c>
      <c r="U17" s="78">
        <f t="shared" si="1"/>
        <v>8</v>
      </c>
      <c r="V17" s="186" t="str">
        <f t="shared" si="0"/>
        <v>Prévôt </v>
      </c>
      <c r="AB17" s="78" t="s">
        <v>624</v>
      </c>
      <c r="AC17" s="78">
        <v>0</v>
      </c>
      <c r="AD17" s="78">
        <v>0</v>
      </c>
      <c r="AE17" s="78">
        <v>40</v>
      </c>
      <c r="AF17" s="78" t="s">
        <v>309</v>
      </c>
      <c r="AG17" s="78">
        <v>1</v>
      </c>
      <c r="AH17" s="78" t="s">
        <v>1012</v>
      </c>
      <c r="AI17" s="78" t="s">
        <v>1006</v>
      </c>
      <c r="AL17" s="78">
        <v>2</v>
      </c>
      <c r="AQ17" s="78" t="s">
        <v>958</v>
      </c>
      <c r="AT17" s="78">
        <v>17</v>
      </c>
      <c r="AU17" s="186" t="s">
        <v>993</v>
      </c>
      <c r="AV17" s="78">
        <v>17</v>
      </c>
      <c r="AX17" s="186" t="s">
        <v>984</v>
      </c>
      <c r="AY17" s="186" t="s">
        <v>34</v>
      </c>
    </row>
    <row r="18" spans="1:51" hidden="1">
      <c r="A18" s="188">
        <v>18</v>
      </c>
      <c r="B18" s="188" t="s">
        <v>1017</v>
      </c>
      <c r="E18" s="78">
        <v>2</v>
      </c>
      <c r="F18" s="78">
        <v>0.8</v>
      </c>
      <c r="H18" s="188" t="s">
        <v>1161</v>
      </c>
      <c r="J18" s="188" t="s">
        <v>1219</v>
      </c>
      <c r="K18" s="188" t="s">
        <v>1238</v>
      </c>
      <c r="L18" s="188" t="s">
        <v>1253</v>
      </c>
      <c r="M18" s="193" t="s">
        <v>1234</v>
      </c>
      <c r="N18" s="78"/>
      <c r="O18" s="193" t="s">
        <v>1298</v>
      </c>
      <c r="T18" s="186" t="s">
        <v>1019</v>
      </c>
      <c r="U18" s="78">
        <f t="shared" si="1"/>
        <v>12</v>
      </c>
      <c r="V18" s="186" t="str">
        <f t="shared" si="0"/>
        <v>Professeur </v>
      </c>
      <c r="AB18" s="78" t="s">
        <v>624</v>
      </c>
      <c r="AC18" s="78">
        <v>0</v>
      </c>
      <c r="AD18" s="78">
        <v>0</v>
      </c>
      <c r="AE18" s="78">
        <v>40</v>
      </c>
      <c r="AF18" s="78" t="s">
        <v>309</v>
      </c>
      <c r="AG18" s="78">
        <v>1</v>
      </c>
      <c r="AH18" s="78" t="s">
        <v>1012</v>
      </c>
      <c r="AI18" s="78" t="s">
        <v>1006</v>
      </c>
      <c r="AL18" s="78">
        <v>2</v>
      </c>
      <c r="AQ18" s="78" t="s">
        <v>958</v>
      </c>
      <c r="AT18" s="78">
        <v>18</v>
      </c>
      <c r="AU18" s="186" t="s">
        <v>280</v>
      </c>
      <c r="AV18" s="78">
        <v>18</v>
      </c>
      <c r="AX18" s="186" t="s">
        <v>1020</v>
      </c>
      <c r="AY18" s="186" t="s">
        <v>1021</v>
      </c>
    </row>
    <row r="19" spans="1:51" hidden="1">
      <c r="A19" s="188">
        <v>19</v>
      </c>
      <c r="B19" s="188" t="s">
        <v>1022</v>
      </c>
      <c r="E19" s="78">
        <v>2</v>
      </c>
      <c r="F19" s="78">
        <v>0.8</v>
      </c>
      <c r="H19" s="188" t="s">
        <v>1161</v>
      </c>
      <c r="J19" s="188" t="s">
        <v>1220</v>
      </c>
      <c r="K19" s="188" t="s">
        <v>1239</v>
      </c>
      <c r="L19" s="188" t="s">
        <v>1253</v>
      </c>
      <c r="M19" s="193" t="s">
        <v>1234</v>
      </c>
      <c r="N19" s="78"/>
      <c r="O19" s="193" t="s">
        <v>1299</v>
      </c>
      <c r="T19" s="186" t="s">
        <v>1024</v>
      </c>
      <c r="U19" s="78">
        <f t="shared" si="1"/>
        <v>9</v>
      </c>
      <c r="V19" s="186" t="str">
        <f t="shared" si="0"/>
        <v>Rentier </v>
      </c>
      <c r="AB19" s="78" t="s">
        <v>624</v>
      </c>
      <c r="AC19" s="78">
        <v>0</v>
      </c>
      <c r="AD19" s="78">
        <v>0</v>
      </c>
      <c r="AE19" s="78">
        <v>40</v>
      </c>
      <c r="AF19" s="78" t="s">
        <v>309</v>
      </c>
      <c r="AG19" s="78">
        <v>1</v>
      </c>
      <c r="AH19" s="78" t="s">
        <v>1012</v>
      </c>
      <c r="AI19" s="78" t="s">
        <v>1006</v>
      </c>
      <c r="AL19" s="78">
        <v>2</v>
      </c>
      <c r="AQ19" s="78" t="s">
        <v>958</v>
      </c>
      <c r="AT19" s="78">
        <v>19</v>
      </c>
      <c r="AU19" s="186" t="s">
        <v>919</v>
      </c>
      <c r="AV19" s="78">
        <v>19</v>
      </c>
      <c r="AX19" s="186" t="s">
        <v>1025</v>
      </c>
      <c r="AY19" s="186" t="s">
        <v>1026</v>
      </c>
    </row>
    <row r="20" spans="1:51" ht="10.8" hidden="1" thickBot="1">
      <c r="A20" s="188">
        <v>20</v>
      </c>
      <c r="B20" s="188" t="s">
        <v>1027</v>
      </c>
      <c r="E20" s="78">
        <v>2</v>
      </c>
      <c r="F20" s="78">
        <v>0.8</v>
      </c>
      <c r="H20" s="188" t="s">
        <v>1161</v>
      </c>
      <c r="J20" s="194" t="s">
        <v>1221</v>
      </c>
      <c r="K20" s="194" t="s">
        <v>1239</v>
      </c>
      <c r="L20" s="188" t="s">
        <v>1254</v>
      </c>
      <c r="M20" s="204" t="s">
        <v>1268</v>
      </c>
      <c r="N20" s="78"/>
      <c r="O20" s="204" t="s">
        <v>1300</v>
      </c>
      <c r="T20" s="186" t="s">
        <v>1032</v>
      </c>
      <c r="U20" s="78">
        <f t="shared" si="1"/>
        <v>10</v>
      </c>
      <c r="V20" s="187" t="str">
        <f t="shared" si="0"/>
        <v>Sénéchal </v>
      </c>
      <c r="AB20" s="78" t="s">
        <v>624</v>
      </c>
      <c r="AC20" s="78">
        <v>0</v>
      </c>
      <c r="AD20" s="78">
        <v>0</v>
      </c>
      <c r="AE20" s="78">
        <v>40</v>
      </c>
      <c r="AF20" s="78" t="s">
        <v>309</v>
      </c>
      <c r="AG20" s="78">
        <v>1</v>
      </c>
      <c r="AH20" s="78" t="s">
        <v>1012</v>
      </c>
      <c r="AI20" s="78" t="s">
        <v>1033</v>
      </c>
      <c r="AL20" s="78">
        <v>2</v>
      </c>
      <c r="AQ20" s="78" t="s">
        <v>958</v>
      </c>
      <c r="AT20" s="78">
        <v>20</v>
      </c>
      <c r="AU20" s="186" t="s">
        <v>948</v>
      </c>
      <c r="AV20" s="78">
        <v>20</v>
      </c>
      <c r="AX20" s="186" t="s">
        <v>1034</v>
      </c>
      <c r="AY20" s="78" t="s">
        <v>38</v>
      </c>
    </row>
    <row r="21" spans="1:51" ht="10.8" hidden="1" thickBot="1">
      <c r="A21" s="188">
        <v>21</v>
      </c>
      <c r="B21" s="188" t="s">
        <v>989</v>
      </c>
      <c r="E21" s="78">
        <v>2</v>
      </c>
      <c r="F21" s="78">
        <v>0.8</v>
      </c>
      <c r="H21" s="188" t="s">
        <v>1162</v>
      </c>
      <c r="J21" s="196" t="s">
        <v>1618</v>
      </c>
      <c r="K21" s="196" t="s">
        <v>1619</v>
      </c>
      <c r="L21" s="196" t="s">
        <v>1620</v>
      </c>
      <c r="M21" s="202" t="s">
        <v>1621</v>
      </c>
      <c r="N21" s="78"/>
      <c r="O21" s="206" t="s">
        <v>1622</v>
      </c>
      <c r="U21" s="78" t="e">
        <f t="shared" si="1"/>
        <v>#VALUE!</v>
      </c>
      <c r="V21" s="187" t="e">
        <f t="shared" si="0"/>
        <v>#VALUE!</v>
      </c>
      <c r="AB21" s="78" t="s">
        <v>624</v>
      </c>
      <c r="AC21" s="78">
        <v>0</v>
      </c>
      <c r="AD21" s="78">
        <v>0</v>
      </c>
      <c r="AE21" s="78">
        <v>40</v>
      </c>
      <c r="AF21" s="78" t="s">
        <v>309</v>
      </c>
      <c r="AG21" s="78">
        <v>1</v>
      </c>
      <c r="AH21" s="78" t="s">
        <v>1012</v>
      </c>
      <c r="AI21" s="78" t="s">
        <v>1033</v>
      </c>
      <c r="AL21" s="78">
        <v>2</v>
      </c>
      <c r="AQ21" s="78" t="s">
        <v>958</v>
      </c>
      <c r="AT21" s="78">
        <v>21</v>
      </c>
      <c r="AU21" s="186" t="s">
        <v>135</v>
      </c>
      <c r="AV21" s="78">
        <v>21</v>
      </c>
      <c r="AX21" s="186" t="s">
        <v>997</v>
      </c>
      <c r="AY21" s="186" t="s">
        <v>1036</v>
      </c>
    </row>
    <row r="22" spans="1:51" hidden="1">
      <c r="A22" s="188">
        <v>22</v>
      </c>
      <c r="B22" s="188" t="s">
        <v>685</v>
      </c>
      <c r="E22" s="78">
        <v>2</v>
      </c>
      <c r="F22" s="78">
        <v>0.8</v>
      </c>
      <c r="H22" s="188" t="s">
        <v>1162</v>
      </c>
      <c r="M22" s="187"/>
      <c r="N22" s="78"/>
      <c r="U22" s="78" t="e">
        <f t="shared" si="1"/>
        <v>#VALUE!</v>
      </c>
      <c r="V22" s="187" t="e">
        <f t="shared" si="0"/>
        <v>#VALUE!</v>
      </c>
      <c r="AB22" s="78" t="s">
        <v>624</v>
      </c>
      <c r="AC22" s="78">
        <v>0</v>
      </c>
      <c r="AD22" s="78">
        <v>0</v>
      </c>
      <c r="AE22" s="78">
        <v>40</v>
      </c>
      <c r="AF22" s="78" t="s">
        <v>309</v>
      </c>
      <c r="AG22" s="78">
        <v>1</v>
      </c>
      <c r="AH22" s="78" t="s">
        <v>1012</v>
      </c>
      <c r="AI22" s="78" t="s">
        <v>1033</v>
      </c>
      <c r="AL22" s="78">
        <v>2</v>
      </c>
      <c r="AQ22" s="78" t="s">
        <v>958</v>
      </c>
      <c r="AT22" s="78">
        <v>22</v>
      </c>
      <c r="AU22" s="186" t="s">
        <v>956</v>
      </c>
      <c r="AV22" s="78">
        <v>22</v>
      </c>
      <c r="AX22" s="106" t="s">
        <v>1038</v>
      </c>
      <c r="AY22" s="186" t="s">
        <v>1039</v>
      </c>
    </row>
    <row r="23" spans="1:51" hidden="1">
      <c r="A23" s="188">
        <v>23</v>
      </c>
      <c r="B23" s="188" t="s">
        <v>1040</v>
      </c>
      <c r="E23" s="78">
        <v>2</v>
      </c>
      <c r="F23" s="78">
        <v>0.8</v>
      </c>
      <c r="H23" s="188" t="s">
        <v>1162</v>
      </c>
      <c r="U23" s="78" t="e">
        <f t="shared" si="1"/>
        <v>#VALUE!</v>
      </c>
      <c r="V23" s="187" t="e">
        <f t="shared" si="0"/>
        <v>#VALUE!</v>
      </c>
      <c r="AB23" s="78" t="s">
        <v>624</v>
      </c>
      <c r="AC23" s="78">
        <v>0</v>
      </c>
      <c r="AD23" s="78">
        <v>0</v>
      </c>
      <c r="AE23" s="78">
        <v>40</v>
      </c>
      <c r="AF23" s="78" t="s">
        <v>309</v>
      </c>
      <c r="AG23" s="78">
        <v>1</v>
      </c>
      <c r="AH23" s="78" t="s">
        <v>1012</v>
      </c>
      <c r="AI23" s="78" t="s">
        <v>1033</v>
      </c>
      <c r="AL23" s="78">
        <v>2</v>
      </c>
      <c r="AQ23" s="78" t="s">
        <v>958</v>
      </c>
      <c r="AT23" s="78">
        <v>23</v>
      </c>
      <c r="AU23" s="186" t="s">
        <v>1025</v>
      </c>
      <c r="AV23" s="78">
        <v>23</v>
      </c>
      <c r="AY23" s="186" t="s">
        <v>1042</v>
      </c>
    </row>
    <row r="24" spans="1:51" hidden="1">
      <c r="A24" s="188">
        <v>24</v>
      </c>
      <c r="B24" s="188" t="s">
        <v>1043</v>
      </c>
      <c r="E24" s="78">
        <v>2</v>
      </c>
      <c r="F24" s="78">
        <v>0.8</v>
      </c>
      <c r="H24" s="188" t="s">
        <v>1163</v>
      </c>
      <c r="U24" s="78" t="e">
        <f t="shared" si="1"/>
        <v>#VALUE!</v>
      </c>
      <c r="V24" s="187" t="e">
        <f t="shared" si="0"/>
        <v>#VALUE!</v>
      </c>
      <c r="AB24" s="78" t="s">
        <v>624</v>
      </c>
      <c r="AC24" s="78">
        <v>0</v>
      </c>
      <c r="AD24" s="78">
        <v>0</v>
      </c>
      <c r="AE24" s="78">
        <v>40</v>
      </c>
      <c r="AF24" s="78" t="s">
        <v>309</v>
      </c>
      <c r="AG24" s="78">
        <v>1</v>
      </c>
      <c r="AH24" s="78" t="s">
        <v>1012</v>
      </c>
      <c r="AI24" s="78" t="s">
        <v>1033</v>
      </c>
      <c r="AL24" s="78">
        <v>2</v>
      </c>
      <c r="AQ24" s="78" t="s">
        <v>958</v>
      </c>
      <c r="AT24" s="78">
        <v>24</v>
      </c>
      <c r="AU24" s="186" t="s">
        <v>970</v>
      </c>
      <c r="AV24" s="78">
        <v>24</v>
      </c>
      <c r="AY24" s="186" t="s">
        <v>1045</v>
      </c>
    </row>
    <row r="25" spans="1:51" hidden="1">
      <c r="A25" s="188">
        <v>25</v>
      </c>
      <c r="B25" s="188" t="s">
        <v>999</v>
      </c>
      <c r="E25" s="78">
        <v>2</v>
      </c>
      <c r="F25" s="78">
        <v>0.8</v>
      </c>
      <c r="H25" s="188" t="s">
        <v>1163</v>
      </c>
      <c r="U25" s="78" t="e">
        <f t="shared" si="1"/>
        <v>#VALUE!</v>
      </c>
      <c r="V25" s="187" t="e">
        <f t="shared" si="0"/>
        <v>#VALUE!</v>
      </c>
      <c r="AB25" s="78" t="s">
        <v>624</v>
      </c>
      <c r="AC25" s="78">
        <v>0</v>
      </c>
      <c r="AD25" s="78">
        <v>0</v>
      </c>
      <c r="AE25" s="78">
        <v>40</v>
      </c>
      <c r="AF25" s="78" t="s">
        <v>309</v>
      </c>
      <c r="AG25" s="78">
        <v>1</v>
      </c>
      <c r="AH25" s="78" t="s">
        <v>1012</v>
      </c>
      <c r="AI25" s="78" t="s">
        <v>1033</v>
      </c>
      <c r="AL25" s="78">
        <v>2</v>
      </c>
      <c r="AQ25" s="78" t="s">
        <v>958</v>
      </c>
      <c r="AT25" s="78">
        <v>25</v>
      </c>
      <c r="AU25" s="186" t="s">
        <v>1001</v>
      </c>
      <c r="AV25" s="78">
        <v>25</v>
      </c>
      <c r="AY25" s="186" t="s">
        <v>1047</v>
      </c>
    </row>
    <row r="26" spans="1:51" ht="10.8" hidden="1" thickBot="1">
      <c r="A26" s="188">
        <v>26</v>
      </c>
      <c r="B26" s="194" t="s">
        <v>1048</v>
      </c>
      <c r="E26" s="78">
        <v>2</v>
      </c>
      <c r="F26" s="78">
        <v>0.8</v>
      </c>
      <c r="H26" s="188" t="s">
        <v>1164</v>
      </c>
      <c r="U26" s="78" t="e">
        <f t="shared" si="1"/>
        <v>#VALUE!</v>
      </c>
      <c r="V26" s="187" t="e">
        <f t="shared" si="0"/>
        <v>#VALUE!</v>
      </c>
      <c r="AB26" s="78" t="s">
        <v>624</v>
      </c>
      <c r="AC26" s="78">
        <v>0</v>
      </c>
      <c r="AD26" s="78">
        <v>0</v>
      </c>
      <c r="AE26" s="78">
        <v>40</v>
      </c>
      <c r="AF26" s="78" t="s">
        <v>309</v>
      </c>
      <c r="AG26" s="78">
        <v>1</v>
      </c>
      <c r="AH26" s="78" t="s">
        <v>1012</v>
      </c>
      <c r="AI26" s="78" t="s">
        <v>1033</v>
      </c>
      <c r="AL26" s="78">
        <v>2</v>
      </c>
      <c r="AQ26" s="78" t="s">
        <v>1050</v>
      </c>
      <c r="AT26" s="78">
        <v>26</v>
      </c>
      <c r="AU26" s="186" t="s">
        <v>1034</v>
      </c>
      <c r="AV26" s="78">
        <v>26</v>
      </c>
      <c r="AY26" s="186" t="s">
        <v>152</v>
      </c>
    </row>
    <row r="27" spans="1:51" hidden="1">
      <c r="A27" s="188">
        <v>27</v>
      </c>
      <c r="B27" s="106" t="s">
        <v>1051</v>
      </c>
      <c r="E27" s="78">
        <v>2</v>
      </c>
      <c r="F27" s="78">
        <v>0.8</v>
      </c>
      <c r="H27" s="188" t="s">
        <v>1164</v>
      </c>
      <c r="U27" s="78" t="e">
        <f t="shared" si="1"/>
        <v>#VALUE!</v>
      </c>
      <c r="V27" s="187" t="e">
        <f t="shared" si="0"/>
        <v>#VALUE!</v>
      </c>
      <c r="AB27" s="78" t="s">
        <v>624</v>
      </c>
      <c r="AC27" s="78">
        <v>0</v>
      </c>
      <c r="AD27" s="78">
        <v>0</v>
      </c>
      <c r="AE27" s="78">
        <v>40</v>
      </c>
      <c r="AF27" s="78" t="s">
        <v>309</v>
      </c>
      <c r="AG27" s="78">
        <v>1</v>
      </c>
      <c r="AH27" s="78" t="s">
        <v>1012</v>
      </c>
      <c r="AI27" s="78" t="s">
        <v>1033</v>
      </c>
      <c r="AL27" s="78">
        <v>2</v>
      </c>
      <c r="AT27" s="78">
        <v>27</v>
      </c>
      <c r="AU27" s="186" t="s">
        <v>1007</v>
      </c>
      <c r="AV27" s="78">
        <v>27</v>
      </c>
      <c r="AY27" s="186" t="s">
        <v>25</v>
      </c>
    </row>
    <row r="28" spans="1:51" hidden="1">
      <c r="A28" s="188">
        <v>28</v>
      </c>
      <c r="E28" s="78">
        <v>2</v>
      </c>
      <c r="F28" s="78">
        <v>0.8</v>
      </c>
      <c r="H28" s="188" t="s">
        <v>1164</v>
      </c>
      <c r="U28" s="78" t="e">
        <f t="shared" si="1"/>
        <v>#VALUE!</v>
      </c>
      <c r="V28" s="187" t="e">
        <f t="shared" si="0"/>
        <v>#VALUE!</v>
      </c>
      <c r="AB28" s="78" t="s">
        <v>624</v>
      </c>
      <c r="AC28" s="78">
        <v>0</v>
      </c>
      <c r="AD28" s="78">
        <v>0</v>
      </c>
      <c r="AE28" s="78">
        <v>40</v>
      </c>
      <c r="AF28" s="78" t="s">
        <v>309</v>
      </c>
      <c r="AG28" s="78">
        <v>1</v>
      </c>
      <c r="AH28" s="78" t="s">
        <v>1012</v>
      </c>
      <c r="AI28" s="78" t="s">
        <v>1033</v>
      </c>
      <c r="AL28" s="78">
        <v>2</v>
      </c>
      <c r="AT28" s="78">
        <v>28</v>
      </c>
      <c r="AU28" s="186" t="s">
        <v>985</v>
      </c>
      <c r="AV28" s="78">
        <v>28</v>
      </c>
      <c r="AY28" s="78" t="s">
        <v>17</v>
      </c>
    </row>
    <row r="29" spans="1:51" hidden="1">
      <c r="A29" s="188">
        <v>29</v>
      </c>
      <c r="E29" s="78">
        <v>2</v>
      </c>
      <c r="F29" s="78">
        <v>0.8</v>
      </c>
      <c r="H29" s="188" t="s">
        <v>1164</v>
      </c>
      <c r="U29" s="78" t="e">
        <f t="shared" si="1"/>
        <v>#VALUE!</v>
      </c>
      <c r="V29" s="187" t="e">
        <f t="shared" si="0"/>
        <v>#VALUE!</v>
      </c>
      <c r="AB29" s="78" t="s">
        <v>624</v>
      </c>
      <c r="AC29" s="78">
        <v>0</v>
      </c>
      <c r="AD29" s="78">
        <v>0</v>
      </c>
      <c r="AE29" s="78">
        <v>40</v>
      </c>
      <c r="AF29" s="78" t="s">
        <v>309</v>
      </c>
      <c r="AG29" s="78">
        <v>1</v>
      </c>
      <c r="AH29" s="78" t="s">
        <v>1012</v>
      </c>
      <c r="AI29" s="78" t="s">
        <v>1033</v>
      </c>
      <c r="AL29" s="78">
        <v>2</v>
      </c>
      <c r="AT29" s="78">
        <v>29</v>
      </c>
      <c r="AU29" s="186" t="s">
        <v>1020</v>
      </c>
      <c r="AV29" s="78">
        <v>29</v>
      </c>
      <c r="AY29" s="186" t="s">
        <v>1054</v>
      </c>
    </row>
    <row r="30" spans="1:51" hidden="1">
      <c r="A30" s="188">
        <v>30</v>
      </c>
      <c r="E30" s="78">
        <v>2</v>
      </c>
      <c r="F30" s="78">
        <v>0.8</v>
      </c>
      <c r="H30" s="188" t="s">
        <v>1164</v>
      </c>
      <c r="U30" s="78" t="e">
        <f t="shared" si="1"/>
        <v>#VALUE!</v>
      </c>
      <c r="V30" s="187" t="e">
        <f t="shared" si="0"/>
        <v>#VALUE!</v>
      </c>
      <c r="AB30" s="78" t="s">
        <v>624</v>
      </c>
      <c r="AC30" s="78">
        <v>0</v>
      </c>
      <c r="AD30" s="78">
        <v>0</v>
      </c>
      <c r="AE30" s="78">
        <v>40</v>
      </c>
      <c r="AF30" s="78" t="s">
        <v>309</v>
      </c>
      <c r="AG30" s="78">
        <v>1</v>
      </c>
      <c r="AH30" s="78" t="s">
        <v>1012</v>
      </c>
      <c r="AI30" s="78" t="s">
        <v>1033</v>
      </c>
      <c r="AL30" s="78">
        <v>2</v>
      </c>
      <c r="AT30" s="78">
        <v>30</v>
      </c>
      <c r="AU30" s="186" t="s">
        <v>22</v>
      </c>
      <c r="AV30" s="78">
        <v>30</v>
      </c>
      <c r="AY30" s="186" t="s">
        <v>968</v>
      </c>
    </row>
    <row r="31" spans="1:51" hidden="1">
      <c r="A31" s="188">
        <v>31</v>
      </c>
      <c r="C31" s="207"/>
      <c r="E31" s="78">
        <v>3</v>
      </c>
      <c r="F31" s="78">
        <v>0.8</v>
      </c>
      <c r="H31" s="188" t="s">
        <v>1165</v>
      </c>
      <c r="U31" s="78" t="e">
        <f t="shared" si="1"/>
        <v>#VALUE!</v>
      </c>
      <c r="V31" s="187" t="e">
        <f t="shared" si="0"/>
        <v>#VALUE!</v>
      </c>
      <c r="AB31" s="78" t="s">
        <v>624</v>
      </c>
      <c r="AC31" s="78">
        <v>0</v>
      </c>
      <c r="AD31" s="78">
        <v>0</v>
      </c>
      <c r="AE31" s="78">
        <v>40</v>
      </c>
      <c r="AF31" s="78" t="s">
        <v>309</v>
      </c>
      <c r="AG31" s="78">
        <v>1</v>
      </c>
      <c r="AH31" s="78" t="s">
        <v>1012</v>
      </c>
      <c r="AI31" s="78" t="s">
        <v>1056</v>
      </c>
      <c r="AL31" s="78">
        <v>3</v>
      </c>
      <c r="AT31" s="78">
        <v>31</v>
      </c>
      <c r="AU31" s="186" t="s">
        <v>896</v>
      </c>
      <c r="AV31" s="78">
        <v>31</v>
      </c>
      <c r="AY31" s="186" t="s">
        <v>1057</v>
      </c>
    </row>
    <row r="32" spans="1:51" hidden="1">
      <c r="A32" s="188">
        <v>32</v>
      </c>
      <c r="C32" s="207"/>
      <c r="E32" s="78">
        <v>3</v>
      </c>
      <c r="F32" s="78">
        <v>0.8</v>
      </c>
      <c r="H32" s="188" t="s">
        <v>1165</v>
      </c>
      <c r="U32" s="78" t="e">
        <f t="shared" si="1"/>
        <v>#VALUE!</v>
      </c>
      <c r="V32" s="187" t="e">
        <f t="shared" si="0"/>
        <v>#VALUE!</v>
      </c>
      <c r="AB32" s="78" t="s">
        <v>624</v>
      </c>
      <c r="AC32" s="78">
        <v>0</v>
      </c>
      <c r="AD32" s="78">
        <v>0</v>
      </c>
      <c r="AE32" s="78">
        <v>40</v>
      </c>
      <c r="AF32" s="78" t="s">
        <v>309</v>
      </c>
      <c r="AG32" s="78">
        <v>1</v>
      </c>
      <c r="AH32" s="78" t="s">
        <v>1012</v>
      </c>
      <c r="AI32" s="78" t="s">
        <v>1056</v>
      </c>
      <c r="AL32" s="78">
        <v>3</v>
      </c>
      <c r="AT32" s="78">
        <v>32</v>
      </c>
      <c r="AU32" s="78" t="s">
        <v>17</v>
      </c>
      <c r="AV32" s="78">
        <v>32</v>
      </c>
      <c r="AY32" s="78" t="s">
        <v>1058</v>
      </c>
    </row>
    <row r="33" spans="1:48" hidden="1">
      <c r="A33" s="188">
        <v>33</v>
      </c>
      <c r="C33" s="207"/>
      <c r="E33" s="78">
        <v>3</v>
      </c>
      <c r="F33" s="78">
        <v>0.8</v>
      </c>
      <c r="H33" s="188" t="s">
        <v>1165</v>
      </c>
      <c r="U33" s="78" t="e">
        <f t="shared" si="1"/>
        <v>#VALUE!</v>
      </c>
      <c r="V33" s="187" t="e">
        <f t="shared" si="0"/>
        <v>#VALUE!</v>
      </c>
      <c r="AB33" s="78" t="s">
        <v>624</v>
      </c>
      <c r="AC33" s="78">
        <v>0</v>
      </c>
      <c r="AD33" s="78">
        <v>0</v>
      </c>
      <c r="AE33" s="78">
        <v>40</v>
      </c>
      <c r="AF33" s="78" t="s">
        <v>309</v>
      </c>
      <c r="AG33" s="78">
        <v>1</v>
      </c>
      <c r="AH33" s="78" t="s">
        <v>1012</v>
      </c>
      <c r="AI33" s="78" t="s">
        <v>1056</v>
      </c>
      <c r="AL33" s="78">
        <v>3</v>
      </c>
      <c r="AT33" s="78">
        <v>33</v>
      </c>
      <c r="AU33" s="186" t="s">
        <v>152</v>
      </c>
      <c r="AV33" s="78">
        <v>33</v>
      </c>
    </row>
    <row r="34" spans="1:48" hidden="1">
      <c r="A34" s="188">
        <v>34</v>
      </c>
      <c r="C34" s="207"/>
      <c r="E34" s="78">
        <v>3</v>
      </c>
      <c r="F34" s="78">
        <v>0.8</v>
      </c>
      <c r="H34" s="188" t="s">
        <v>1166</v>
      </c>
      <c r="U34" s="78" t="e">
        <f t="shared" si="1"/>
        <v>#VALUE!</v>
      </c>
      <c r="V34" s="187" t="e">
        <f t="shared" si="0"/>
        <v>#VALUE!</v>
      </c>
      <c r="AB34" s="78" t="s">
        <v>624</v>
      </c>
      <c r="AC34" s="78">
        <v>0</v>
      </c>
      <c r="AD34" s="78">
        <v>0</v>
      </c>
      <c r="AE34" s="78">
        <v>40</v>
      </c>
      <c r="AF34" s="78" t="s">
        <v>309</v>
      </c>
      <c r="AG34" s="78">
        <v>1</v>
      </c>
      <c r="AH34" s="78" t="s">
        <v>1012</v>
      </c>
      <c r="AI34" s="78" t="s">
        <v>1056</v>
      </c>
      <c r="AL34" s="78">
        <v>3</v>
      </c>
      <c r="AT34" s="78">
        <v>34</v>
      </c>
      <c r="AU34" s="186" t="s">
        <v>87</v>
      </c>
      <c r="AV34" s="78">
        <v>34</v>
      </c>
    </row>
    <row r="35" spans="1:48" hidden="1">
      <c r="A35" s="188">
        <v>35</v>
      </c>
      <c r="C35" s="207"/>
      <c r="E35" s="78">
        <v>3</v>
      </c>
      <c r="F35" s="78">
        <v>0.8</v>
      </c>
      <c r="H35" s="188" t="s">
        <v>1166</v>
      </c>
      <c r="U35" s="78" t="e">
        <f t="shared" si="1"/>
        <v>#VALUE!</v>
      </c>
      <c r="V35" s="187" t="e">
        <f t="shared" si="0"/>
        <v>#VALUE!</v>
      </c>
      <c r="AB35" s="78" t="s">
        <v>624</v>
      </c>
      <c r="AC35" s="78">
        <v>0</v>
      </c>
      <c r="AD35" s="78">
        <v>0</v>
      </c>
      <c r="AE35" s="78">
        <v>40</v>
      </c>
      <c r="AF35" s="78" t="s">
        <v>309</v>
      </c>
      <c r="AG35" s="78">
        <v>1</v>
      </c>
      <c r="AH35" s="78" t="s">
        <v>1012</v>
      </c>
      <c r="AI35" s="78" t="s">
        <v>1056</v>
      </c>
      <c r="AL35" s="78">
        <v>3</v>
      </c>
      <c r="AT35" s="78">
        <v>35</v>
      </c>
      <c r="AU35" s="186" t="s">
        <v>546</v>
      </c>
      <c r="AV35" s="78">
        <v>35</v>
      </c>
    </row>
    <row r="36" spans="1:48" hidden="1">
      <c r="A36" s="188">
        <v>36</v>
      </c>
      <c r="C36" s="207"/>
      <c r="E36" s="78">
        <v>3</v>
      </c>
      <c r="F36" s="78">
        <v>0.8</v>
      </c>
      <c r="H36" s="188" t="s">
        <v>1166</v>
      </c>
      <c r="U36" s="78" t="e">
        <f t="shared" si="1"/>
        <v>#VALUE!</v>
      </c>
      <c r="V36" s="187" t="e">
        <f t="shared" si="0"/>
        <v>#VALUE!</v>
      </c>
      <c r="AB36" s="78" t="s">
        <v>624</v>
      </c>
      <c r="AC36" s="78">
        <v>0</v>
      </c>
      <c r="AD36" s="78">
        <v>0</v>
      </c>
      <c r="AE36" s="78">
        <v>40</v>
      </c>
      <c r="AF36" s="78" t="s">
        <v>309</v>
      </c>
      <c r="AG36" s="78">
        <v>1</v>
      </c>
      <c r="AH36" s="78" t="s">
        <v>1012</v>
      </c>
      <c r="AI36" s="78" t="s">
        <v>1062</v>
      </c>
      <c r="AL36" s="78">
        <v>3</v>
      </c>
      <c r="AT36" s="78">
        <v>36</v>
      </c>
      <c r="AU36" s="186" t="s">
        <v>908</v>
      </c>
      <c r="AV36" s="78">
        <v>36</v>
      </c>
    </row>
    <row r="37" spans="1:48" hidden="1">
      <c r="A37" s="188">
        <v>37</v>
      </c>
      <c r="C37" s="207"/>
      <c r="E37" s="78">
        <v>3</v>
      </c>
      <c r="F37" s="78">
        <v>0.8</v>
      </c>
      <c r="H37" s="188" t="s">
        <v>1166</v>
      </c>
      <c r="U37" s="78" t="e">
        <f t="shared" si="1"/>
        <v>#VALUE!</v>
      </c>
      <c r="V37" s="187" t="e">
        <f t="shared" si="0"/>
        <v>#VALUE!</v>
      </c>
      <c r="AB37" s="78" t="s">
        <v>624</v>
      </c>
      <c r="AC37" s="78">
        <v>0</v>
      </c>
      <c r="AD37" s="78">
        <v>0</v>
      </c>
      <c r="AE37" s="78">
        <v>40</v>
      </c>
      <c r="AF37" s="78" t="s">
        <v>309</v>
      </c>
      <c r="AG37" s="78">
        <v>1</v>
      </c>
      <c r="AH37" s="78" t="s">
        <v>1012</v>
      </c>
      <c r="AI37" s="78" t="s">
        <v>1062</v>
      </c>
      <c r="AL37" s="78">
        <v>3</v>
      </c>
      <c r="AT37" s="78">
        <v>37</v>
      </c>
      <c r="AU37" s="186" t="s">
        <v>949</v>
      </c>
      <c r="AV37" s="78">
        <v>37</v>
      </c>
    </row>
    <row r="38" spans="1:48" hidden="1">
      <c r="A38" s="188">
        <v>38</v>
      </c>
      <c r="C38" s="207"/>
      <c r="E38" s="78">
        <v>3</v>
      </c>
      <c r="F38" s="78">
        <v>0.8</v>
      </c>
      <c r="H38" s="188" t="s">
        <v>1166</v>
      </c>
      <c r="U38" s="78" t="e">
        <f t="shared" si="1"/>
        <v>#VALUE!</v>
      </c>
      <c r="V38" s="187" t="e">
        <f t="shared" si="0"/>
        <v>#VALUE!</v>
      </c>
      <c r="AB38" s="78" t="s">
        <v>624</v>
      </c>
      <c r="AC38" s="78">
        <v>0</v>
      </c>
      <c r="AD38" s="78">
        <v>0</v>
      </c>
      <c r="AE38" s="78">
        <v>40</v>
      </c>
      <c r="AF38" s="78" t="s">
        <v>309</v>
      </c>
      <c r="AG38" s="78">
        <v>1</v>
      </c>
      <c r="AH38" s="78" t="s">
        <v>1012</v>
      </c>
      <c r="AI38" s="78" t="s">
        <v>1062</v>
      </c>
      <c r="AL38" s="78">
        <v>3</v>
      </c>
      <c r="AT38" s="78">
        <v>38</v>
      </c>
      <c r="AU38" s="186" t="s">
        <v>1002</v>
      </c>
      <c r="AV38" s="78">
        <v>38</v>
      </c>
    </row>
    <row r="39" spans="1:48" hidden="1">
      <c r="A39" s="188">
        <v>39</v>
      </c>
      <c r="C39" s="207"/>
      <c r="E39" s="78">
        <v>3</v>
      </c>
      <c r="F39" s="78">
        <v>0.8</v>
      </c>
      <c r="H39" s="188" t="s">
        <v>1167</v>
      </c>
      <c r="U39" s="78" t="e">
        <f t="shared" si="1"/>
        <v>#VALUE!</v>
      </c>
      <c r="V39" s="187" t="e">
        <f t="shared" si="0"/>
        <v>#VALUE!</v>
      </c>
      <c r="AB39" s="78" t="s">
        <v>624</v>
      </c>
      <c r="AC39" s="78">
        <v>0</v>
      </c>
      <c r="AD39" s="78">
        <v>0</v>
      </c>
      <c r="AE39" s="78">
        <v>40</v>
      </c>
      <c r="AF39" s="78" t="s">
        <v>309</v>
      </c>
      <c r="AG39" s="78">
        <v>1</v>
      </c>
      <c r="AH39" s="78" t="s">
        <v>1012</v>
      </c>
      <c r="AI39" s="78" t="s">
        <v>1062</v>
      </c>
      <c r="AL39" s="78">
        <v>3</v>
      </c>
      <c r="AT39" s="78">
        <v>39</v>
      </c>
      <c r="AU39" s="186" t="s">
        <v>1036</v>
      </c>
      <c r="AV39" s="78">
        <v>39</v>
      </c>
    </row>
    <row r="40" spans="1:48" hidden="1">
      <c r="A40" s="188">
        <v>40</v>
      </c>
      <c r="C40" s="207"/>
      <c r="E40" s="78">
        <v>3</v>
      </c>
      <c r="F40" s="208">
        <v>1</v>
      </c>
      <c r="H40" s="188" t="s">
        <v>1623</v>
      </c>
      <c r="U40" s="78" t="e">
        <f t="shared" si="1"/>
        <v>#VALUE!</v>
      </c>
      <c r="V40" s="187" t="e">
        <f t="shared" si="0"/>
        <v>#VALUE!</v>
      </c>
      <c r="AB40" s="78" t="s">
        <v>624</v>
      </c>
      <c r="AC40" s="78">
        <v>0</v>
      </c>
      <c r="AD40" s="78">
        <v>0</v>
      </c>
      <c r="AE40" s="78">
        <v>40</v>
      </c>
      <c r="AF40" s="78" t="s">
        <v>309</v>
      </c>
      <c r="AG40" s="78">
        <v>1</v>
      </c>
      <c r="AH40" s="78" t="s">
        <v>1012</v>
      </c>
      <c r="AI40" s="78" t="s">
        <v>1062</v>
      </c>
      <c r="AL40" s="78">
        <v>3</v>
      </c>
      <c r="AT40" s="78">
        <v>40</v>
      </c>
      <c r="AU40" s="186" t="s">
        <v>158</v>
      </c>
      <c r="AV40" s="78">
        <v>40</v>
      </c>
    </row>
    <row r="41" spans="1:48" hidden="1">
      <c r="A41" s="188">
        <v>41</v>
      </c>
      <c r="C41" s="207"/>
      <c r="E41" s="78">
        <v>3</v>
      </c>
      <c r="F41" s="78">
        <v>1</v>
      </c>
      <c r="H41" s="188" t="s">
        <v>1623</v>
      </c>
      <c r="U41" s="78" t="e">
        <f t="shared" si="1"/>
        <v>#VALUE!</v>
      </c>
      <c r="V41" s="187" t="e">
        <f t="shared" si="0"/>
        <v>#VALUE!</v>
      </c>
      <c r="AB41" s="78" t="s">
        <v>624</v>
      </c>
      <c r="AC41" s="78">
        <v>0</v>
      </c>
      <c r="AD41" s="78">
        <v>0</v>
      </c>
      <c r="AE41" s="78">
        <v>40</v>
      </c>
      <c r="AF41" s="78" t="s">
        <v>309</v>
      </c>
      <c r="AG41" s="78">
        <v>1</v>
      </c>
      <c r="AH41" s="78" t="s">
        <v>1012</v>
      </c>
      <c r="AI41" s="78" t="s">
        <v>1062</v>
      </c>
      <c r="AL41" s="78">
        <v>3</v>
      </c>
      <c r="AT41" s="78">
        <v>41</v>
      </c>
      <c r="AU41" s="186" t="s">
        <v>277</v>
      </c>
      <c r="AV41" s="78">
        <v>41</v>
      </c>
    </row>
    <row r="42" spans="1:48" hidden="1">
      <c r="A42" s="188">
        <v>42</v>
      </c>
      <c r="C42" s="207"/>
      <c r="E42" s="78">
        <v>3</v>
      </c>
      <c r="F42" s="208">
        <v>1</v>
      </c>
      <c r="H42" s="188" t="s">
        <v>1623</v>
      </c>
      <c r="U42" s="78" t="e">
        <f t="shared" si="1"/>
        <v>#VALUE!</v>
      </c>
      <c r="V42" s="187" t="e">
        <f t="shared" si="0"/>
        <v>#VALUE!</v>
      </c>
      <c r="AB42" s="78" t="s">
        <v>624</v>
      </c>
      <c r="AC42" s="78">
        <v>0</v>
      </c>
      <c r="AD42" s="78">
        <v>0</v>
      </c>
      <c r="AE42" s="78">
        <v>40</v>
      </c>
      <c r="AF42" s="78" t="s">
        <v>309</v>
      </c>
      <c r="AG42" s="78">
        <v>1</v>
      </c>
      <c r="AH42" s="78" t="s">
        <v>1012</v>
      </c>
      <c r="AI42" s="78" t="s">
        <v>1062</v>
      </c>
      <c r="AL42" s="78">
        <v>3</v>
      </c>
      <c r="AT42" s="78">
        <v>42</v>
      </c>
      <c r="AU42" s="78" t="s">
        <v>264</v>
      </c>
      <c r="AV42" s="78">
        <v>42</v>
      </c>
    </row>
    <row r="43" spans="1:48" hidden="1">
      <c r="A43" s="188">
        <v>43</v>
      </c>
      <c r="C43" s="207"/>
      <c r="E43" s="78">
        <v>3</v>
      </c>
      <c r="F43" s="78">
        <v>1</v>
      </c>
      <c r="H43" s="188" t="s">
        <v>1623</v>
      </c>
      <c r="U43" s="78" t="e">
        <f t="shared" si="1"/>
        <v>#VALUE!</v>
      </c>
      <c r="V43" s="187" t="e">
        <f t="shared" si="0"/>
        <v>#VALUE!</v>
      </c>
      <c r="AB43" s="78" t="s">
        <v>624</v>
      </c>
      <c r="AC43" s="78">
        <v>0</v>
      </c>
      <c r="AD43" s="78">
        <v>0</v>
      </c>
      <c r="AE43" s="78">
        <v>40</v>
      </c>
      <c r="AF43" s="78" t="s">
        <v>309</v>
      </c>
      <c r="AG43" s="78">
        <v>1</v>
      </c>
      <c r="AH43" s="78" t="s">
        <v>1012</v>
      </c>
      <c r="AI43" s="78" t="s">
        <v>1062</v>
      </c>
      <c r="AL43" s="78">
        <v>3</v>
      </c>
      <c r="AT43" s="78">
        <v>43</v>
      </c>
      <c r="AU43" s="186" t="s">
        <v>1039</v>
      </c>
      <c r="AV43" s="78">
        <v>43</v>
      </c>
    </row>
    <row r="44" spans="1:48" hidden="1">
      <c r="A44" s="188">
        <v>44</v>
      </c>
      <c r="C44" s="106"/>
      <c r="E44" s="78">
        <v>3</v>
      </c>
      <c r="F44" s="208">
        <v>1</v>
      </c>
      <c r="H44" s="188" t="s">
        <v>1623</v>
      </c>
      <c r="U44" s="78" t="e">
        <f t="shared" si="1"/>
        <v>#VALUE!</v>
      </c>
      <c r="V44" s="187" t="e">
        <f t="shared" si="0"/>
        <v>#VALUE!</v>
      </c>
      <c r="AB44" s="78" t="s">
        <v>624</v>
      </c>
      <c r="AC44" s="78">
        <v>0</v>
      </c>
      <c r="AD44" s="78">
        <v>0</v>
      </c>
      <c r="AE44" s="78">
        <v>40</v>
      </c>
      <c r="AF44" s="78" t="s">
        <v>309</v>
      </c>
      <c r="AG44" s="78">
        <v>1</v>
      </c>
      <c r="AH44" s="78" t="s">
        <v>1012</v>
      </c>
      <c r="AI44" s="78" t="s">
        <v>1062</v>
      </c>
      <c r="AL44" s="78">
        <v>3</v>
      </c>
      <c r="AT44" s="78">
        <v>44</v>
      </c>
      <c r="AU44" s="186" t="s">
        <v>1021</v>
      </c>
      <c r="AV44" s="78">
        <v>44</v>
      </c>
    </row>
    <row r="45" spans="1:48" hidden="1">
      <c r="A45" s="188">
        <v>45</v>
      </c>
      <c r="E45" s="78">
        <v>3</v>
      </c>
      <c r="F45" s="78">
        <v>1</v>
      </c>
      <c r="H45" s="188" t="s">
        <v>1623</v>
      </c>
      <c r="U45" s="78" t="e">
        <f t="shared" si="1"/>
        <v>#VALUE!</v>
      </c>
      <c r="V45" s="187" t="e">
        <f t="shared" si="0"/>
        <v>#VALUE!</v>
      </c>
      <c r="AB45" s="78" t="s">
        <v>624</v>
      </c>
      <c r="AC45" s="78">
        <v>0</v>
      </c>
      <c r="AD45" s="78">
        <v>0</v>
      </c>
      <c r="AE45" s="78">
        <v>40</v>
      </c>
      <c r="AF45" s="78" t="s">
        <v>309</v>
      </c>
      <c r="AG45" s="78">
        <v>1</v>
      </c>
      <c r="AH45" s="78" t="s">
        <v>1012</v>
      </c>
      <c r="AI45" s="78" t="s">
        <v>1062</v>
      </c>
      <c r="AL45" s="78">
        <v>3</v>
      </c>
      <c r="AT45" s="78">
        <v>45</v>
      </c>
      <c r="AU45" s="186" t="s">
        <v>1054</v>
      </c>
      <c r="AV45" s="78">
        <v>45</v>
      </c>
    </row>
    <row r="46" spans="1:48" hidden="1">
      <c r="A46" s="188">
        <v>46</v>
      </c>
      <c r="E46" s="78">
        <v>3</v>
      </c>
      <c r="F46" s="208">
        <v>1</v>
      </c>
      <c r="H46" s="188" t="s">
        <v>1624</v>
      </c>
      <c r="U46" s="78" t="e">
        <f t="shared" si="1"/>
        <v>#VALUE!</v>
      </c>
      <c r="V46" s="187" t="e">
        <f t="shared" si="0"/>
        <v>#VALUE!</v>
      </c>
      <c r="AB46" s="78" t="s">
        <v>624</v>
      </c>
      <c r="AC46" s="78">
        <v>0</v>
      </c>
      <c r="AD46" s="78">
        <v>0</v>
      </c>
      <c r="AE46" s="78">
        <v>40</v>
      </c>
      <c r="AF46" s="78" t="s">
        <v>309</v>
      </c>
      <c r="AG46" s="78">
        <v>1</v>
      </c>
      <c r="AH46" s="78" t="s">
        <v>1012</v>
      </c>
      <c r="AI46" s="78" t="s">
        <v>1062</v>
      </c>
      <c r="AL46" s="78">
        <v>3</v>
      </c>
      <c r="AT46" s="78">
        <v>46</v>
      </c>
      <c r="AU46" s="186" t="s">
        <v>920</v>
      </c>
      <c r="AV46" s="78">
        <v>46</v>
      </c>
    </row>
    <row r="47" spans="1:48" hidden="1">
      <c r="A47" s="188">
        <v>47</v>
      </c>
      <c r="E47" s="78">
        <v>3</v>
      </c>
      <c r="F47" s="78">
        <v>1</v>
      </c>
      <c r="H47" s="188" t="s">
        <v>1170</v>
      </c>
      <c r="U47" s="78" t="e">
        <f t="shared" si="1"/>
        <v>#VALUE!</v>
      </c>
      <c r="V47" s="187" t="e">
        <f t="shared" si="0"/>
        <v>#VALUE!</v>
      </c>
      <c r="AB47" s="78" t="s">
        <v>624</v>
      </c>
      <c r="AC47" s="78">
        <v>0</v>
      </c>
      <c r="AD47" s="78">
        <v>0</v>
      </c>
      <c r="AE47" s="78">
        <v>40</v>
      </c>
      <c r="AF47" s="78" t="s">
        <v>309</v>
      </c>
      <c r="AG47" s="78">
        <v>1</v>
      </c>
      <c r="AH47" s="78" t="s">
        <v>1012</v>
      </c>
      <c r="AI47" s="78" t="s">
        <v>1062</v>
      </c>
      <c r="AL47" s="78">
        <v>3</v>
      </c>
      <c r="AT47" s="78">
        <v>47</v>
      </c>
      <c r="AU47" s="186" t="s">
        <v>986</v>
      </c>
      <c r="AV47" s="78">
        <v>47</v>
      </c>
    </row>
    <row r="48" spans="1:48" hidden="1">
      <c r="A48" s="188">
        <v>48</v>
      </c>
      <c r="E48" s="78">
        <v>3</v>
      </c>
      <c r="F48" s="208">
        <v>1</v>
      </c>
      <c r="H48" s="188" t="s">
        <v>1171</v>
      </c>
      <c r="U48" s="78" t="e">
        <f t="shared" si="1"/>
        <v>#VALUE!</v>
      </c>
      <c r="V48" s="187" t="e">
        <f t="shared" si="0"/>
        <v>#VALUE!</v>
      </c>
      <c r="AB48" s="78" t="s">
        <v>624</v>
      </c>
      <c r="AC48" s="78">
        <v>0</v>
      </c>
      <c r="AD48" s="78">
        <v>0</v>
      </c>
      <c r="AE48" s="78">
        <v>40</v>
      </c>
      <c r="AF48" s="78" t="s">
        <v>309</v>
      </c>
      <c r="AG48" s="78">
        <v>1</v>
      </c>
      <c r="AH48" s="78" t="s">
        <v>1012</v>
      </c>
      <c r="AI48" s="78" t="s">
        <v>1062</v>
      </c>
      <c r="AL48" s="78">
        <v>3</v>
      </c>
      <c r="AT48" s="78">
        <v>48</v>
      </c>
      <c r="AU48" s="186" t="s">
        <v>1042</v>
      </c>
      <c r="AV48" s="78">
        <v>48</v>
      </c>
    </row>
    <row r="49" spans="1:48" hidden="1">
      <c r="A49" s="188">
        <v>49</v>
      </c>
      <c r="E49" s="78">
        <v>3</v>
      </c>
      <c r="F49" s="78">
        <v>1</v>
      </c>
      <c r="H49" s="188" t="s">
        <v>1171</v>
      </c>
      <c r="U49" s="78" t="e">
        <f t="shared" si="1"/>
        <v>#VALUE!</v>
      </c>
      <c r="V49" s="187" t="e">
        <f t="shared" si="0"/>
        <v>#VALUE!</v>
      </c>
      <c r="AB49" s="78" t="s">
        <v>624</v>
      </c>
      <c r="AC49" s="78">
        <v>0</v>
      </c>
      <c r="AD49" s="78">
        <v>0</v>
      </c>
      <c r="AE49" s="78">
        <v>40</v>
      </c>
      <c r="AF49" s="78" t="s">
        <v>309</v>
      </c>
      <c r="AG49" s="78">
        <v>1</v>
      </c>
      <c r="AH49" s="78" t="s">
        <v>1012</v>
      </c>
      <c r="AI49" s="78" t="s">
        <v>962</v>
      </c>
      <c r="AL49" s="78">
        <v>3</v>
      </c>
      <c r="AT49" s="78">
        <v>49</v>
      </c>
      <c r="AU49" s="186" t="s">
        <v>34</v>
      </c>
      <c r="AV49" s="78">
        <v>49</v>
      </c>
    </row>
    <row r="50" spans="1:48" hidden="1">
      <c r="A50" s="188">
        <v>50</v>
      </c>
      <c r="E50" s="78">
        <v>3</v>
      </c>
      <c r="F50" s="208">
        <v>1</v>
      </c>
      <c r="H50" s="188" t="s">
        <v>1171</v>
      </c>
      <c r="U50" s="78" t="e">
        <f t="shared" si="1"/>
        <v>#VALUE!</v>
      </c>
      <c r="V50" s="187" t="e">
        <f t="shared" si="0"/>
        <v>#VALUE!</v>
      </c>
      <c r="AB50" s="78" t="s">
        <v>624</v>
      </c>
      <c r="AC50" s="78">
        <v>0</v>
      </c>
      <c r="AD50" s="78">
        <v>0</v>
      </c>
      <c r="AE50" s="78">
        <v>40</v>
      </c>
      <c r="AF50" s="78" t="s">
        <v>309</v>
      </c>
      <c r="AG50" s="78">
        <v>1</v>
      </c>
      <c r="AH50" s="78" t="s">
        <v>1012</v>
      </c>
      <c r="AI50" s="78" t="s">
        <v>962</v>
      </c>
      <c r="AL50" s="78">
        <v>3</v>
      </c>
      <c r="AT50" s="78">
        <v>50</v>
      </c>
      <c r="AU50" s="186" t="s">
        <v>1008</v>
      </c>
      <c r="AV50" s="78">
        <v>50</v>
      </c>
    </row>
    <row r="51" spans="1:48" hidden="1">
      <c r="A51" s="188">
        <v>51</v>
      </c>
      <c r="E51" s="78">
        <v>3</v>
      </c>
      <c r="F51" s="78">
        <v>1</v>
      </c>
      <c r="H51" s="188" t="s">
        <v>1171</v>
      </c>
      <c r="U51" s="78" t="e">
        <f t="shared" si="1"/>
        <v>#VALUE!</v>
      </c>
      <c r="V51" s="187" t="e">
        <f t="shared" si="0"/>
        <v>#VALUE!</v>
      </c>
      <c r="AB51" s="78" t="s">
        <v>1074</v>
      </c>
      <c r="AC51" s="78">
        <v>1</v>
      </c>
      <c r="AD51" s="78">
        <v>5</v>
      </c>
      <c r="AE51" s="78">
        <v>20</v>
      </c>
      <c r="AF51" s="78" t="s">
        <v>309</v>
      </c>
      <c r="AG51" s="78">
        <v>1</v>
      </c>
      <c r="AH51" s="78" t="s">
        <v>1012</v>
      </c>
      <c r="AI51" s="78" t="s">
        <v>962</v>
      </c>
      <c r="AL51" s="78">
        <v>3</v>
      </c>
      <c r="AT51" s="78">
        <v>51</v>
      </c>
      <c r="AU51" s="186" t="s">
        <v>1026</v>
      </c>
      <c r="AV51" s="78">
        <v>51</v>
      </c>
    </row>
    <row r="52" spans="1:48" hidden="1">
      <c r="A52" s="188">
        <v>52</v>
      </c>
      <c r="E52" s="78">
        <v>3</v>
      </c>
      <c r="F52" s="208">
        <v>1</v>
      </c>
      <c r="H52" s="188" t="s">
        <v>1171</v>
      </c>
      <c r="U52" s="78" t="e">
        <f t="shared" si="1"/>
        <v>#VALUE!</v>
      </c>
      <c r="V52" s="187" t="e">
        <f t="shared" si="0"/>
        <v>#VALUE!</v>
      </c>
      <c r="AB52" s="78" t="s">
        <v>1074</v>
      </c>
      <c r="AC52" s="78">
        <v>1</v>
      </c>
      <c r="AD52" s="78">
        <v>5</v>
      </c>
      <c r="AE52" s="78">
        <v>20</v>
      </c>
      <c r="AF52" s="78" t="s">
        <v>309</v>
      </c>
      <c r="AG52" s="78">
        <v>1</v>
      </c>
      <c r="AH52" s="78" t="s">
        <v>1012</v>
      </c>
      <c r="AI52" s="78" t="s">
        <v>962</v>
      </c>
      <c r="AL52" s="78">
        <v>3</v>
      </c>
      <c r="AT52" s="78">
        <v>52</v>
      </c>
      <c r="AU52" s="78" t="s">
        <v>38</v>
      </c>
      <c r="AV52" s="78">
        <v>52</v>
      </c>
    </row>
    <row r="53" spans="1:48" hidden="1">
      <c r="A53" s="188">
        <v>53</v>
      </c>
      <c r="E53" s="78">
        <v>3</v>
      </c>
      <c r="F53" s="78">
        <v>1</v>
      </c>
      <c r="H53" s="188" t="s">
        <v>1171</v>
      </c>
      <c r="U53" s="78" t="e">
        <f t="shared" si="1"/>
        <v>#VALUE!</v>
      </c>
      <c r="V53" s="187" t="e">
        <f t="shared" si="0"/>
        <v>#VALUE!</v>
      </c>
      <c r="AB53" s="78" t="s">
        <v>1074</v>
      </c>
      <c r="AC53" s="78">
        <v>1</v>
      </c>
      <c r="AD53" s="78">
        <v>5</v>
      </c>
      <c r="AE53" s="78">
        <v>20</v>
      </c>
      <c r="AF53" s="78" t="s">
        <v>309</v>
      </c>
      <c r="AG53" s="78">
        <v>1</v>
      </c>
      <c r="AH53" s="78" t="s">
        <v>1012</v>
      </c>
      <c r="AI53" s="78" t="s">
        <v>962</v>
      </c>
      <c r="AL53" s="78">
        <v>3</v>
      </c>
      <c r="AT53" s="78">
        <v>53</v>
      </c>
      <c r="AU53" s="186" t="s">
        <v>25</v>
      </c>
      <c r="AV53" s="78">
        <v>53</v>
      </c>
    </row>
    <row r="54" spans="1:48" hidden="1">
      <c r="A54" s="188">
        <v>54</v>
      </c>
      <c r="E54" s="78">
        <v>3</v>
      </c>
      <c r="F54" s="208">
        <v>1</v>
      </c>
      <c r="H54" s="188" t="s">
        <v>1171</v>
      </c>
      <c r="U54" s="78" t="e">
        <f t="shared" si="1"/>
        <v>#VALUE!</v>
      </c>
      <c r="V54" s="187" t="e">
        <f t="shared" si="0"/>
        <v>#VALUE!</v>
      </c>
      <c r="AB54" s="78" t="s">
        <v>1074</v>
      </c>
      <c r="AC54" s="78">
        <v>1</v>
      </c>
      <c r="AD54" s="78">
        <v>5</v>
      </c>
      <c r="AE54" s="78">
        <v>20</v>
      </c>
      <c r="AF54" s="78" t="s">
        <v>309</v>
      </c>
      <c r="AG54" s="78">
        <v>1</v>
      </c>
      <c r="AH54" s="78" t="s">
        <v>1012</v>
      </c>
      <c r="AI54" s="78" t="s">
        <v>962</v>
      </c>
      <c r="AL54" s="78">
        <v>3</v>
      </c>
      <c r="AT54" s="78">
        <v>54</v>
      </c>
      <c r="AU54" s="186" t="s">
        <v>1047</v>
      </c>
      <c r="AV54" s="78">
        <v>54</v>
      </c>
    </row>
    <row r="55" spans="1:48" hidden="1">
      <c r="A55" s="188">
        <v>55</v>
      </c>
      <c r="E55" s="78">
        <v>3</v>
      </c>
      <c r="F55" s="78">
        <v>1</v>
      </c>
      <c r="H55" s="188" t="s">
        <v>1171</v>
      </c>
      <c r="U55" s="78" t="e">
        <f t="shared" si="1"/>
        <v>#VALUE!</v>
      </c>
      <c r="V55" s="187" t="e">
        <f t="shared" si="0"/>
        <v>#VALUE!</v>
      </c>
      <c r="AB55" s="78" t="s">
        <v>1074</v>
      </c>
      <c r="AC55" s="78">
        <v>1</v>
      </c>
      <c r="AD55" s="78">
        <v>5</v>
      </c>
      <c r="AE55" s="78">
        <v>20</v>
      </c>
      <c r="AF55" s="78" t="s">
        <v>309</v>
      </c>
      <c r="AG55" s="78">
        <v>1</v>
      </c>
      <c r="AH55" s="78" t="s">
        <v>1012</v>
      </c>
      <c r="AI55" s="78" t="s">
        <v>962</v>
      </c>
      <c r="AL55" s="78">
        <v>3</v>
      </c>
      <c r="AT55" s="78">
        <v>55</v>
      </c>
      <c r="AU55" s="186" t="s">
        <v>1013</v>
      </c>
      <c r="AV55" s="78">
        <v>55</v>
      </c>
    </row>
    <row r="56" spans="1:48" hidden="1">
      <c r="A56" s="188">
        <v>56</v>
      </c>
      <c r="E56" s="78">
        <v>4</v>
      </c>
      <c r="F56" s="208">
        <v>1</v>
      </c>
      <c r="H56" s="188" t="s">
        <v>1171</v>
      </c>
      <c r="U56" s="78" t="e">
        <f t="shared" si="1"/>
        <v>#VALUE!</v>
      </c>
      <c r="V56" s="187" t="e">
        <f t="shared" si="0"/>
        <v>#VALUE!</v>
      </c>
      <c r="AB56" s="78" t="s">
        <v>1074</v>
      </c>
      <c r="AC56" s="78">
        <v>1</v>
      </c>
      <c r="AD56" s="78">
        <v>5</v>
      </c>
      <c r="AE56" s="78">
        <v>20</v>
      </c>
      <c r="AF56" s="78" t="s">
        <v>967</v>
      </c>
      <c r="AG56" s="78">
        <v>1.2</v>
      </c>
      <c r="AH56" s="78" t="s">
        <v>1012</v>
      </c>
      <c r="AI56" s="78" t="s">
        <v>962</v>
      </c>
      <c r="AL56" s="78">
        <v>4</v>
      </c>
      <c r="AT56" s="78">
        <v>56</v>
      </c>
      <c r="AU56" s="186" t="s">
        <v>994</v>
      </c>
      <c r="AV56" s="78">
        <v>56</v>
      </c>
    </row>
    <row r="57" spans="1:48" hidden="1">
      <c r="A57" s="188">
        <v>57</v>
      </c>
      <c r="E57" s="78">
        <v>4</v>
      </c>
      <c r="F57" s="78">
        <v>1</v>
      </c>
      <c r="H57" s="188" t="s">
        <v>1171</v>
      </c>
      <c r="U57" s="78" t="e">
        <f t="shared" si="1"/>
        <v>#VALUE!</v>
      </c>
      <c r="V57" s="187" t="e">
        <f t="shared" si="0"/>
        <v>#VALUE!</v>
      </c>
      <c r="AB57" s="78" t="s">
        <v>1074</v>
      </c>
      <c r="AC57" s="78">
        <v>1</v>
      </c>
      <c r="AD57" s="78">
        <v>5</v>
      </c>
      <c r="AE57" s="78">
        <v>20</v>
      </c>
      <c r="AF57" s="78" t="s">
        <v>967</v>
      </c>
      <c r="AG57" s="78">
        <v>1.2</v>
      </c>
      <c r="AH57" s="78" t="s">
        <v>1012</v>
      </c>
      <c r="AI57" s="78" t="s">
        <v>962</v>
      </c>
      <c r="AL57" s="78">
        <v>4</v>
      </c>
      <c r="AT57" s="78">
        <v>57</v>
      </c>
      <c r="AU57" s="186" t="s">
        <v>1057</v>
      </c>
      <c r="AV57" s="78">
        <v>57</v>
      </c>
    </row>
    <row r="58" spans="1:48" hidden="1">
      <c r="A58" s="188">
        <v>58</v>
      </c>
      <c r="E58" s="78">
        <v>4</v>
      </c>
      <c r="F58" s="208">
        <v>1</v>
      </c>
      <c r="H58" s="188" t="s">
        <v>1171</v>
      </c>
      <c r="U58" s="78" t="e">
        <f t="shared" si="1"/>
        <v>#VALUE!</v>
      </c>
      <c r="V58" s="187" t="e">
        <f t="shared" si="0"/>
        <v>#VALUE!</v>
      </c>
      <c r="AB58" s="78" t="s">
        <v>1074</v>
      </c>
      <c r="AC58" s="78">
        <v>1</v>
      </c>
      <c r="AD58" s="78">
        <v>5</v>
      </c>
      <c r="AE58" s="78">
        <v>20</v>
      </c>
      <c r="AF58" s="78" t="s">
        <v>967</v>
      </c>
      <c r="AG58" s="78">
        <v>1.2</v>
      </c>
      <c r="AH58" s="78" t="s">
        <v>1012</v>
      </c>
      <c r="AI58" s="78" t="s">
        <v>962</v>
      </c>
      <c r="AL58" s="78">
        <v>4</v>
      </c>
      <c r="AT58" s="78">
        <v>58</v>
      </c>
      <c r="AU58" s="186" t="s">
        <v>1045</v>
      </c>
      <c r="AV58" s="78">
        <v>58</v>
      </c>
    </row>
    <row r="59" spans="1:48" hidden="1">
      <c r="A59" s="188">
        <v>59</v>
      </c>
      <c r="E59" s="78">
        <v>4</v>
      </c>
      <c r="F59" s="78">
        <v>1</v>
      </c>
      <c r="H59" s="188" t="s">
        <v>1171</v>
      </c>
      <c r="U59" s="78" t="e">
        <f t="shared" si="1"/>
        <v>#VALUE!</v>
      </c>
      <c r="V59" s="187" t="e">
        <f t="shared" si="0"/>
        <v>#VALUE!</v>
      </c>
      <c r="AB59" s="78" t="s">
        <v>1074</v>
      </c>
      <c r="AC59" s="78">
        <v>1</v>
      </c>
      <c r="AD59" s="78">
        <v>5</v>
      </c>
      <c r="AE59" s="78">
        <v>20</v>
      </c>
      <c r="AF59" s="78" t="s">
        <v>967</v>
      </c>
      <c r="AG59" s="78">
        <v>1.2</v>
      </c>
      <c r="AH59" s="78" t="s">
        <v>1012</v>
      </c>
      <c r="AI59" s="78" t="s">
        <v>962</v>
      </c>
      <c r="AL59" s="78">
        <v>4</v>
      </c>
      <c r="AT59" s="78">
        <v>59</v>
      </c>
      <c r="AU59" s="186" t="s">
        <v>22</v>
      </c>
      <c r="AV59" s="78">
        <v>59</v>
      </c>
    </row>
    <row r="60" spans="1:48" hidden="1">
      <c r="A60" s="188">
        <v>60</v>
      </c>
      <c r="E60" s="78">
        <v>4</v>
      </c>
      <c r="F60" s="208">
        <v>1</v>
      </c>
      <c r="H60" s="188" t="s">
        <v>1172</v>
      </c>
      <c r="U60" s="78" t="e">
        <f t="shared" si="1"/>
        <v>#VALUE!</v>
      </c>
      <c r="V60" s="187" t="e">
        <f t="shared" si="0"/>
        <v>#VALUE!</v>
      </c>
      <c r="AB60" s="78" t="s">
        <v>1074</v>
      </c>
      <c r="AC60" s="78">
        <v>1</v>
      </c>
      <c r="AD60" s="78">
        <v>5</v>
      </c>
      <c r="AE60" s="78">
        <v>20</v>
      </c>
      <c r="AF60" s="78" t="s">
        <v>967</v>
      </c>
      <c r="AG60" s="78">
        <v>1.2</v>
      </c>
      <c r="AH60" s="78" t="s">
        <v>1012</v>
      </c>
      <c r="AI60" s="78" t="s">
        <v>962</v>
      </c>
      <c r="AL60" s="78">
        <v>4</v>
      </c>
      <c r="AT60" s="78">
        <v>60</v>
      </c>
      <c r="AU60" s="186" t="s">
        <v>968</v>
      </c>
      <c r="AV60" s="78">
        <v>60</v>
      </c>
    </row>
    <row r="61" spans="1:48" hidden="1">
      <c r="A61" s="188">
        <v>61</v>
      </c>
      <c r="E61" s="78">
        <v>4</v>
      </c>
      <c r="F61" s="78">
        <v>1</v>
      </c>
      <c r="H61" s="188" t="s">
        <v>1172</v>
      </c>
      <c r="U61" s="78" t="e">
        <f t="shared" si="1"/>
        <v>#VALUE!</v>
      </c>
      <c r="V61" s="187" t="e">
        <f t="shared" si="0"/>
        <v>#VALUE!</v>
      </c>
      <c r="AB61" s="78" t="s">
        <v>1074</v>
      </c>
      <c r="AC61" s="78">
        <v>1</v>
      </c>
      <c r="AD61" s="78">
        <v>5</v>
      </c>
      <c r="AE61" s="78">
        <v>20</v>
      </c>
      <c r="AF61" s="78" t="s">
        <v>967</v>
      </c>
      <c r="AG61" s="78">
        <v>1.2</v>
      </c>
      <c r="AH61" s="78" t="s">
        <v>1085</v>
      </c>
      <c r="AI61" s="78" t="s">
        <v>1086</v>
      </c>
      <c r="AL61" s="78">
        <v>4</v>
      </c>
      <c r="AU61" s="78" t="s">
        <v>1087</v>
      </c>
      <c r="AV61" s="78" t="s">
        <v>1088</v>
      </c>
    </row>
    <row r="62" spans="1:48" hidden="1">
      <c r="A62" s="188">
        <v>62</v>
      </c>
      <c r="E62" s="78">
        <v>4</v>
      </c>
      <c r="F62" s="208">
        <v>1</v>
      </c>
      <c r="H62" s="188" t="s">
        <v>1172</v>
      </c>
      <c r="U62" s="78" t="e">
        <f t="shared" si="1"/>
        <v>#VALUE!</v>
      </c>
      <c r="V62" s="187" t="e">
        <f t="shared" si="0"/>
        <v>#VALUE!</v>
      </c>
      <c r="AB62" s="78" t="s">
        <v>1074</v>
      </c>
      <c r="AC62" s="78">
        <v>1</v>
      </c>
      <c r="AD62" s="78">
        <v>5</v>
      </c>
      <c r="AE62" s="78">
        <v>20</v>
      </c>
      <c r="AF62" s="78" t="s">
        <v>967</v>
      </c>
      <c r="AG62" s="78">
        <v>1.2</v>
      </c>
      <c r="AH62" s="78" t="s">
        <v>1085</v>
      </c>
      <c r="AI62" s="78" t="s">
        <v>1086</v>
      </c>
      <c r="AL62" s="78">
        <v>4</v>
      </c>
    </row>
    <row r="63" spans="1:48" hidden="1">
      <c r="A63" s="188">
        <v>63</v>
      </c>
      <c r="E63" s="78">
        <v>4</v>
      </c>
      <c r="F63" s="78">
        <v>1</v>
      </c>
      <c r="H63" s="188" t="s">
        <v>1173</v>
      </c>
      <c r="U63" s="78" t="e">
        <f t="shared" si="1"/>
        <v>#VALUE!</v>
      </c>
      <c r="V63" s="187" t="e">
        <f t="shared" si="0"/>
        <v>#VALUE!</v>
      </c>
      <c r="AB63" s="78" t="s">
        <v>1074</v>
      </c>
      <c r="AC63" s="78">
        <v>1</v>
      </c>
      <c r="AD63" s="78">
        <v>5</v>
      </c>
      <c r="AE63" s="78">
        <v>20</v>
      </c>
      <c r="AF63" s="78" t="s">
        <v>967</v>
      </c>
      <c r="AG63" s="78">
        <v>1.2</v>
      </c>
      <c r="AH63" s="78" t="s">
        <v>1085</v>
      </c>
      <c r="AI63" s="78" t="s">
        <v>1090</v>
      </c>
      <c r="AL63" s="78">
        <v>4</v>
      </c>
    </row>
    <row r="64" spans="1:48" hidden="1">
      <c r="A64" s="188">
        <v>64</v>
      </c>
      <c r="E64" s="78">
        <v>4</v>
      </c>
      <c r="F64" s="208">
        <v>1</v>
      </c>
      <c r="H64" s="188" t="s">
        <v>1625</v>
      </c>
      <c r="U64" s="78" t="e">
        <f t="shared" si="1"/>
        <v>#VALUE!</v>
      </c>
      <c r="V64" s="187" t="e">
        <f t="shared" si="0"/>
        <v>#VALUE!</v>
      </c>
      <c r="AB64" s="78" t="s">
        <v>1074</v>
      </c>
      <c r="AC64" s="78">
        <v>1</v>
      </c>
      <c r="AD64" s="78">
        <v>5</v>
      </c>
      <c r="AE64" s="78">
        <v>20</v>
      </c>
      <c r="AF64" s="78" t="s">
        <v>967</v>
      </c>
      <c r="AG64" s="78">
        <v>1.2</v>
      </c>
      <c r="AH64" s="78" t="s">
        <v>1085</v>
      </c>
      <c r="AI64" s="78" t="s">
        <v>1090</v>
      </c>
      <c r="AL64" s="78">
        <v>4</v>
      </c>
    </row>
    <row r="65" spans="1:38" hidden="1">
      <c r="A65" s="188">
        <v>65</v>
      </c>
      <c r="E65" s="78">
        <v>4</v>
      </c>
      <c r="F65" s="78">
        <v>1</v>
      </c>
      <c r="H65" s="188" t="s">
        <v>1625</v>
      </c>
      <c r="U65" s="78" t="e">
        <f t="shared" si="1"/>
        <v>#VALUE!</v>
      </c>
      <c r="V65" s="187" t="e">
        <f t="shared" ref="V65:V100" si="2">LEFT(T65,U65-1)</f>
        <v>#VALUE!</v>
      </c>
      <c r="AB65" s="78" t="s">
        <v>1074</v>
      </c>
      <c r="AC65" s="78">
        <v>1</v>
      </c>
      <c r="AD65" s="78">
        <v>5</v>
      </c>
      <c r="AE65" s="78">
        <v>20</v>
      </c>
      <c r="AF65" s="78" t="s">
        <v>967</v>
      </c>
      <c r="AG65" s="78">
        <v>1.2</v>
      </c>
      <c r="AH65" s="78" t="s">
        <v>1085</v>
      </c>
      <c r="AI65" s="78" t="s">
        <v>1090</v>
      </c>
      <c r="AL65" s="78">
        <v>4</v>
      </c>
    </row>
    <row r="66" spans="1:38" hidden="1">
      <c r="A66" s="188">
        <v>66</v>
      </c>
      <c r="E66" s="78">
        <v>4</v>
      </c>
      <c r="F66" s="208">
        <v>1</v>
      </c>
      <c r="H66" s="188" t="s">
        <v>1625</v>
      </c>
      <c r="U66" s="78" t="e">
        <f t="shared" ref="U66:U100" si="3">FIND(":",T66)</f>
        <v>#VALUE!</v>
      </c>
      <c r="V66" s="187" t="e">
        <f t="shared" si="2"/>
        <v>#VALUE!</v>
      </c>
      <c r="AB66" s="78" t="s">
        <v>1074</v>
      </c>
      <c r="AC66" s="78">
        <v>1</v>
      </c>
      <c r="AD66" s="78">
        <v>5</v>
      </c>
      <c r="AE66" s="78">
        <v>20</v>
      </c>
      <c r="AF66" s="78" t="s">
        <v>967</v>
      </c>
      <c r="AG66" s="78">
        <v>1.2</v>
      </c>
      <c r="AH66" s="78" t="s">
        <v>1085</v>
      </c>
      <c r="AI66" s="78" t="s">
        <v>1094</v>
      </c>
      <c r="AL66" s="78">
        <v>4</v>
      </c>
    </row>
    <row r="67" spans="1:38" hidden="1">
      <c r="A67" s="188">
        <v>67</v>
      </c>
      <c r="E67" s="78">
        <v>4</v>
      </c>
      <c r="F67" s="78">
        <v>1</v>
      </c>
      <c r="H67" s="188" t="s">
        <v>1175</v>
      </c>
      <c r="U67" s="78" t="e">
        <f t="shared" si="3"/>
        <v>#VALUE!</v>
      </c>
      <c r="V67" s="187" t="e">
        <f t="shared" si="2"/>
        <v>#VALUE!</v>
      </c>
      <c r="AB67" s="78" t="s">
        <v>1074</v>
      </c>
      <c r="AC67" s="78">
        <v>1</v>
      </c>
      <c r="AD67" s="78">
        <v>5</v>
      </c>
      <c r="AE67" s="78">
        <v>20</v>
      </c>
      <c r="AF67" s="78" t="s">
        <v>967</v>
      </c>
      <c r="AG67" s="78">
        <v>1.2</v>
      </c>
      <c r="AH67" s="78" t="s">
        <v>1085</v>
      </c>
      <c r="AI67" s="78" t="s">
        <v>1094</v>
      </c>
      <c r="AL67" s="78">
        <v>4</v>
      </c>
    </row>
    <row r="68" spans="1:38" hidden="1">
      <c r="A68" s="188">
        <v>68</v>
      </c>
      <c r="E68" s="78">
        <v>4</v>
      </c>
      <c r="F68" s="208">
        <v>1</v>
      </c>
      <c r="H68" s="188" t="s">
        <v>1175</v>
      </c>
      <c r="U68" s="78" t="e">
        <f t="shared" si="3"/>
        <v>#VALUE!</v>
      </c>
      <c r="V68" s="187" t="e">
        <f t="shared" si="2"/>
        <v>#VALUE!</v>
      </c>
      <c r="AB68" s="78" t="s">
        <v>1074</v>
      </c>
      <c r="AC68" s="78">
        <v>1</v>
      </c>
      <c r="AD68" s="78">
        <v>5</v>
      </c>
      <c r="AE68" s="78">
        <v>20</v>
      </c>
      <c r="AF68" s="78" t="s">
        <v>967</v>
      </c>
      <c r="AG68" s="78">
        <v>1.2</v>
      </c>
      <c r="AH68" s="78" t="s">
        <v>1085</v>
      </c>
      <c r="AI68" s="78" t="s">
        <v>1094</v>
      </c>
      <c r="AL68" s="78">
        <v>4</v>
      </c>
    </row>
    <row r="69" spans="1:38" hidden="1">
      <c r="A69" s="188">
        <v>69</v>
      </c>
      <c r="E69" s="78">
        <v>4</v>
      </c>
      <c r="F69" s="78">
        <v>1</v>
      </c>
      <c r="H69" s="188" t="s">
        <v>1176</v>
      </c>
      <c r="U69" s="78" t="e">
        <f t="shared" si="3"/>
        <v>#VALUE!</v>
      </c>
      <c r="V69" s="187" t="e">
        <f t="shared" si="2"/>
        <v>#VALUE!</v>
      </c>
      <c r="AB69" s="78" t="s">
        <v>1074</v>
      </c>
      <c r="AC69" s="78">
        <v>1</v>
      </c>
      <c r="AD69" s="78">
        <v>5</v>
      </c>
      <c r="AE69" s="78">
        <v>20</v>
      </c>
      <c r="AF69" s="78" t="s">
        <v>967</v>
      </c>
      <c r="AG69" s="78">
        <v>1.2</v>
      </c>
      <c r="AH69" s="78" t="s">
        <v>1085</v>
      </c>
      <c r="AI69" s="78" t="s">
        <v>1094</v>
      </c>
      <c r="AL69" s="78">
        <v>4</v>
      </c>
    </row>
    <row r="70" spans="1:38" hidden="1">
      <c r="A70" s="188">
        <v>70</v>
      </c>
      <c r="E70" s="78">
        <v>4</v>
      </c>
      <c r="F70" s="208">
        <v>1</v>
      </c>
      <c r="H70" s="188" t="s">
        <v>1176</v>
      </c>
      <c r="U70" s="78" t="e">
        <f t="shared" si="3"/>
        <v>#VALUE!</v>
      </c>
      <c r="V70" s="187" t="e">
        <f t="shared" si="2"/>
        <v>#VALUE!</v>
      </c>
      <c r="AB70" s="78" t="s">
        <v>1074</v>
      </c>
      <c r="AC70" s="78">
        <v>1</v>
      </c>
      <c r="AD70" s="78">
        <v>5</v>
      </c>
      <c r="AE70" s="78">
        <v>20</v>
      </c>
      <c r="AF70" s="78" t="s">
        <v>967</v>
      </c>
      <c r="AG70" s="78">
        <v>1.2</v>
      </c>
      <c r="AH70" s="78" t="s">
        <v>1085</v>
      </c>
      <c r="AI70" s="78" t="s">
        <v>1094</v>
      </c>
      <c r="AL70" s="78">
        <v>4</v>
      </c>
    </row>
    <row r="71" spans="1:38" hidden="1">
      <c r="A71" s="188">
        <v>71</v>
      </c>
      <c r="E71" s="78">
        <v>4</v>
      </c>
      <c r="F71" s="78">
        <v>1</v>
      </c>
      <c r="H71" s="188" t="s">
        <v>1176</v>
      </c>
      <c r="U71" s="78" t="e">
        <f t="shared" si="3"/>
        <v>#VALUE!</v>
      </c>
      <c r="V71" s="187" t="e">
        <f t="shared" si="2"/>
        <v>#VALUE!</v>
      </c>
      <c r="AB71" s="78" t="s">
        <v>1074</v>
      </c>
      <c r="AC71" s="78">
        <v>1</v>
      </c>
      <c r="AD71" s="78">
        <v>5</v>
      </c>
      <c r="AE71" s="78">
        <v>20</v>
      </c>
      <c r="AF71" s="78" t="s">
        <v>967</v>
      </c>
      <c r="AG71" s="78">
        <v>1.2</v>
      </c>
      <c r="AH71" s="78" t="s">
        <v>947</v>
      </c>
      <c r="AI71" s="78" t="s">
        <v>1099</v>
      </c>
      <c r="AL71" s="78">
        <v>4</v>
      </c>
    </row>
    <row r="72" spans="1:38" hidden="1">
      <c r="A72" s="188">
        <v>72</v>
      </c>
      <c r="E72" s="78">
        <v>4</v>
      </c>
      <c r="F72" s="208">
        <v>1</v>
      </c>
      <c r="H72" s="188" t="s">
        <v>1176</v>
      </c>
      <c r="U72" s="78" t="e">
        <f t="shared" si="3"/>
        <v>#VALUE!</v>
      </c>
      <c r="V72" s="187" t="e">
        <f t="shared" si="2"/>
        <v>#VALUE!</v>
      </c>
      <c r="AB72" s="78" t="s">
        <v>1074</v>
      </c>
      <c r="AC72" s="78">
        <v>1</v>
      </c>
      <c r="AD72" s="78">
        <v>5</v>
      </c>
      <c r="AE72" s="78">
        <v>20</v>
      </c>
      <c r="AF72" s="78" t="s">
        <v>967</v>
      </c>
      <c r="AG72" s="78">
        <v>1.2</v>
      </c>
      <c r="AH72" s="78" t="s">
        <v>947</v>
      </c>
      <c r="AI72" s="78" t="s">
        <v>1101</v>
      </c>
      <c r="AL72" s="78">
        <v>4</v>
      </c>
    </row>
    <row r="73" spans="1:38" hidden="1">
      <c r="A73" s="188">
        <v>73</v>
      </c>
      <c r="E73" s="78">
        <v>4</v>
      </c>
      <c r="F73" s="78">
        <v>1</v>
      </c>
      <c r="H73" s="188" t="s">
        <v>1177</v>
      </c>
      <c r="U73" s="78" t="e">
        <f t="shared" si="3"/>
        <v>#VALUE!</v>
      </c>
      <c r="V73" s="187" t="e">
        <f t="shared" si="2"/>
        <v>#VALUE!</v>
      </c>
      <c r="AB73" s="78" t="s">
        <v>1074</v>
      </c>
      <c r="AC73" s="78">
        <v>1</v>
      </c>
      <c r="AD73" s="78">
        <v>5</v>
      </c>
      <c r="AE73" s="78">
        <v>20</v>
      </c>
      <c r="AF73" s="78" t="s">
        <v>967</v>
      </c>
      <c r="AG73" s="78">
        <v>1.2</v>
      </c>
      <c r="AH73" s="78" t="s">
        <v>947</v>
      </c>
      <c r="AI73" s="78" t="s">
        <v>1101</v>
      </c>
      <c r="AL73" s="78">
        <v>4</v>
      </c>
    </row>
    <row r="74" spans="1:38" hidden="1">
      <c r="A74" s="188">
        <v>74</v>
      </c>
      <c r="E74" s="78">
        <v>4</v>
      </c>
      <c r="F74" s="208">
        <v>1</v>
      </c>
      <c r="H74" s="188" t="s">
        <v>1177</v>
      </c>
      <c r="U74" s="78" t="e">
        <f t="shared" si="3"/>
        <v>#VALUE!</v>
      </c>
      <c r="V74" s="187" t="e">
        <f t="shared" si="2"/>
        <v>#VALUE!</v>
      </c>
      <c r="AB74" s="78" t="s">
        <v>1074</v>
      </c>
      <c r="AC74" s="78">
        <v>1</v>
      </c>
      <c r="AD74" s="78">
        <v>5</v>
      </c>
      <c r="AE74" s="78">
        <v>20</v>
      </c>
      <c r="AF74" s="78" t="s">
        <v>967</v>
      </c>
      <c r="AG74" s="78">
        <v>1.2</v>
      </c>
      <c r="AH74" s="78" t="s">
        <v>947</v>
      </c>
      <c r="AI74" s="78" t="s">
        <v>1101</v>
      </c>
      <c r="AL74" s="78">
        <v>4</v>
      </c>
    </row>
    <row r="75" spans="1:38" hidden="1">
      <c r="A75" s="188">
        <v>75</v>
      </c>
      <c r="E75" s="78">
        <v>4</v>
      </c>
      <c r="F75" s="78">
        <v>1</v>
      </c>
      <c r="H75" s="188" t="s">
        <v>1626</v>
      </c>
      <c r="U75" s="78" t="e">
        <f t="shared" si="3"/>
        <v>#VALUE!</v>
      </c>
      <c r="V75" s="187" t="e">
        <f t="shared" si="2"/>
        <v>#VALUE!</v>
      </c>
      <c r="AB75" s="78" t="s">
        <v>1074</v>
      </c>
      <c r="AC75" s="78">
        <v>1</v>
      </c>
      <c r="AD75" s="78">
        <v>5</v>
      </c>
      <c r="AE75" s="78">
        <v>20</v>
      </c>
      <c r="AF75" s="78" t="s">
        <v>967</v>
      </c>
      <c r="AG75" s="78">
        <v>1.2</v>
      </c>
      <c r="AH75" s="78" t="s">
        <v>947</v>
      </c>
      <c r="AI75" s="78" t="s">
        <v>1101</v>
      </c>
      <c r="AL75" s="78">
        <v>4</v>
      </c>
    </row>
    <row r="76" spans="1:38" hidden="1">
      <c r="A76" s="188">
        <v>76</v>
      </c>
      <c r="E76" s="78">
        <v>5</v>
      </c>
      <c r="F76" s="208">
        <v>1</v>
      </c>
      <c r="H76" s="188" t="s">
        <v>1626</v>
      </c>
      <c r="U76" s="78" t="e">
        <f t="shared" si="3"/>
        <v>#VALUE!</v>
      </c>
      <c r="V76" s="187" t="e">
        <f t="shared" si="2"/>
        <v>#VALUE!</v>
      </c>
      <c r="AB76" s="78" t="s">
        <v>204</v>
      </c>
      <c r="AC76" s="78">
        <v>2</v>
      </c>
      <c r="AD76" s="78">
        <v>10</v>
      </c>
      <c r="AE76" s="78">
        <v>5</v>
      </c>
      <c r="AF76" s="78" t="s">
        <v>967</v>
      </c>
      <c r="AG76" s="78">
        <v>1.2</v>
      </c>
      <c r="AH76" s="78" t="s">
        <v>1105</v>
      </c>
      <c r="AI76" s="78" t="s">
        <v>1101</v>
      </c>
      <c r="AL76" s="78">
        <v>5</v>
      </c>
    </row>
    <row r="77" spans="1:38" hidden="1">
      <c r="A77" s="188">
        <v>77</v>
      </c>
      <c r="E77" s="78">
        <v>5</v>
      </c>
      <c r="F77" s="78">
        <v>1</v>
      </c>
      <c r="H77" s="188" t="s">
        <v>1626</v>
      </c>
      <c r="U77" s="78" t="e">
        <f t="shared" si="3"/>
        <v>#VALUE!</v>
      </c>
      <c r="V77" s="187" t="e">
        <f t="shared" si="2"/>
        <v>#VALUE!</v>
      </c>
      <c r="AB77" s="78" t="s">
        <v>204</v>
      </c>
      <c r="AC77" s="78">
        <v>2</v>
      </c>
      <c r="AD77" s="78">
        <v>10</v>
      </c>
      <c r="AE77" s="78">
        <v>5</v>
      </c>
      <c r="AF77" s="78" t="s">
        <v>967</v>
      </c>
      <c r="AG77" s="78">
        <v>1.2</v>
      </c>
      <c r="AH77" s="78" t="s">
        <v>1105</v>
      </c>
      <c r="AI77" s="78" t="s">
        <v>1101</v>
      </c>
      <c r="AL77" s="78">
        <v>5</v>
      </c>
    </row>
    <row r="78" spans="1:38" hidden="1">
      <c r="A78" s="188">
        <v>78</v>
      </c>
      <c r="E78" s="78">
        <v>5</v>
      </c>
      <c r="F78" s="208">
        <v>1</v>
      </c>
      <c r="H78" s="188" t="s">
        <v>1626</v>
      </c>
      <c r="U78" s="78" t="e">
        <f t="shared" si="3"/>
        <v>#VALUE!</v>
      </c>
      <c r="V78" s="187" t="e">
        <f t="shared" si="2"/>
        <v>#VALUE!</v>
      </c>
      <c r="AB78" s="78" t="s">
        <v>204</v>
      </c>
      <c r="AC78" s="78">
        <v>2</v>
      </c>
      <c r="AD78" s="78">
        <v>10</v>
      </c>
      <c r="AE78" s="78">
        <v>5</v>
      </c>
      <c r="AF78" s="78" t="s">
        <v>967</v>
      </c>
      <c r="AG78" s="78">
        <v>1.2</v>
      </c>
      <c r="AH78" s="78" t="s">
        <v>1105</v>
      </c>
      <c r="AI78" s="78" t="s">
        <v>1101</v>
      </c>
      <c r="AL78" s="78">
        <v>5</v>
      </c>
    </row>
    <row r="79" spans="1:38" hidden="1">
      <c r="A79" s="188">
        <v>79</v>
      </c>
      <c r="E79" s="78">
        <v>5</v>
      </c>
      <c r="F79" s="78">
        <v>1</v>
      </c>
      <c r="H79" s="188" t="s">
        <v>1179</v>
      </c>
      <c r="U79" s="78" t="e">
        <f t="shared" si="3"/>
        <v>#VALUE!</v>
      </c>
      <c r="V79" s="187" t="e">
        <f t="shared" si="2"/>
        <v>#VALUE!</v>
      </c>
      <c r="AB79" s="78" t="s">
        <v>204</v>
      </c>
      <c r="AC79" s="78">
        <v>2</v>
      </c>
      <c r="AD79" s="78">
        <v>10</v>
      </c>
      <c r="AE79" s="78">
        <v>5</v>
      </c>
      <c r="AF79" s="78" t="s">
        <v>967</v>
      </c>
      <c r="AG79" s="78">
        <v>1.2</v>
      </c>
      <c r="AH79" s="78" t="s">
        <v>1105</v>
      </c>
      <c r="AI79" s="78" t="s">
        <v>1101</v>
      </c>
      <c r="AL79" s="78">
        <v>5</v>
      </c>
    </row>
    <row r="80" spans="1:38" hidden="1">
      <c r="A80" s="188">
        <v>80</v>
      </c>
      <c r="E80" s="78">
        <v>5</v>
      </c>
      <c r="F80" s="208">
        <v>1</v>
      </c>
      <c r="H80" s="188" t="s">
        <v>1179</v>
      </c>
      <c r="U80" s="78" t="e">
        <f t="shared" si="3"/>
        <v>#VALUE!</v>
      </c>
      <c r="V80" s="187" t="e">
        <f t="shared" si="2"/>
        <v>#VALUE!</v>
      </c>
      <c r="AB80" s="78" t="s">
        <v>204</v>
      </c>
      <c r="AC80" s="78">
        <v>2</v>
      </c>
      <c r="AD80" s="78">
        <v>10</v>
      </c>
      <c r="AE80" s="78">
        <v>5</v>
      </c>
      <c r="AF80" s="78" t="s">
        <v>967</v>
      </c>
      <c r="AG80" s="78">
        <v>1.2</v>
      </c>
      <c r="AH80" s="78" t="s">
        <v>1105</v>
      </c>
      <c r="AI80" s="78" t="s">
        <v>1108</v>
      </c>
      <c r="AL80" s="78">
        <v>5</v>
      </c>
    </row>
    <row r="81" spans="1:38" hidden="1">
      <c r="A81" s="188">
        <v>81</v>
      </c>
      <c r="E81" s="78">
        <v>5</v>
      </c>
      <c r="F81" s="78">
        <v>1.1000000000000001</v>
      </c>
      <c r="H81" s="188" t="s">
        <v>1180</v>
      </c>
      <c r="U81" s="78" t="e">
        <f t="shared" si="3"/>
        <v>#VALUE!</v>
      </c>
      <c r="V81" s="187" t="e">
        <f t="shared" si="2"/>
        <v>#VALUE!</v>
      </c>
      <c r="AB81" s="78" t="s">
        <v>204</v>
      </c>
      <c r="AC81" s="78">
        <v>2</v>
      </c>
      <c r="AD81" s="78">
        <v>10</v>
      </c>
      <c r="AE81" s="78">
        <v>5</v>
      </c>
      <c r="AF81" s="78" t="s">
        <v>967</v>
      </c>
      <c r="AG81" s="78">
        <v>1.2</v>
      </c>
      <c r="AH81" s="78" t="s">
        <v>1105</v>
      </c>
      <c r="AI81" s="78" t="s">
        <v>1108</v>
      </c>
      <c r="AL81" s="78">
        <v>5</v>
      </c>
    </row>
    <row r="82" spans="1:38" hidden="1">
      <c r="A82" s="188">
        <v>82</v>
      </c>
      <c r="E82" s="78">
        <v>5</v>
      </c>
      <c r="F82" s="78">
        <v>1.1000000000000001</v>
      </c>
      <c r="H82" s="188" t="s">
        <v>1181</v>
      </c>
      <c r="U82" s="78" t="e">
        <f t="shared" si="3"/>
        <v>#VALUE!</v>
      </c>
      <c r="V82" s="187" t="e">
        <f t="shared" si="2"/>
        <v>#VALUE!</v>
      </c>
      <c r="AB82" s="78" t="s">
        <v>204</v>
      </c>
      <c r="AC82" s="78">
        <v>2</v>
      </c>
      <c r="AD82" s="78">
        <v>10</v>
      </c>
      <c r="AE82" s="78">
        <v>5</v>
      </c>
      <c r="AF82" s="78" t="s">
        <v>967</v>
      </c>
      <c r="AG82" s="78">
        <v>1.2</v>
      </c>
      <c r="AH82" s="78" t="s">
        <v>1105</v>
      </c>
      <c r="AI82" s="78" t="s">
        <v>1108</v>
      </c>
      <c r="AL82" s="78">
        <v>5</v>
      </c>
    </row>
    <row r="83" spans="1:38" hidden="1">
      <c r="A83" s="188">
        <v>83</v>
      </c>
      <c r="E83" s="78">
        <v>5</v>
      </c>
      <c r="F83" s="78">
        <v>1.1000000000000001</v>
      </c>
      <c r="H83" s="188" t="s">
        <v>1181</v>
      </c>
      <c r="U83" s="78" t="e">
        <f t="shared" si="3"/>
        <v>#VALUE!</v>
      </c>
      <c r="V83" s="187" t="e">
        <f t="shared" si="2"/>
        <v>#VALUE!</v>
      </c>
      <c r="AB83" s="78" t="s">
        <v>204</v>
      </c>
      <c r="AC83" s="78">
        <v>2</v>
      </c>
      <c r="AD83" s="78">
        <v>10</v>
      </c>
      <c r="AE83" s="78">
        <v>5</v>
      </c>
      <c r="AF83" s="78" t="s">
        <v>967</v>
      </c>
      <c r="AG83" s="78">
        <v>1.2</v>
      </c>
      <c r="AH83" s="78" t="s">
        <v>1105</v>
      </c>
      <c r="AI83" s="78" t="s">
        <v>1108</v>
      </c>
      <c r="AL83" s="78">
        <v>5</v>
      </c>
    </row>
    <row r="84" spans="1:38" hidden="1">
      <c r="A84" s="188">
        <v>84</v>
      </c>
      <c r="E84" s="78">
        <v>5</v>
      </c>
      <c r="F84" s="78">
        <v>1.1000000000000001</v>
      </c>
      <c r="H84" s="188" t="s">
        <v>1181</v>
      </c>
      <c r="U84" s="78" t="e">
        <f t="shared" si="3"/>
        <v>#VALUE!</v>
      </c>
      <c r="V84" s="187" t="e">
        <f t="shared" si="2"/>
        <v>#VALUE!</v>
      </c>
      <c r="AB84" s="78" t="s">
        <v>204</v>
      </c>
      <c r="AC84" s="78">
        <v>2</v>
      </c>
      <c r="AD84" s="78">
        <v>10</v>
      </c>
      <c r="AE84" s="78">
        <v>5</v>
      </c>
      <c r="AF84" s="78" t="s">
        <v>967</v>
      </c>
      <c r="AG84" s="78">
        <v>1.2</v>
      </c>
      <c r="AH84" s="78" t="s">
        <v>1105</v>
      </c>
      <c r="AI84" s="78" t="s">
        <v>1108</v>
      </c>
      <c r="AL84" s="78">
        <v>5</v>
      </c>
    </row>
    <row r="85" spans="1:38" hidden="1">
      <c r="A85" s="188">
        <v>85</v>
      </c>
      <c r="E85" s="78">
        <v>5</v>
      </c>
      <c r="F85" s="78">
        <v>1.1000000000000001</v>
      </c>
      <c r="H85" s="188" t="s">
        <v>1181</v>
      </c>
      <c r="U85" s="78" t="e">
        <f t="shared" si="3"/>
        <v>#VALUE!</v>
      </c>
      <c r="V85" s="187" t="e">
        <f t="shared" si="2"/>
        <v>#VALUE!</v>
      </c>
      <c r="AB85" s="78" t="s">
        <v>204</v>
      </c>
      <c r="AC85" s="78">
        <v>2</v>
      </c>
      <c r="AD85" s="78">
        <v>10</v>
      </c>
      <c r="AE85" s="78">
        <v>5</v>
      </c>
      <c r="AF85" s="78" t="s">
        <v>967</v>
      </c>
      <c r="AG85" s="78">
        <v>1.2</v>
      </c>
      <c r="AH85" s="78" t="s">
        <v>1105</v>
      </c>
      <c r="AI85" s="78" t="s">
        <v>1108</v>
      </c>
      <c r="AL85" s="78">
        <v>5</v>
      </c>
    </row>
    <row r="86" spans="1:38" hidden="1">
      <c r="A86" s="188">
        <v>86</v>
      </c>
      <c r="E86" s="78">
        <v>5</v>
      </c>
      <c r="F86" s="78">
        <v>1.1000000000000001</v>
      </c>
      <c r="H86" s="188" t="s">
        <v>1181</v>
      </c>
      <c r="U86" s="78" t="e">
        <f t="shared" si="3"/>
        <v>#VALUE!</v>
      </c>
      <c r="V86" s="187" t="e">
        <f t="shared" si="2"/>
        <v>#VALUE!</v>
      </c>
      <c r="AB86" s="78" t="s">
        <v>204</v>
      </c>
      <c r="AC86" s="78">
        <v>2</v>
      </c>
      <c r="AD86" s="78">
        <v>10</v>
      </c>
      <c r="AE86" s="78">
        <v>5</v>
      </c>
      <c r="AF86" s="78" t="s">
        <v>1110</v>
      </c>
      <c r="AG86" s="78">
        <v>1.5</v>
      </c>
      <c r="AH86" s="78" t="s">
        <v>1105</v>
      </c>
      <c r="AI86" s="78" t="s">
        <v>1108</v>
      </c>
      <c r="AL86" s="78">
        <v>5</v>
      </c>
    </row>
    <row r="87" spans="1:38" hidden="1">
      <c r="A87" s="188">
        <v>87</v>
      </c>
      <c r="E87" s="78">
        <v>5</v>
      </c>
      <c r="F87" s="78">
        <v>1.1000000000000001</v>
      </c>
      <c r="H87" s="188" t="s">
        <v>1182</v>
      </c>
      <c r="U87" s="78" t="e">
        <f t="shared" si="3"/>
        <v>#VALUE!</v>
      </c>
      <c r="V87" s="187" t="e">
        <f t="shared" si="2"/>
        <v>#VALUE!</v>
      </c>
      <c r="AB87" s="78" t="s">
        <v>204</v>
      </c>
      <c r="AC87" s="78">
        <v>2</v>
      </c>
      <c r="AD87" s="78">
        <v>10</v>
      </c>
      <c r="AE87" s="78">
        <v>5</v>
      </c>
      <c r="AF87" s="78" t="s">
        <v>1110</v>
      </c>
      <c r="AG87" s="78">
        <v>1.5</v>
      </c>
      <c r="AH87" s="78" t="s">
        <v>1105</v>
      </c>
      <c r="AI87" s="78" t="s">
        <v>1108</v>
      </c>
      <c r="AL87" s="78">
        <v>5</v>
      </c>
    </row>
    <row r="88" spans="1:38" hidden="1">
      <c r="A88" s="188">
        <v>88</v>
      </c>
      <c r="E88" s="78">
        <v>5</v>
      </c>
      <c r="F88" s="78">
        <v>1.1000000000000001</v>
      </c>
      <c r="H88" s="188" t="s">
        <v>1182</v>
      </c>
      <c r="U88" s="78" t="e">
        <f t="shared" si="3"/>
        <v>#VALUE!</v>
      </c>
      <c r="V88" s="187" t="e">
        <f t="shared" si="2"/>
        <v>#VALUE!</v>
      </c>
      <c r="AB88" s="78" t="s">
        <v>204</v>
      </c>
      <c r="AC88" s="78">
        <v>2</v>
      </c>
      <c r="AD88" s="78">
        <v>10</v>
      </c>
      <c r="AE88" s="78">
        <v>5</v>
      </c>
      <c r="AF88" s="78" t="s">
        <v>1110</v>
      </c>
      <c r="AG88" s="78">
        <v>1.5</v>
      </c>
      <c r="AH88" s="78" t="s">
        <v>1105</v>
      </c>
      <c r="AI88" s="78" t="s">
        <v>1108</v>
      </c>
      <c r="AL88" s="78">
        <v>5</v>
      </c>
    </row>
    <row r="89" spans="1:38" hidden="1">
      <c r="A89" s="188">
        <v>89</v>
      </c>
      <c r="E89" s="78">
        <v>5</v>
      </c>
      <c r="F89" s="78">
        <v>1.1000000000000001</v>
      </c>
      <c r="H89" s="188" t="s">
        <v>1182</v>
      </c>
      <c r="U89" s="78" t="e">
        <f t="shared" si="3"/>
        <v>#VALUE!</v>
      </c>
      <c r="V89" s="187" t="e">
        <f t="shared" si="2"/>
        <v>#VALUE!</v>
      </c>
      <c r="AB89" s="78" t="s">
        <v>204</v>
      </c>
      <c r="AC89" s="78">
        <v>2</v>
      </c>
      <c r="AD89" s="78">
        <v>10</v>
      </c>
      <c r="AE89" s="78">
        <v>5</v>
      </c>
      <c r="AF89" s="78" t="s">
        <v>1110</v>
      </c>
      <c r="AG89" s="78">
        <v>1.5</v>
      </c>
      <c r="AH89" s="78" t="s">
        <v>1105</v>
      </c>
      <c r="AI89" s="78" t="s">
        <v>1108</v>
      </c>
      <c r="AL89" s="78">
        <v>5</v>
      </c>
    </row>
    <row r="90" spans="1:38" hidden="1">
      <c r="A90" s="188">
        <v>90</v>
      </c>
      <c r="E90" s="78">
        <v>5</v>
      </c>
      <c r="F90" s="78">
        <v>1.1000000000000001</v>
      </c>
      <c r="H90" s="188" t="s">
        <v>1182</v>
      </c>
      <c r="U90" s="78" t="e">
        <f t="shared" si="3"/>
        <v>#VALUE!</v>
      </c>
      <c r="V90" s="187" t="e">
        <f t="shared" si="2"/>
        <v>#VALUE!</v>
      </c>
      <c r="AB90" s="78" t="s">
        <v>204</v>
      </c>
      <c r="AC90" s="78">
        <v>2</v>
      </c>
      <c r="AD90" s="78">
        <v>10</v>
      </c>
      <c r="AE90" s="78">
        <v>5</v>
      </c>
      <c r="AF90" s="78" t="s">
        <v>1110</v>
      </c>
      <c r="AG90" s="78">
        <v>1.5</v>
      </c>
      <c r="AH90" s="78" t="s">
        <v>1105</v>
      </c>
      <c r="AI90" s="78" t="s">
        <v>1108</v>
      </c>
      <c r="AL90" s="78">
        <v>5</v>
      </c>
    </row>
    <row r="91" spans="1:38" hidden="1">
      <c r="A91" s="188">
        <v>91</v>
      </c>
      <c r="E91" s="78">
        <v>6</v>
      </c>
      <c r="F91" s="78">
        <v>1.1000000000000001</v>
      </c>
      <c r="H91" s="188" t="s">
        <v>1183</v>
      </c>
      <c r="U91" s="78" t="e">
        <f t="shared" si="3"/>
        <v>#VALUE!</v>
      </c>
      <c r="V91" s="187" t="e">
        <f t="shared" si="2"/>
        <v>#VALUE!</v>
      </c>
      <c r="AB91" s="78" t="s">
        <v>208</v>
      </c>
      <c r="AC91" s="78">
        <v>-1</v>
      </c>
      <c r="AD91" s="78">
        <v>-10</v>
      </c>
      <c r="AE91" s="78">
        <v>30</v>
      </c>
      <c r="AF91" s="78" t="s">
        <v>1110</v>
      </c>
      <c r="AG91" s="78">
        <v>1.5</v>
      </c>
      <c r="AH91" s="78" t="s">
        <v>1105</v>
      </c>
      <c r="AI91" s="78" t="s">
        <v>1108</v>
      </c>
      <c r="AL91" s="78">
        <v>6</v>
      </c>
    </row>
    <row r="92" spans="1:38" hidden="1">
      <c r="A92" s="188">
        <v>92</v>
      </c>
      <c r="E92" s="78">
        <v>6</v>
      </c>
      <c r="F92" s="78">
        <v>1.1000000000000001</v>
      </c>
      <c r="H92" s="188" t="s">
        <v>1183</v>
      </c>
      <c r="U92" s="78" t="e">
        <f t="shared" si="3"/>
        <v>#VALUE!</v>
      </c>
      <c r="V92" s="187" t="e">
        <f t="shared" si="2"/>
        <v>#VALUE!</v>
      </c>
      <c r="AB92" s="78" t="s">
        <v>208</v>
      </c>
      <c r="AC92" s="78">
        <v>-1</v>
      </c>
      <c r="AD92" s="78">
        <v>-10</v>
      </c>
      <c r="AE92" s="78">
        <v>30</v>
      </c>
      <c r="AF92" s="78" t="s">
        <v>1110</v>
      </c>
      <c r="AG92" s="78">
        <v>1.5</v>
      </c>
      <c r="AH92" s="78" t="s">
        <v>1105</v>
      </c>
      <c r="AI92" s="78" t="s">
        <v>1108</v>
      </c>
      <c r="AL92" s="78">
        <v>6</v>
      </c>
    </row>
    <row r="93" spans="1:38" hidden="1">
      <c r="A93" s="188">
        <v>93</v>
      </c>
      <c r="E93" s="78">
        <v>6</v>
      </c>
      <c r="F93" s="78">
        <v>1.1000000000000001</v>
      </c>
      <c r="H93" s="188" t="s">
        <v>1183</v>
      </c>
      <c r="U93" s="78" t="e">
        <f t="shared" si="3"/>
        <v>#VALUE!</v>
      </c>
      <c r="V93" s="187" t="e">
        <f t="shared" si="2"/>
        <v>#VALUE!</v>
      </c>
      <c r="AB93" s="78" t="s">
        <v>208</v>
      </c>
      <c r="AC93" s="78">
        <v>-1</v>
      </c>
      <c r="AD93" s="78">
        <v>-10</v>
      </c>
      <c r="AE93" s="78">
        <v>30</v>
      </c>
      <c r="AF93" s="78" t="s">
        <v>1110</v>
      </c>
      <c r="AG93" s="78">
        <v>1.5</v>
      </c>
      <c r="AH93" s="78" t="s">
        <v>1105</v>
      </c>
      <c r="AI93" s="78" t="s">
        <v>1108</v>
      </c>
      <c r="AL93" s="78">
        <v>6</v>
      </c>
    </row>
    <row r="94" spans="1:38" hidden="1">
      <c r="A94" s="188">
        <v>94</v>
      </c>
      <c r="E94" s="78">
        <v>6</v>
      </c>
      <c r="F94" s="78">
        <v>1.1000000000000001</v>
      </c>
      <c r="H94" s="188" t="s">
        <v>1184</v>
      </c>
      <c r="U94" s="78" t="e">
        <f t="shared" si="3"/>
        <v>#VALUE!</v>
      </c>
      <c r="V94" s="187" t="e">
        <f t="shared" si="2"/>
        <v>#VALUE!</v>
      </c>
      <c r="AB94" s="78" t="s">
        <v>208</v>
      </c>
      <c r="AC94" s="78">
        <v>-1</v>
      </c>
      <c r="AD94" s="78">
        <v>-10</v>
      </c>
      <c r="AE94" s="78">
        <v>30</v>
      </c>
      <c r="AF94" s="78" t="s">
        <v>1110</v>
      </c>
      <c r="AG94" s="78">
        <v>1.5</v>
      </c>
      <c r="AH94" s="78" t="s">
        <v>1105</v>
      </c>
      <c r="AI94" s="78" t="s">
        <v>1108</v>
      </c>
      <c r="AL94" s="78">
        <v>6</v>
      </c>
    </row>
    <row r="95" spans="1:38" hidden="1">
      <c r="A95" s="188">
        <v>95</v>
      </c>
      <c r="E95" s="78">
        <v>7</v>
      </c>
      <c r="F95" s="78">
        <v>1.1000000000000001</v>
      </c>
      <c r="H95" s="188" t="s">
        <v>1185</v>
      </c>
      <c r="U95" s="78" t="e">
        <f t="shared" si="3"/>
        <v>#VALUE!</v>
      </c>
      <c r="V95" s="187" t="e">
        <f t="shared" si="2"/>
        <v>#VALUE!</v>
      </c>
      <c r="AB95" s="78" t="s">
        <v>208</v>
      </c>
      <c r="AC95" s="78">
        <v>-1</v>
      </c>
      <c r="AD95" s="78">
        <v>-10</v>
      </c>
      <c r="AE95" s="78">
        <v>30</v>
      </c>
      <c r="AF95" s="78" t="s">
        <v>1110</v>
      </c>
      <c r="AG95" s="78">
        <v>1.5</v>
      </c>
      <c r="AH95" s="78" t="s">
        <v>1105</v>
      </c>
      <c r="AI95" s="78" t="s">
        <v>1108</v>
      </c>
      <c r="AL95" s="78">
        <v>7</v>
      </c>
    </row>
    <row r="96" spans="1:38" hidden="1">
      <c r="A96" s="188">
        <v>96</v>
      </c>
      <c r="E96" s="78">
        <v>7</v>
      </c>
      <c r="F96" s="78">
        <v>1.3</v>
      </c>
      <c r="H96" s="188" t="s">
        <v>1186</v>
      </c>
      <c r="U96" s="78" t="e">
        <f t="shared" si="3"/>
        <v>#VALUE!</v>
      </c>
      <c r="V96" s="187" t="e">
        <f t="shared" si="2"/>
        <v>#VALUE!</v>
      </c>
      <c r="AB96" s="78" t="s">
        <v>208</v>
      </c>
      <c r="AC96" s="78">
        <v>-1</v>
      </c>
      <c r="AD96" s="78">
        <v>-10</v>
      </c>
      <c r="AE96" s="78">
        <v>30</v>
      </c>
      <c r="AF96" s="78" t="s">
        <v>1110</v>
      </c>
      <c r="AG96" s="78">
        <v>1.5</v>
      </c>
      <c r="AH96" s="78" t="s">
        <v>1105</v>
      </c>
      <c r="AI96" s="78" t="s">
        <v>1108</v>
      </c>
      <c r="AL96" s="78">
        <v>7</v>
      </c>
    </row>
    <row r="97" spans="1:59" hidden="1">
      <c r="A97" s="188">
        <v>97</v>
      </c>
      <c r="E97" s="78">
        <v>7</v>
      </c>
      <c r="F97" s="78">
        <v>1.3</v>
      </c>
      <c r="H97" s="188" t="s">
        <v>1187</v>
      </c>
      <c r="U97" s="78" t="e">
        <f t="shared" si="3"/>
        <v>#VALUE!</v>
      </c>
      <c r="V97" s="187" t="e">
        <f t="shared" si="2"/>
        <v>#VALUE!</v>
      </c>
      <c r="AB97" s="78" t="s">
        <v>208</v>
      </c>
      <c r="AC97" s="78">
        <v>-1</v>
      </c>
      <c r="AD97" s="78">
        <v>-10</v>
      </c>
      <c r="AE97" s="78">
        <v>30</v>
      </c>
      <c r="AF97" s="78" t="s">
        <v>1110</v>
      </c>
      <c r="AG97" s="78">
        <v>1.5</v>
      </c>
      <c r="AH97" s="78" t="s">
        <v>1105</v>
      </c>
      <c r="AI97" s="78" t="s">
        <v>1108</v>
      </c>
      <c r="AL97" s="78">
        <v>7</v>
      </c>
    </row>
    <row r="98" spans="1:59" hidden="1">
      <c r="A98" s="188">
        <v>98</v>
      </c>
      <c r="E98" s="78">
        <v>8</v>
      </c>
      <c r="F98" s="78">
        <v>1.3</v>
      </c>
      <c r="H98" s="188" t="s">
        <v>1188</v>
      </c>
      <c r="U98" s="78" t="e">
        <f t="shared" si="3"/>
        <v>#VALUE!</v>
      </c>
      <c r="V98" s="187" t="e">
        <f t="shared" si="2"/>
        <v>#VALUE!</v>
      </c>
      <c r="AB98" s="78" t="s">
        <v>208</v>
      </c>
      <c r="AC98" s="78">
        <v>-1</v>
      </c>
      <c r="AD98" s="78">
        <v>-10</v>
      </c>
      <c r="AE98" s="78">
        <v>30</v>
      </c>
      <c r="AF98" s="78" t="s">
        <v>1110</v>
      </c>
      <c r="AG98" s="78">
        <v>1.5</v>
      </c>
      <c r="AH98" s="78" t="s">
        <v>1105</v>
      </c>
      <c r="AI98" s="78" t="s">
        <v>1108</v>
      </c>
      <c r="AL98" s="78">
        <v>8</v>
      </c>
    </row>
    <row r="99" spans="1:59" hidden="1">
      <c r="A99" s="188">
        <v>99</v>
      </c>
      <c r="E99" s="78">
        <v>8</v>
      </c>
      <c r="F99" s="78">
        <v>1.3</v>
      </c>
      <c r="H99" s="188" t="s">
        <v>1189</v>
      </c>
      <c r="U99" s="78" t="e">
        <f t="shared" si="3"/>
        <v>#VALUE!</v>
      </c>
      <c r="V99" s="187" t="e">
        <f t="shared" si="2"/>
        <v>#VALUE!</v>
      </c>
      <c r="AB99" s="78" t="s">
        <v>208</v>
      </c>
      <c r="AC99" s="78">
        <v>-1</v>
      </c>
      <c r="AD99" s="78">
        <v>-10</v>
      </c>
      <c r="AE99" s="78">
        <v>30</v>
      </c>
      <c r="AF99" s="78" t="s">
        <v>1110</v>
      </c>
      <c r="AG99" s="78">
        <v>1.5</v>
      </c>
      <c r="AH99" s="78" t="s">
        <v>1105</v>
      </c>
      <c r="AI99" s="78" t="s">
        <v>1108</v>
      </c>
      <c r="AL99" s="78">
        <v>8</v>
      </c>
    </row>
    <row r="100" spans="1:59" ht="10.8" hidden="1" thickBot="1">
      <c r="A100" s="194">
        <v>100</v>
      </c>
      <c r="E100" s="78">
        <v>9</v>
      </c>
      <c r="F100" s="78">
        <v>1.3</v>
      </c>
      <c r="H100" s="194" t="s">
        <v>1627</v>
      </c>
      <c r="U100" s="78" t="e">
        <f t="shared" si="3"/>
        <v>#VALUE!</v>
      </c>
      <c r="V100" s="187" t="e">
        <f t="shared" si="2"/>
        <v>#VALUE!</v>
      </c>
      <c r="AB100" s="78" t="s">
        <v>208</v>
      </c>
      <c r="AC100" s="78">
        <v>-1</v>
      </c>
      <c r="AD100" s="78">
        <v>-10</v>
      </c>
      <c r="AE100" s="78">
        <v>30</v>
      </c>
      <c r="AF100" s="78" t="s">
        <v>1110</v>
      </c>
      <c r="AG100" s="78">
        <v>1.5</v>
      </c>
      <c r="AH100" s="78" t="s">
        <v>1105</v>
      </c>
      <c r="AI100" s="78" t="s">
        <v>1108</v>
      </c>
      <c r="AL100" s="78">
        <v>9</v>
      </c>
    </row>
    <row r="101" spans="1:59" s="106" customFormat="1" ht="10.8" hidden="1" thickBot="1">
      <c r="A101" s="209" t="s">
        <v>560</v>
      </c>
      <c r="B101" s="210"/>
      <c r="D101" s="211"/>
      <c r="E101" s="196" t="s">
        <v>1134</v>
      </c>
      <c r="F101" s="386" t="s">
        <v>1125</v>
      </c>
      <c r="G101" s="213"/>
      <c r="H101" s="196" t="s">
        <v>1628</v>
      </c>
      <c r="I101" s="210"/>
      <c r="J101" s="213"/>
      <c r="K101" s="213"/>
      <c r="L101" s="213"/>
      <c r="M101" s="213"/>
      <c r="N101" s="214"/>
      <c r="O101" s="214"/>
      <c r="P101" s="214"/>
      <c r="Q101" s="215"/>
      <c r="R101" s="213"/>
      <c r="S101" s="213"/>
      <c r="T101" s="215"/>
      <c r="V101" s="213"/>
      <c r="W101" s="213"/>
      <c r="Y101" s="213"/>
      <c r="Z101" s="211"/>
      <c r="AA101" s="387"/>
      <c r="AB101" s="106" t="s">
        <v>1127</v>
      </c>
      <c r="AC101" s="106" t="s">
        <v>1128</v>
      </c>
      <c r="AD101" s="106" t="s">
        <v>1129</v>
      </c>
      <c r="AE101" s="106" t="s">
        <v>1130</v>
      </c>
      <c r="AF101" s="106" t="s">
        <v>152</v>
      </c>
      <c r="AG101" s="106" t="s">
        <v>1131</v>
      </c>
      <c r="AH101" s="106" t="s">
        <v>1132</v>
      </c>
      <c r="AI101" s="106" t="s">
        <v>1133</v>
      </c>
      <c r="AL101" s="106" t="s">
        <v>1134</v>
      </c>
    </row>
    <row r="102" spans="1:59" ht="18" hidden="1">
      <c r="A102" s="388"/>
      <c r="B102" s="389"/>
      <c r="C102" s="389"/>
      <c r="D102" s="389"/>
      <c r="E102" s="389"/>
      <c r="F102" s="389"/>
      <c r="G102" s="389"/>
      <c r="H102" s="389"/>
      <c r="I102" s="389"/>
      <c r="J102" s="390"/>
      <c r="K102" s="390"/>
      <c r="L102" s="390"/>
      <c r="M102" s="390"/>
      <c r="N102" s="391"/>
      <c r="O102" s="391"/>
      <c r="P102" s="391"/>
      <c r="Q102" s="392"/>
      <c r="R102" s="390"/>
      <c r="S102" s="390"/>
      <c r="T102" s="392"/>
      <c r="U102" s="390"/>
      <c r="V102" s="390"/>
      <c r="W102" s="390"/>
      <c r="X102" s="390"/>
      <c r="Y102" s="390"/>
      <c r="Z102" s="390"/>
    </row>
    <row r="103" spans="1:59" ht="10.8" thickBot="1">
      <c r="A103" s="191"/>
      <c r="AB103" s="187" t="s">
        <v>1629</v>
      </c>
      <c r="AC103" s="187">
        <f ca="1">RANDBETWEEN(1,100)</f>
        <v>95</v>
      </c>
      <c r="AD103" s="187"/>
      <c r="AE103" s="187"/>
      <c r="AF103" s="78">
        <v>1</v>
      </c>
      <c r="AG103" s="78">
        <f ca="1">D105</f>
        <v>6</v>
      </c>
    </row>
    <row r="104" spans="1:59">
      <c r="A104" s="78">
        <f ca="1">LOOKUP(RANDBETWEEN(1,10),de100X,de10X)</f>
        <v>2</v>
      </c>
      <c r="B104" s="393" t="s">
        <v>1134</v>
      </c>
      <c r="C104" s="394" t="s">
        <v>1135</v>
      </c>
      <c r="D104" s="394" t="s">
        <v>1630</v>
      </c>
      <c r="E104" s="395" t="s">
        <v>1631</v>
      </c>
      <c r="F104" s="394" t="s">
        <v>329</v>
      </c>
      <c r="G104" s="396" t="s">
        <v>721</v>
      </c>
      <c r="H104" s="395" t="s">
        <v>1632</v>
      </c>
      <c r="I104" s="396" t="s">
        <v>1633</v>
      </c>
      <c r="J104" s="397"/>
      <c r="K104" s="397"/>
      <c r="L104" s="398"/>
      <c r="N104" s="186"/>
      <c r="T104" s="399"/>
      <c r="AB104" s="187"/>
      <c r="AC104" s="187"/>
      <c r="AD104" s="187"/>
      <c r="AE104" s="187"/>
      <c r="AF104" s="78">
        <v>2</v>
      </c>
      <c r="AG104" s="78" t="str">
        <f ca="1">E106</f>
        <v>Médecin </v>
      </c>
      <c r="AT104" s="106" t="s">
        <v>1634</v>
      </c>
      <c r="AU104" s="106"/>
      <c r="AV104" s="106"/>
      <c r="AW104" s="106"/>
      <c r="AX104" s="106"/>
      <c r="AY104" s="106"/>
      <c r="AZ104" s="106"/>
      <c r="BA104" s="106"/>
      <c r="BB104" s="106"/>
      <c r="BC104" s="400" t="s">
        <v>1635</v>
      </c>
      <c r="BE104" s="400" t="s">
        <v>1202</v>
      </c>
      <c r="BG104" s="400" t="s">
        <v>1255</v>
      </c>
    </row>
    <row r="105" spans="1:59">
      <c r="A105" s="78">
        <f ca="1">LOOKUP(RANDBETWEEN(1,10),de100X,de10X)</f>
        <v>1</v>
      </c>
      <c r="B105" s="401">
        <f ca="1">IF(pNS="-",LOOKUP(RANDBETWEEN(1,100),de100X,NSX),pNS)</f>
        <v>6</v>
      </c>
      <c r="C105" s="187">
        <f ca="1">IF(pRIC="-",LOOKUP(RANDBETWEEN(1,100),de100X,richesseX),pRIC)</f>
        <v>1</v>
      </c>
      <c r="D105" s="187">
        <f ca="1">IF(pNTR="-",LOOKUP(RANDBETWEEN(1,10),de100X,de10X)+LOOKUP(RANDBETWEEN(1,10),de100X,de10X)+LOOKUP(RANDBETWEEN(1,10),de100X,de10X),pNTR)</f>
        <v>6</v>
      </c>
      <c r="E105" s="402"/>
      <c r="F105" s="95">
        <f ca="1">(LOOKUP(RANDBETWEEN(1,10),de100X,de10X)+LOOKUP(RANDBETWEEN(1,10),de100X,de10X))*10</f>
        <v>50</v>
      </c>
      <c r="G105" s="78" t="str">
        <f ca="1">LOOKUP(RANDBETWEEN(1,26),de100X,LettreX)&amp;LOOKUP(RANDBETWEEN(1,14),de100X,VoyelleX)</f>
        <v>ME</v>
      </c>
      <c r="H105" s="78" t="str">
        <f ca="1">LOOKUP(RANDBETWEEN(1,26),de100X,LettreX)</f>
        <v>N</v>
      </c>
      <c r="I105" s="403" t="str">
        <f ca="1">LOOKUP(RANDBETWEEN(1,6),de100X,EnseigneX)</f>
        <v>Nom famille</v>
      </c>
      <c r="J105" s="78" t="str">
        <f ca="1">IF(A104&gt;1,LOOKUP(RANDBETWEEN(1,6),de100X,EnseigneX),"-")</f>
        <v>Adjectif</v>
      </c>
      <c r="K105" s="78" t="str">
        <f ca="1">IF(A104&gt;2,LOOKUP(RANDBETWEEN(1,6),de100X,EnseigneX),"-")</f>
        <v>-</v>
      </c>
      <c r="L105" s="189" t="str">
        <f ca="1">IF(A104&gt;3,LOOKUP(RANDBETWEEN(1,6),de100X,EnseigneX),"-")</f>
        <v>-</v>
      </c>
      <c r="N105" s="387"/>
      <c r="O105" s="387"/>
      <c r="P105" s="387"/>
      <c r="Q105" s="404"/>
      <c r="R105" s="387"/>
      <c r="S105" s="387"/>
      <c r="T105" s="404"/>
      <c r="U105" s="387"/>
      <c r="V105" s="387"/>
      <c r="W105" s="387"/>
      <c r="X105" s="387"/>
      <c r="Y105" s="387"/>
      <c r="Z105" s="387"/>
      <c r="AA105" s="387"/>
      <c r="AB105" s="187"/>
      <c r="AC105" s="187"/>
      <c r="AD105" s="187"/>
      <c r="AE105" s="187"/>
      <c r="AF105" s="78">
        <v>3</v>
      </c>
      <c r="AG105" s="78">
        <f ca="1">F105</f>
        <v>50</v>
      </c>
      <c r="AT105" s="106" t="s">
        <v>1631</v>
      </c>
      <c r="AU105" s="387" t="s">
        <v>684</v>
      </c>
      <c r="AV105" s="387" t="s">
        <v>684</v>
      </c>
      <c r="AW105" s="387" t="s">
        <v>1636</v>
      </c>
      <c r="AX105" s="387" t="s">
        <v>1636</v>
      </c>
      <c r="AY105" s="387" t="s">
        <v>1637</v>
      </c>
      <c r="AZ105" s="387" t="s">
        <v>1637</v>
      </c>
      <c r="BA105" s="106" t="s">
        <v>1638</v>
      </c>
      <c r="BB105" s="106" t="s">
        <v>1639</v>
      </c>
      <c r="BC105" s="405" t="s">
        <v>1143</v>
      </c>
      <c r="BE105" s="406" t="s">
        <v>1203</v>
      </c>
      <c r="BG105" s="405" t="s">
        <v>1256</v>
      </c>
    </row>
    <row r="106" spans="1:59" ht="12">
      <c r="A106" s="78">
        <f ca="1">IF(RANDBETWEEN(1,10)&lt;C105*2,LOOKUP(RANDBETWEEN(1,10),de100X,de10X),0)</f>
        <v>0</v>
      </c>
      <c r="B106" s="407" t="s">
        <v>598</v>
      </c>
      <c r="C106" s="408"/>
      <c r="D106" s="409" t="s">
        <v>1640</v>
      </c>
      <c r="E106" s="410" t="str">
        <f ca="1">CHOOSE(B105+1,LOOKUP(RANDBETWEEN(1,10),de100X,NS0x),LOOKUP(RANDBETWEEN(1,100),de100X,NS1x),LOOKUP(RANDBETWEEN(1,10),de100X,NS2x),LOOKUP(RANDBETWEEN(1,20),de100X,NS3x),LOOKUP(RANDBETWEEN(1,20),de100X,NS4x),LOOKUP(RANDBETWEEN(1,20),de100X,NS5x),LOOKUP(RANDBETWEEN(1,20),de100X,NS6x),LOOKUP(RANDBETWEEN(1,10),de100X,NS7x),LOOKUP(RANDBETWEEN(1,20),de100X,NS8x),LOOKUP(RANDBETWEEN(1,10),de100X,NS9x))</f>
        <v>Médecin </v>
      </c>
      <c r="F106" s="411"/>
      <c r="H106" s="409" t="s">
        <v>287</v>
      </c>
      <c r="I106" s="412" t="s">
        <v>1641</v>
      </c>
      <c r="J106" s="413"/>
      <c r="K106" s="413"/>
      <c r="L106" s="414"/>
      <c r="R106" s="187"/>
      <c r="S106" s="187"/>
      <c r="T106" s="415"/>
      <c r="U106" s="416"/>
      <c r="V106" s="187"/>
      <c r="W106" s="187"/>
      <c r="X106" s="187"/>
      <c r="Y106" s="187"/>
      <c r="Z106" s="187"/>
      <c r="AB106" s="187"/>
      <c r="AC106" s="187"/>
      <c r="AD106" s="187"/>
      <c r="AE106" s="187"/>
      <c r="AF106" s="78">
        <v>4</v>
      </c>
      <c r="AG106" s="78" t="e">
        <f>#REF!</f>
        <v>#REF!</v>
      </c>
      <c r="AT106" s="256" t="s">
        <v>1143</v>
      </c>
      <c r="AU106" s="186"/>
      <c r="BC106" s="405" t="s">
        <v>1146</v>
      </c>
      <c r="BE106" s="406" t="s">
        <v>1204</v>
      </c>
      <c r="BG106" s="405" t="s">
        <v>1257</v>
      </c>
    </row>
    <row r="107" spans="1:59" ht="10.8" thickBot="1">
      <c r="A107" s="220"/>
      <c r="B107" s="197" t="str">
        <f ca="1">IF(RANDBETWEEN(1,100)&lt;NE*C105,A105,"-")</f>
        <v>-</v>
      </c>
      <c r="C107" s="417"/>
      <c r="D107" s="418" t="str">
        <f ca="1">IF(A106&gt;0,LOOKUP(RANDBETWEEN(1,10),de100X,TraitX),"-")</f>
        <v>-</v>
      </c>
      <c r="E107" s="418" t="str">
        <f ca="1">IF(A106&gt;1,LOOKUP(RANDBETWEEN(1,10),de100X,TraitX),"-")</f>
        <v>-</v>
      </c>
      <c r="F107" s="418" t="str">
        <f ca="1">IF(A106&gt;2,LOOKUP(RANDBETWEEN(1,10),de100X,TraitX),"-")</f>
        <v>-</v>
      </c>
      <c r="G107" s="419" t="str">
        <f ca="1">IF(A106&gt;3,LOOKUP(RANDBETWEEN(1,10),de100X,TraitX),"-")</f>
        <v>-</v>
      </c>
      <c r="H107" s="420">
        <f ca="1">(F105-40)/RANDBETWEEN(1,6)+(5*A105)+(C105*10 -10)*RANDBETWEEN(1,6)+(D105*(RANDBETWEEN(1,6)-RANDBETWEEN(1,6)))</f>
        <v>-20</v>
      </c>
      <c r="I107" s="421">
        <f ca="1">(RANDBETWEEN(1,6)+4)*10*C105</f>
        <v>70</v>
      </c>
      <c r="J107" s="422">
        <f ca="1">(RANDBETWEEN(1,6)+4)*5*C105</f>
        <v>35</v>
      </c>
      <c r="K107" s="422">
        <f ca="1">(RANDBETWEEN(1,6)+4)*3*C105</f>
        <v>30</v>
      </c>
      <c r="L107" s="423">
        <f ca="1">(RANDBETWEEN(1,6)+4)*1*C105</f>
        <v>7</v>
      </c>
      <c r="R107" s="187"/>
      <c r="S107" s="187"/>
      <c r="T107" s="415"/>
      <c r="U107" s="416"/>
      <c r="V107" s="187"/>
      <c r="W107" s="187"/>
      <c r="X107" s="187"/>
      <c r="Y107" s="187"/>
      <c r="Z107" s="187"/>
      <c r="AB107" s="187">
        <f ca="1">RANDBETWEEN(1,6)</f>
        <v>2</v>
      </c>
      <c r="AC107" s="187">
        <f ca="1">RANDBETWEEN(1,6)</f>
        <v>1</v>
      </c>
      <c r="AD107" s="187">
        <f ca="1">RANDBETWEEN(1,6)</f>
        <v>5</v>
      </c>
      <c r="AE107" s="187">
        <f ca="1">RANDBETWEEN(1,6)</f>
        <v>1</v>
      </c>
      <c r="AF107" s="78">
        <v>5</v>
      </c>
      <c r="AG107" s="78" t="str">
        <f>H108</f>
        <v>Prénom</v>
      </c>
      <c r="AT107" s="256" t="s">
        <v>1146</v>
      </c>
      <c r="BC107" s="405" t="s">
        <v>1147</v>
      </c>
      <c r="BE107" s="406" t="s">
        <v>1205</v>
      </c>
      <c r="BG107" s="405" t="s">
        <v>1258</v>
      </c>
    </row>
    <row r="108" spans="1:59">
      <c r="A108" s="78">
        <f ca="1">LOOKUP(RANDBETWEEN(1,10),de100X,de10X)</f>
        <v>2</v>
      </c>
      <c r="B108" s="393" t="s">
        <v>1134</v>
      </c>
      <c r="C108" s="394" t="s">
        <v>1135</v>
      </c>
      <c r="D108" s="394" t="s">
        <v>1630</v>
      </c>
      <c r="E108" s="395" t="s">
        <v>1631</v>
      </c>
      <c r="F108" s="394" t="s">
        <v>329</v>
      </c>
      <c r="G108" s="396" t="s">
        <v>721</v>
      </c>
      <c r="H108" s="395" t="s">
        <v>1632</v>
      </c>
      <c r="I108" s="396" t="s">
        <v>1633</v>
      </c>
      <c r="J108" s="397"/>
      <c r="K108" s="397"/>
      <c r="L108" s="398"/>
      <c r="R108" s="187"/>
      <c r="S108" s="187"/>
      <c r="T108" s="415"/>
      <c r="U108" s="416"/>
      <c r="V108" s="187"/>
      <c r="W108" s="187"/>
      <c r="X108" s="187"/>
      <c r="Y108" s="187"/>
      <c r="Z108" s="187"/>
      <c r="AB108" s="187"/>
      <c r="AC108" s="187"/>
      <c r="AD108" s="187"/>
      <c r="AE108" s="187"/>
      <c r="AT108" s="256"/>
      <c r="BC108" s="405"/>
      <c r="BE108" s="406"/>
      <c r="BG108" s="405"/>
    </row>
    <row r="109" spans="1:59">
      <c r="A109" s="78">
        <f ca="1">LOOKUP(RANDBETWEEN(1,10),de100X,de10X)</f>
        <v>3</v>
      </c>
      <c r="B109" s="401">
        <f ca="1">IF(pNS="-",LOOKUP(RANDBETWEEN(1,100),de100X,NSX),pNS)</f>
        <v>4</v>
      </c>
      <c r="C109" s="187">
        <f ca="1">IF(pRIC="-",LOOKUP(RANDBETWEEN(1,100),de100X,richesseX),pRIC)</f>
        <v>1.1000000000000001</v>
      </c>
      <c r="D109" s="187">
        <f ca="1">IF(pNTR="-",LOOKUP(RANDBETWEEN(1,10),de100X,de10X)+LOOKUP(RANDBETWEEN(1,10),de100X,de10X)+LOOKUP(RANDBETWEEN(1,10),de100X,de10X),pNTR)</f>
        <v>6</v>
      </c>
      <c r="E109" s="402"/>
      <c r="F109" s="95">
        <f ca="1">(LOOKUP(RANDBETWEEN(1,10),de100X,de10X)+LOOKUP(RANDBETWEEN(1,10),de100X,de10X))*10</f>
        <v>40</v>
      </c>
      <c r="G109" s="78" t="str">
        <f ca="1">LOOKUP(RANDBETWEEN(1,26),de100X,LettreX)&amp;LOOKUP(RANDBETWEEN(1,14),de100X,VoyelleX)</f>
        <v>KO</v>
      </c>
      <c r="H109" s="78" t="str">
        <f ca="1">LOOKUP(RANDBETWEEN(1,26),de100X,LettreX)</f>
        <v>A</v>
      </c>
      <c r="I109" s="403" t="str">
        <f ca="1">LOOKUP(RANDBETWEEN(1,6),de100X,EnseigneX)</f>
        <v>Couleur</v>
      </c>
      <c r="J109" s="78" t="str">
        <f ca="1">IF(A108&gt;1,LOOKUP(RANDBETWEEN(1,6),de100X,EnseigneX),"-")</f>
        <v>Animal</v>
      </c>
      <c r="K109" s="78" t="str">
        <f ca="1">IF(A108&gt;2,LOOKUP(RANDBETWEEN(1,6),de100X,EnseigneX),"-")</f>
        <v>-</v>
      </c>
      <c r="L109" s="189" t="str">
        <f ca="1">IF(A108&gt;3,LOOKUP(RANDBETWEEN(1,6),de100X,EnseigneX),"-")</f>
        <v>-</v>
      </c>
      <c r="R109" s="187"/>
      <c r="S109" s="187"/>
      <c r="T109" s="415"/>
      <c r="U109" s="416"/>
      <c r="V109" s="187"/>
      <c r="W109" s="187"/>
      <c r="X109" s="187"/>
      <c r="Y109" s="187"/>
      <c r="Z109" s="187"/>
      <c r="AB109" s="187"/>
      <c r="AC109" s="187"/>
      <c r="AD109" s="187"/>
      <c r="AE109" s="187"/>
      <c r="AT109" s="256"/>
      <c r="BC109" s="405"/>
      <c r="BE109" s="406"/>
      <c r="BG109" s="405"/>
    </row>
    <row r="110" spans="1:59" ht="12">
      <c r="A110" s="78">
        <f ca="1">IF(RANDBETWEEN(1,10)&lt;C109*2,LOOKUP(RANDBETWEEN(1,10),de100X,de10X),0)</f>
        <v>0</v>
      </c>
      <c r="B110" s="407" t="s">
        <v>598</v>
      </c>
      <c r="C110" s="408"/>
      <c r="D110" s="409" t="s">
        <v>1640</v>
      </c>
      <c r="E110" s="410" t="str">
        <f ca="1">CHOOSE(B109+1,LOOKUP(RANDBETWEEN(1,10),de100X,NS0x),LOOKUP(RANDBETWEEN(1,100),de100X,NS1x),LOOKUP(RANDBETWEEN(1,10),de100X,NS2x),LOOKUP(RANDBETWEEN(1,20),de100X,NS3x),LOOKUP(RANDBETWEEN(1,20),de100X,NS4x),LOOKUP(RANDBETWEEN(1,20),de100X,NS5x),LOOKUP(RANDBETWEEN(1,20),de100X,NS6x),LOOKUP(RANDBETWEEN(1,10),de100X,NS7x),LOOKUP(RANDBETWEEN(1,20),de100X,NS8x),LOOKUP(RANDBETWEEN(1,10),de100X,NS9x))</f>
        <v>Cordonnier </v>
      </c>
      <c r="F110" s="411"/>
      <c r="H110" s="409" t="s">
        <v>287</v>
      </c>
      <c r="I110" s="412" t="s">
        <v>1641</v>
      </c>
      <c r="J110" s="413"/>
      <c r="K110" s="413"/>
      <c r="L110" s="414"/>
      <c r="R110" s="187"/>
      <c r="S110" s="187"/>
      <c r="T110" s="415"/>
      <c r="U110" s="416"/>
      <c r="V110" s="187"/>
      <c r="W110" s="187"/>
      <c r="X110" s="187"/>
      <c r="Y110" s="187"/>
      <c r="Z110" s="187"/>
      <c r="AB110" s="187"/>
      <c r="AC110" s="187"/>
      <c r="AD110" s="187"/>
      <c r="AE110" s="187"/>
      <c r="AT110" s="256"/>
      <c r="BC110" s="405"/>
      <c r="BE110" s="406"/>
      <c r="BG110" s="405"/>
    </row>
    <row r="111" spans="1:59" ht="10.8" thickBot="1">
      <c r="A111" s="220"/>
      <c r="B111" s="197">
        <f ca="1">IF(RANDBETWEEN(1,100)&lt;NE*C109,A109,"-")</f>
        <v>3</v>
      </c>
      <c r="C111" s="417"/>
      <c r="D111" s="418" t="str">
        <f ca="1">IF(A110&gt;0,LOOKUP(RANDBETWEEN(1,10),de100X,TraitX),"-")</f>
        <v>-</v>
      </c>
      <c r="E111" s="418" t="str">
        <f ca="1">IF(A110&gt;1,LOOKUP(RANDBETWEEN(1,10),de100X,TraitX),"-")</f>
        <v>-</v>
      </c>
      <c r="F111" s="418" t="str">
        <f ca="1">IF(A110&gt;2,LOOKUP(RANDBETWEEN(1,10),de100X,TraitX),"-")</f>
        <v>-</v>
      </c>
      <c r="G111" s="419" t="str">
        <f ca="1">IF(A110&gt;3,LOOKUP(RANDBETWEEN(1,10),de100X,TraitX),"-")</f>
        <v>-</v>
      </c>
      <c r="H111" s="420">
        <f ca="1">(F109-40)/RANDBETWEEN(1,6)+(5*A109)+(C109*10 -10)*RANDBETWEEN(1,6)+(D109*(RANDBETWEEN(1,6)-RANDBETWEEN(1,6)))</f>
        <v>12</v>
      </c>
      <c r="I111" s="421">
        <f ca="1">(RANDBETWEEN(1,6)+4)*10*C109</f>
        <v>77</v>
      </c>
      <c r="J111" s="422">
        <f ca="1">(RANDBETWEEN(1,6)+4)*5*C109</f>
        <v>38.5</v>
      </c>
      <c r="K111" s="422">
        <f ca="1">(RANDBETWEEN(1,6)+4)*3*C109</f>
        <v>19.8</v>
      </c>
      <c r="L111" s="423">
        <f ca="1">(RANDBETWEEN(1,6)+4)*1*C109</f>
        <v>5.5</v>
      </c>
      <c r="R111" s="187"/>
      <c r="S111" s="187"/>
      <c r="T111" s="415"/>
      <c r="U111" s="416"/>
      <c r="V111" s="187"/>
      <c r="W111" s="187"/>
      <c r="X111" s="187"/>
      <c r="Y111" s="187"/>
      <c r="Z111" s="187"/>
      <c r="AB111" s="187"/>
      <c r="AC111" s="187"/>
      <c r="AD111" s="187"/>
      <c r="AE111" s="187"/>
      <c r="AT111" s="256"/>
      <c r="BC111" s="405"/>
      <c r="BE111" s="406"/>
      <c r="BG111" s="405"/>
    </row>
    <row r="112" spans="1:59">
      <c r="A112" s="78">
        <f ca="1">LOOKUP(RANDBETWEEN(1,10),de100X,de10X)</f>
        <v>2</v>
      </c>
      <c r="B112" s="393" t="s">
        <v>1134</v>
      </c>
      <c r="C112" s="394" t="s">
        <v>1135</v>
      </c>
      <c r="D112" s="394" t="s">
        <v>1630</v>
      </c>
      <c r="E112" s="395" t="s">
        <v>1631</v>
      </c>
      <c r="F112" s="394" t="s">
        <v>329</v>
      </c>
      <c r="G112" s="396" t="s">
        <v>721</v>
      </c>
      <c r="H112" s="395" t="s">
        <v>1632</v>
      </c>
      <c r="I112" s="396" t="s">
        <v>1633</v>
      </c>
      <c r="J112" s="397"/>
      <c r="K112" s="397"/>
      <c r="L112" s="398"/>
      <c r="R112" s="187"/>
      <c r="S112" s="187"/>
      <c r="T112" s="415"/>
      <c r="U112" s="416"/>
      <c r="V112" s="187"/>
      <c r="W112" s="187"/>
      <c r="X112" s="187"/>
      <c r="Y112" s="187"/>
      <c r="Z112" s="187"/>
      <c r="AB112" s="187"/>
      <c r="AC112" s="187"/>
      <c r="AD112" s="187"/>
      <c r="AE112" s="187"/>
      <c r="AT112" s="256"/>
      <c r="BC112" s="405"/>
      <c r="BE112" s="406"/>
      <c r="BG112" s="405"/>
    </row>
    <row r="113" spans="1:59">
      <c r="A113" s="78">
        <f ca="1">LOOKUP(RANDBETWEEN(1,10),de100X,de10X)</f>
        <v>2</v>
      </c>
      <c r="B113" s="401">
        <f ca="1">IF(pNS="-",LOOKUP(RANDBETWEEN(1,100),de100X,NSX),pNS)</f>
        <v>0</v>
      </c>
      <c r="C113" s="187">
        <f ca="1">IF(pRIC="-",LOOKUP(RANDBETWEEN(1,100),de100X,richesseX),pRIC)</f>
        <v>1</v>
      </c>
      <c r="D113" s="187">
        <f ca="1">IF(pNTR="-",LOOKUP(RANDBETWEEN(1,10),de100X,de10X)+LOOKUP(RANDBETWEEN(1,10),de100X,de10X)+LOOKUP(RANDBETWEEN(1,10),de100X,de10X),pNTR)</f>
        <v>5</v>
      </c>
      <c r="E113" s="402"/>
      <c r="F113" s="95">
        <f ca="1">(LOOKUP(RANDBETWEEN(1,10),de100X,de10X)+LOOKUP(RANDBETWEEN(1,10),de100X,de10X))*10</f>
        <v>60</v>
      </c>
      <c r="G113" s="78" t="str">
        <f ca="1">LOOKUP(RANDBETWEEN(1,26),de100X,LettreX)&amp;LOOKUP(RANDBETWEEN(1,14),de100X,VoyelleX)</f>
        <v>WE</v>
      </c>
      <c r="H113" s="78" t="str">
        <f ca="1">LOOKUP(RANDBETWEEN(1,26),de100X,LettreX)</f>
        <v>N</v>
      </c>
      <c r="I113" s="403" t="str">
        <f ca="1">LOOKUP(RANDBETWEEN(1,6),de100X,EnseigneX)</f>
        <v>Animal</v>
      </c>
      <c r="J113" s="78" t="str">
        <f ca="1">IF(A112&gt;1,LOOKUP(RANDBETWEEN(1,6),de100X,EnseigneX),"-")</f>
        <v>Adjectif</v>
      </c>
      <c r="K113" s="78" t="str">
        <f ca="1">IF(A112&gt;2,LOOKUP(RANDBETWEEN(1,6),de100X,EnseigneX),"-")</f>
        <v>-</v>
      </c>
      <c r="L113" s="189" t="str">
        <f ca="1">IF(A112&gt;3,LOOKUP(RANDBETWEEN(1,6),de100X,EnseigneX),"-")</f>
        <v>-</v>
      </c>
      <c r="R113" s="187"/>
      <c r="S113" s="187"/>
      <c r="T113" s="415"/>
      <c r="U113" s="416"/>
      <c r="V113" s="187"/>
      <c r="W113" s="187"/>
      <c r="X113" s="187"/>
      <c r="Y113" s="187"/>
      <c r="Z113" s="187"/>
      <c r="AB113" s="187"/>
      <c r="AC113" s="187"/>
      <c r="AD113" s="187"/>
      <c r="AE113" s="187"/>
      <c r="AT113" s="256"/>
      <c r="BC113" s="405"/>
      <c r="BE113" s="406"/>
      <c r="BG113" s="405"/>
    </row>
    <row r="114" spans="1:59" ht="12">
      <c r="A114" s="78">
        <f ca="1">IF(RANDBETWEEN(1,10)&lt;C113*2,LOOKUP(RANDBETWEEN(1,10),de100X,de10X),0)</f>
        <v>0</v>
      </c>
      <c r="B114" s="407" t="s">
        <v>598</v>
      </c>
      <c r="C114" s="408"/>
      <c r="D114" s="409" t="s">
        <v>1640</v>
      </c>
      <c r="E114" s="410" t="str">
        <f ca="1">CHOOSE(B113+1,LOOKUP(RANDBETWEEN(1,10),de100X,NS0x),LOOKUP(RANDBETWEEN(1,100),de100X,NS1x),LOOKUP(RANDBETWEEN(1,10),de100X,NS2x),LOOKUP(RANDBETWEEN(1,20),de100X,NS3x),LOOKUP(RANDBETWEEN(1,20),de100X,NS4x),LOOKUP(RANDBETWEEN(1,20),de100X,NS5x),LOOKUP(RANDBETWEEN(1,20),de100X,NS6x),LOOKUP(RANDBETWEEN(1,10),de100X,NS7x),LOOKUP(RANDBETWEEN(1,20),de100X,NS8x),LOOKUP(RANDBETWEEN(1,10),de100X,NS9x))</f>
        <v>Domestique</v>
      </c>
      <c r="F114" s="411"/>
      <c r="H114" s="409" t="s">
        <v>287</v>
      </c>
      <c r="I114" s="412" t="s">
        <v>1641</v>
      </c>
      <c r="J114" s="413"/>
      <c r="K114" s="413"/>
      <c r="L114" s="414"/>
      <c r="R114" s="187"/>
      <c r="S114" s="187"/>
      <c r="T114" s="415"/>
      <c r="U114" s="416"/>
      <c r="V114" s="187"/>
      <c r="W114" s="187"/>
      <c r="X114" s="187"/>
      <c r="Y114" s="187"/>
      <c r="Z114" s="187"/>
      <c r="AB114" s="187"/>
      <c r="AC114" s="187"/>
      <c r="AD114" s="187"/>
      <c r="AE114" s="187"/>
      <c r="AT114" s="256"/>
      <c r="BC114" s="405"/>
      <c r="BE114" s="406"/>
      <c r="BG114" s="405"/>
    </row>
    <row r="115" spans="1:59" ht="10.8" thickBot="1">
      <c r="A115" s="220"/>
      <c r="B115" s="197">
        <f ca="1">IF(RANDBETWEEN(1,100)&lt;NE*C113,A113,"-")</f>
        <v>2</v>
      </c>
      <c r="C115" s="417"/>
      <c r="D115" s="418" t="str">
        <f ca="1">IF(A114&gt;0,LOOKUP(RANDBETWEEN(1,10),de100X,TraitX),"-")</f>
        <v>-</v>
      </c>
      <c r="E115" s="418" t="str">
        <f ca="1">IF(A114&gt;1,LOOKUP(RANDBETWEEN(1,10),de100X,TraitX),"-")</f>
        <v>-</v>
      </c>
      <c r="F115" s="418" t="str">
        <f ca="1">IF(A114&gt;2,LOOKUP(RANDBETWEEN(1,10),de100X,TraitX),"-")</f>
        <v>-</v>
      </c>
      <c r="G115" s="419" t="str">
        <f ca="1">IF(A114&gt;3,LOOKUP(RANDBETWEEN(1,10),de100X,TraitX),"-")</f>
        <v>-</v>
      </c>
      <c r="H115" s="420">
        <f ca="1">(F113-40)/RANDBETWEEN(1,6)+(5*A113)+(C113*10 -10)*RANDBETWEEN(1,6)+(D113*(RANDBETWEEN(1,6)-RANDBETWEEN(1,6)))</f>
        <v>40</v>
      </c>
      <c r="I115" s="421">
        <f ca="1">(RANDBETWEEN(1,6)+4)*10*C113</f>
        <v>60</v>
      </c>
      <c r="J115" s="422">
        <f ca="1">(RANDBETWEEN(1,6)+4)*5*C113</f>
        <v>25</v>
      </c>
      <c r="K115" s="422">
        <f ca="1">(RANDBETWEEN(1,6)+4)*3*C113</f>
        <v>18</v>
      </c>
      <c r="L115" s="423">
        <f ca="1">(RANDBETWEEN(1,6)+4)*1*C113</f>
        <v>10</v>
      </c>
      <c r="R115" s="187"/>
      <c r="S115" s="187"/>
      <c r="T115" s="415"/>
      <c r="U115" s="416"/>
      <c r="V115" s="187"/>
      <c r="W115" s="187"/>
      <c r="X115" s="187"/>
      <c r="Y115" s="187"/>
      <c r="Z115" s="187"/>
      <c r="AB115" s="187"/>
      <c r="AC115" s="187"/>
      <c r="AD115" s="187"/>
      <c r="AE115" s="187"/>
      <c r="AT115" s="256"/>
      <c r="BC115" s="400"/>
      <c r="BE115" s="406"/>
      <c r="BG115" s="405"/>
    </row>
    <row r="116" spans="1:59">
      <c r="A116" s="78">
        <f ca="1">LOOKUP(RANDBETWEEN(1,10),de100X,de10X)</f>
        <v>1</v>
      </c>
      <c r="B116" s="393" t="s">
        <v>1134</v>
      </c>
      <c r="C116" s="394" t="s">
        <v>1135</v>
      </c>
      <c r="D116" s="394" t="s">
        <v>1630</v>
      </c>
      <c r="E116" s="395" t="s">
        <v>1631</v>
      </c>
      <c r="F116" s="394" t="s">
        <v>329</v>
      </c>
      <c r="G116" s="396" t="s">
        <v>721</v>
      </c>
      <c r="H116" s="395" t="s">
        <v>1632</v>
      </c>
      <c r="I116" s="396" t="s">
        <v>1633</v>
      </c>
      <c r="J116" s="397"/>
      <c r="K116" s="397"/>
      <c r="L116" s="398"/>
      <c r="R116" s="187"/>
      <c r="S116" s="187"/>
      <c r="T116" s="415"/>
      <c r="U116" s="416"/>
      <c r="V116" s="187"/>
      <c r="W116" s="187"/>
      <c r="X116" s="187"/>
      <c r="Y116" s="187"/>
      <c r="Z116" s="187"/>
      <c r="AB116" s="187"/>
      <c r="AC116" s="187"/>
      <c r="AD116" s="187"/>
      <c r="AE116" s="187"/>
      <c r="BC116" s="406"/>
      <c r="BE116" s="406"/>
      <c r="BG116" s="405"/>
    </row>
    <row r="117" spans="1:59">
      <c r="A117" s="78">
        <f ca="1">LOOKUP(RANDBETWEEN(1,10),de100X,de10X)</f>
        <v>2</v>
      </c>
      <c r="B117" s="401">
        <f ca="1">IF(pNS="-",LOOKUP(RANDBETWEEN(1,100),de100X,NSX),pNS)</f>
        <v>2</v>
      </c>
      <c r="C117" s="187">
        <f ca="1">IF(pRIC="-",LOOKUP(RANDBETWEEN(1,100),de100X,richesseX),pRIC)</f>
        <v>1.1000000000000001</v>
      </c>
      <c r="D117" s="187">
        <f ca="1">IF(pNTR="-",LOOKUP(RANDBETWEEN(1,10),de100X,de10X)+LOOKUP(RANDBETWEEN(1,10),de100X,de10X)+LOOKUP(RANDBETWEEN(1,10),de100X,de10X),pNTR)</f>
        <v>6</v>
      </c>
      <c r="E117" s="402"/>
      <c r="F117" s="95">
        <f ca="1">(LOOKUP(RANDBETWEEN(1,10),de100X,de10X)+LOOKUP(RANDBETWEEN(1,10),de100X,de10X))*10</f>
        <v>20</v>
      </c>
      <c r="G117" s="78" t="str">
        <f ca="1">LOOKUP(RANDBETWEEN(1,26),de100X,LettreX)&amp;LOOKUP(RANDBETWEEN(1,14),de100X,VoyelleX)</f>
        <v>HA</v>
      </c>
      <c r="H117" s="78" t="str">
        <f ca="1">LOOKUP(RANDBETWEEN(1,26),de100X,LettreX)</f>
        <v>L</v>
      </c>
      <c r="I117" s="403" t="str">
        <f ca="1">LOOKUP(RANDBETWEEN(1,6),de100X,EnseigneX)</f>
        <v>Animal</v>
      </c>
      <c r="J117" s="78" t="str">
        <f ca="1">IF(A116&gt;1,LOOKUP(RANDBETWEEN(1,6),de100X,EnseigneX),"-")</f>
        <v>-</v>
      </c>
      <c r="K117" s="78" t="str">
        <f ca="1">IF(A116&gt;2,LOOKUP(RANDBETWEEN(1,6),de100X,EnseigneX),"-")</f>
        <v>-</v>
      </c>
      <c r="L117" s="189" t="str">
        <f ca="1">IF(A116&gt;3,LOOKUP(RANDBETWEEN(1,6),de100X,EnseigneX),"-")</f>
        <v>-</v>
      </c>
      <c r="R117" s="187"/>
      <c r="S117" s="187"/>
      <c r="T117" s="415"/>
      <c r="U117" s="416"/>
      <c r="V117" s="187"/>
      <c r="W117" s="187"/>
      <c r="X117" s="187"/>
      <c r="Y117" s="187"/>
      <c r="Z117" s="187"/>
      <c r="AB117" s="187"/>
      <c r="AC117" s="187"/>
      <c r="AD117" s="187"/>
      <c r="AE117" s="187"/>
      <c r="BC117" s="406"/>
      <c r="BE117" s="406"/>
      <c r="BG117" s="405"/>
    </row>
    <row r="118" spans="1:59" ht="12">
      <c r="A118" s="78">
        <f ca="1">IF(RANDBETWEEN(1,10)&lt;C117*2,LOOKUP(RANDBETWEEN(1,10),de100X,de10X),0)</f>
        <v>0</v>
      </c>
      <c r="B118" s="407" t="s">
        <v>598</v>
      </c>
      <c r="C118" s="408"/>
      <c r="D118" s="409" t="s">
        <v>1640</v>
      </c>
      <c r="E118" s="410" t="str">
        <f ca="1">CHOOSE(B117+1,LOOKUP(RANDBETWEEN(1,10),de100X,NS0x),LOOKUP(RANDBETWEEN(1,100),de100X,NS1x),LOOKUP(RANDBETWEEN(1,10),de100X,NS2x),LOOKUP(RANDBETWEEN(1,20),de100X,NS3x),LOOKUP(RANDBETWEEN(1,20),de100X,NS4x),LOOKUP(RANDBETWEEN(1,20),de100X,NS5x),LOOKUP(RANDBETWEEN(1,20),de100X,NS6x),LOOKUP(RANDBETWEEN(1,10),de100X,NS7x),LOOKUP(RANDBETWEEN(1,20),de100X,NS8x),LOOKUP(RANDBETWEEN(1,10),de100X,NS9x))</f>
        <v>Sapeur</v>
      </c>
      <c r="F118" s="411"/>
      <c r="H118" s="409" t="s">
        <v>287</v>
      </c>
      <c r="I118" s="412" t="s">
        <v>1641</v>
      </c>
      <c r="J118" s="413"/>
      <c r="K118" s="413"/>
      <c r="L118" s="414"/>
      <c r="R118" s="187"/>
      <c r="S118" s="187"/>
      <c r="T118" s="415"/>
      <c r="U118" s="416"/>
      <c r="V118" s="187"/>
      <c r="W118" s="187"/>
      <c r="X118" s="187"/>
      <c r="Y118" s="187"/>
      <c r="Z118" s="187"/>
      <c r="AB118" s="187"/>
      <c r="AC118" s="187"/>
      <c r="AD118" s="187"/>
      <c r="AE118" s="187"/>
      <c r="BC118" s="406"/>
      <c r="BE118" s="406"/>
      <c r="BG118" s="405"/>
    </row>
    <row r="119" spans="1:59" ht="10.8" thickBot="1">
      <c r="A119" s="220"/>
      <c r="B119" s="197" t="str">
        <f ca="1">IF(RANDBETWEEN(1,100)&lt;NE*C117,A117,"-")</f>
        <v>-</v>
      </c>
      <c r="C119" s="417"/>
      <c r="D119" s="418" t="str">
        <f ca="1">IF(A118&gt;0,LOOKUP(RANDBETWEEN(1,10),de100X,TraitX),"-")</f>
        <v>-</v>
      </c>
      <c r="E119" s="418" t="str">
        <f ca="1">IF(A118&gt;1,LOOKUP(RANDBETWEEN(1,10),de100X,TraitX),"-")</f>
        <v>-</v>
      </c>
      <c r="F119" s="418" t="str">
        <f ca="1">IF(A118&gt;2,LOOKUP(RANDBETWEEN(1,10),de100X,TraitX),"-")</f>
        <v>-</v>
      </c>
      <c r="G119" s="419" t="str">
        <f ca="1">IF(A118&gt;3,LOOKUP(RANDBETWEEN(1,10),de100X,TraitX),"-")</f>
        <v>-</v>
      </c>
      <c r="H119" s="420">
        <f ca="1">(F117-40)/RANDBETWEEN(1,6)+(5*A117)+(C117*10 -10)*RANDBETWEEN(1,6)+(D117*(RANDBETWEEN(1,6)-RANDBETWEEN(1,6)))</f>
        <v>9.6666666666666661</v>
      </c>
      <c r="I119" s="421">
        <f ca="1">(RANDBETWEEN(1,6)+4)*10*C117</f>
        <v>77</v>
      </c>
      <c r="J119" s="422">
        <f ca="1">(RANDBETWEEN(1,6)+4)*5*C117</f>
        <v>27.500000000000004</v>
      </c>
      <c r="K119" s="422">
        <f ca="1">(RANDBETWEEN(1,6)+4)*3*C117</f>
        <v>33</v>
      </c>
      <c r="L119" s="423">
        <f ca="1">(RANDBETWEEN(1,6)+4)*1*C117</f>
        <v>11</v>
      </c>
      <c r="R119" s="187"/>
      <c r="S119" s="187"/>
      <c r="T119" s="415"/>
      <c r="U119" s="416"/>
      <c r="V119" s="187"/>
      <c r="W119" s="187"/>
      <c r="X119" s="187"/>
      <c r="Y119" s="187"/>
      <c r="Z119" s="187"/>
      <c r="AB119" s="187"/>
      <c r="AC119" s="187"/>
      <c r="AD119" s="187"/>
      <c r="AE119" s="187"/>
      <c r="BC119" s="406"/>
      <c r="BE119" s="406"/>
      <c r="BG119" s="400"/>
    </row>
    <row r="120" spans="1:59">
      <c r="A120" s="78">
        <f ca="1">LOOKUP(RANDBETWEEN(1,10),de100X,de10X)</f>
        <v>2</v>
      </c>
      <c r="B120" s="393" t="s">
        <v>1134</v>
      </c>
      <c r="C120" s="394" t="s">
        <v>1135</v>
      </c>
      <c r="D120" s="394" t="s">
        <v>1630</v>
      </c>
      <c r="E120" s="395" t="s">
        <v>1631</v>
      </c>
      <c r="F120" s="394" t="s">
        <v>329</v>
      </c>
      <c r="G120" s="396" t="s">
        <v>721</v>
      </c>
      <c r="H120" s="395" t="s">
        <v>1632</v>
      </c>
      <c r="I120" s="396" t="s">
        <v>1633</v>
      </c>
      <c r="J120" s="397"/>
      <c r="K120" s="397"/>
      <c r="L120" s="398"/>
      <c r="M120" s="424"/>
      <c r="R120" s="187"/>
      <c r="S120" s="187"/>
      <c r="T120" s="415"/>
      <c r="U120" s="416"/>
      <c r="V120" s="187"/>
      <c r="W120" s="187"/>
      <c r="X120" s="187"/>
      <c r="Y120" s="187"/>
      <c r="Z120" s="187"/>
      <c r="AB120" s="187"/>
      <c r="AC120" s="187"/>
      <c r="AD120" s="187"/>
      <c r="AE120" s="187"/>
      <c r="AF120" s="187"/>
      <c r="BC120" s="406"/>
      <c r="BE120" s="406"/>
      <c r="BG120" s="406"/>
    </row>
    <row r="121" spans="1:59">
      <c r="A121" s="78">
        <f ca="1">LOOKUP(RANDBETWEEN(1,10),de100X,de10X)</f>
        <v>1</v>
      </c>
      <c r="B121" s="401">
        <f ca="1">IF(pNS="-",LOOKUP(RANDBETWEEN(1,100),de100X,NSX),pNS)</f>
        <v>5</v>
      </c>
      <c r="C121" s="187">
        <f ca="1">IF(pRIC="-",LOOKUP(RANDBETWEEN(1,100),de100X,richesseX),pRIC)</f>
        <v>1</v>
      </c>
      <c r="D121" s="187">
        <f ca="1">IF(pNTR="-",LOOKUP(RANDBETWEEN(1,10),de100X,de10X)+LOOKUP(RANDBETWEEN(1,10),de100X,de10X)+LOOKUP(RANDBETWEEN(1,10),de100X,de10X),pNTR)</f>
        <v>4</v>
      </c>
      <c r="E121" s="402"/>
      <c r="F121" s="95">
        <f ca="1">(LOOKUP(RANDBETWEEN(1,10),de100X,de10X)+LOOKUP(RANDBETWEEN(1,10),de100X,de10X))*10</f>
        <v>30</v>
      </c>
      <c r="G121" s="78" t="str">
        <f ca="1">LOOKUP(RANDBETWEEN(1,26),de100X,LettreX)&amp;LOOKUP(RANDBETWEEN(1,14),de100X,VoyelleX)</f>
        <v>CI</v>
      </c>
      <c r="H121" s="78" t="str">
        <f ca="1">LOOKUP(RANDBETWEEN(1,26),de100X,LettreX)</f>
        <v>W</v>
      </c>
      <c r="I121" s="403" t="str">
        <f ca="1">LOOKUP(RANDBETWEEN(1,6),de100X,EnseigneX)</f>
        <v>Nom famille</v>
      </c>
      <c r="J121" s="78" t="str">
        <f ca="1">IF(A120&gt;1,LOOKUP(RANDBETWEEN(1,6),de100X,EnseigneX),"-")</f>
        <v>Couleur</v>
      </c>
      <c r="K121" s="78" t="str">
        <f ca="1">IF(A120&gt;2,LOOKUP(RANDBETWEEN(1,6),de100X,EnseigneX),"-")</f>
        <v>-</v>
      </c>
      <c r="L121" s="189" t="str">
        <f ca="1">IF(A120&gt;3,LOOKUP(RANDBETWEEN(1,6),de100X,EnseigneX),"-")</f>
        <v>-</v>
      </c>
      <c r="R121" s="187"/>
      <c r="S121" s="187"/>
      <c r="T121" s="415"/>
      <c r="U121" s="416"/>
      <c r="V121" s="187"/>
      <c r="W121" s="187"/>
      <c r="X121" s="187"/>
      <c r="Y121" s="187"/>
      <c r="Z121" s="187"/>
      <c r="AB121" s="425"/>
      <c r="AC121" s="425"/>
      <c r="AD121" s="425"/>
      <c r="AE121" s="425"/>
      <c r="AF121" s="425"/>
      <c r="BC121" s="406"/>
      <c r="BE121" s="406"/>
      <c r="BG121" s="406"/>
    </row>
    <row r="122" spans="1:59" ht="12">
      <c r="A122" s="78">
        <f ca="1">IF(RANDBETWEEN(1,10)&lt;C121*2,LOOKUP(RANDBETWEEN(1,10),de100X,de10X),0)</f>
        <v>0</v>
      </c>
      <c r="B122" s="407" t="s">
        <v>598</v>
      </c>
      <c r="C122" s="408"/>
      <c r="D122" s="409" t="s">
        <v>1640</v>
      </c>
      <c r="E122" s="410" t="str">
        <f ca="1">CHOOSE(B121+1,LOOKUP(RANDBETWEEN(1,10),de100X,NS0x),LOOKUP(RANDBETWEEN(1,100),de100X,NS1x),LOOKUP(RANDBETWEEN(1,10),de100X,NS2x),LOOKUP(RANDBETWEEN(1,20),de100X,NS3x),LOOKUP(RANDBETWEEN(1,20),de100X,NS4x),LOOKUP(RANDBETWEEN(1,20),de100X,NS5x),LOOKUP(RANDBETWEEN(1,20),de100X,NS6x),LOOKUP(RANDBETWEEN(1,10),de100X,NS7x),LOOKUP(RANDBETWEEN(1,20),de100X,NS8x),LOOKUP(RANDBETWEEN(1,10),de100X,NS9x))</f>
        <v>Marchand </v>
      </c>
      <c r="F122" s="411"/>
      <c r="H122" s="409" t="s">
        <v>287</v>
      </c>
      <c r="I122" s="412" t="s">
        <v>1641</v>
      </c>
      <c r="J122" s="413"/>
      <c r="K122" s="413"/>
      <c r="L122" s="414"/>
      <c r="R122" s="187"/>
      <c r="S122" s="187"/>
      <c r="T122" s="415"/>
      <c r="U122" s="416"/>
      <c r="V122" s="187"/>
      <c r="W122" s="187"/>
      <c r="X122" s="187"/>
      <c r="Y122" s="187"/>
      <c r="Z122" s="187"/>
      <c r="AB122" s="187"/>
      <c r="AC122" s="187"/>
      <c r="AD122" s="187"/>
      <c r="AE122" s="187"/>
      <c r="BC122" s="406"/>
      <c r="BE122" s="406"/>
      <c r="BG122" s="406"/>
    </row>
    <row r="123" spans="1:59" ht="10.8" thickBot="1">
      <c r="A123" s="220"/>
      <c r="B123" s="197">
        <f ca="1">IF(RANDBETWEEN(1,100)&lt;NE*C121,A121,"-")</f>
        <v>1</v>
      </c>
      <c r="C123" s="417"/>
      <c r="D123" s="418" t="str">
        <f ca="1">IF(A122&gt;0,LOOKUP(RANDBETWEEN(1,10),de100X,TraitX),"-")</f>
        <v>-</v>
      </c>
      <c r="E123" s="418" t="str">
        <f ca="1">IF(A122&gt;1,LOOKUP(RANDBETWEEN(1,10),de100X,TraitX),"-")</f>
        <v>-</v>
      </c>
      <c r="F123" s="418" t="str">
        <f ca="1">IF(A122&gt;2,LOOKUP(RANDBETWEEN(1,10),de100X,TraitX),"-")</f>
        <v>-</v>
      </c>
      <c r="G123" s="419" t="str">
        <f ca="1">IF(A122&gt;3,LOOKUP(RANDBETWEEN(1,10),de100X,TraitX),"-")</f>
        <v>-</v>
      </c>
      <c r="H123" s="420">
        <f ca="1">(F121-40)/RANDBETWEEN(1,6)+(5*A121)+(C121*10 -10)*RANDBETWEEN(1,6)+(D121*(RANDBETWEEN(1,6)-RANDBETWEEN(1,6)))</f>
        <v>-5</v>
      </c>
      <c r="I123" s="421">
        <f ca="1">(RANDBETWEEN(1,6)+4)*10*C121</f>
        <v>50</v>
      </c>
      <c r="J123" s="422">
        <f ca="1">(RANDBETWEEN(1,6)+4)*5*C121</f>
        <v>30</v>
      </c>
      <c r="K123" s="422">
        <f ca="1">(RANDBETWEEN(1,6)+4)*3*C121</f>
        <v>21</v>
      </c>
      <c r="L123" s="423">
        <f ca="1">(RANDBETWEEN(1,6)+4)*1*C121</f>
        <v>10</v>
      </c>
      <c r="R123" s="187"/>
      <c r="S123" s="187"/>
      <c r="T123" s="415"/>
      <c r="U123" s="416"/>
      <c r="V123" s="187"/>
      <c r="W123" s="187"/>
      <c r="X123" s="187"/>
      <c r="Y123" s="187"/>
      <c r="Z123" s="187"/>
      <c r="AB123" s="187"/>
      <c r="AC123" s="187"/>
      <c r="AD123" s="187"/>
      <c r="AE123" s="187"/>
      <c r="BC123" s="406"/>
      <c r="BE123" s="406"/>
      <c r="BG123" s="406"/>
    </row>
    <row r="124" spans="1:59">
      <c r="A124" s="78">
        <f ca="1">LOOKUP(RANDBETWEEN(1,10),de100X,de10X)</f>
        <v>3</v>
      </c>
      <c r="B124" s="393" t="s">
        <v>1134</v>
      </c>
      <c r="C124" s="394" t="s">
        <v>1135</v>
      </c>
      <c r="D124" s="394" t="s">
        <v>1630</v>
      </c>
      <c r="E124" s="395" t="s">
        <v>1631</v>
      </c>
      <c r="F124" s="394" t="s">
        <v>329</v>
      </c>
      <c r="G124" s="396" t="s">
        <v>721</v>
      </c>
      <c r="H124" s="395" t="s">
        <v>1632</v>
      </c>
      <c r="I124" s="396" t="s">
        <v>1633</v>
      </c>
      <c r="J124" s="397"/>
      <c r="K124" s="397"/>
      <c r="L124" s="398"/>
      <c r="R124" s="187"/>
      <c r="S124" s="187"/>
      <c r="T124" s="415"/>
      <c r="U124" s="416"/>
      <c r="V124" s="187"/>
      <c r="W124" s="187"/>
      <c r="X124" s="187"/>
      <c r="Y124" s="187"/>
      <c r="Z124" s="187"/>
      <c r="AB124" s="187"/>
      <c r="AC124" s="187"/>
      <c r="AD124" s="187"/>
      <c r="AE124" s="187"/>
      <c r="BC124" s="406"/>
      <c r="BE124" s="400"/>
      <c r="BG124" s="406"/>
    </row>
    <row r="125" spans="1:59">
      <c r="A125" s="78">
        <f ca="1">LOOKUP(RANDBETWEEN(1,10),de100X,de10X)</f>
        <v>1</v>
      </c>
      <c r="B125" s="401">
        <f ca="1">IF(pNS="-",LOOKUP(RANDBETWEEN(1,100),de100X,NSX),pNS)</f>
        <v>3</v>
      </c>
      <c r="C125" s="187">
        <f ca="1">IF(pRIC="-",LOOKUP(RANDBETWEEN(1,100),de100X,richesseX),pRIC)</f>
        <v>1</v>
      </c>
      <c r="D125" s="187">
        <f ca="1">IF(pNTR="-",LOOKUP(RANDBETWEEN(1,10),de100X,de10X)+LOOKUP(RANDBETWEEN(1,10),de100X,de10X)+LOOKUP(RANDBETWEEN(1,10),de100X,de10X),pNTR)</f>
        <v>9</v>
      </c>
      <c r="E125" s="402"/>
      <c r="F125" s="95">
        <f ca="1">(LOOKUP(RANDBETWEEN(1,10),de100X,de10X)+LOOKUP(RANDBETWEEN(1,10),de100X,de10X))*10</f>
        <v>40</v>
      </c>
      <c r="G125" s="78" t="str">
        <f ca="1">LOOKUP(RANDBETWEEN(1,26),de100X,LettreX)&amp;LOOKUP(RANDBETWEEN(1,14),de100X,VoyelleX)</f>
        <v>OA</v>
      </c>
      <c r="H125" s="78" t="str">
        <f ca="1">LOOKUP(RANDBETWEEN(1,26),de100X,LettreX)</f>
        <v>X</v>
      </c>
      <c r="I125" s="403" t="str">
        <f ca="1">LOOKUP(RANDBETWEEN(1,6),de100X,EnseigneX)</f>
        <v>Nom famille</v>
      </c>
      <c r="J125" s="78" t="str">
        <f ca="1">IF(A124&gt;1,LOOKUP(RANDBETWEEN(1,6),de100X,EnseigneX),"-")</f>
        <v>Nom famille</v>
      </c>
      <c r="K125" s="78" t="str">
        <f ca="1">IF(A124&gt;2,LOOKUP(RANDBETWEEN(1,6),de100X,EnseigneX),"-")</f>
        <v>Animal</v>
      </c>
      <c r="L125" s="189" t="str">
        <f ca="1">IF(A124&gt;3,LOOKUP(RANDBETWEEN(1,6),de100X,EnseigneX),"-")</f>
        <v>-</v>
      </c>
      <c r="R125" s="187"/>
      <c r="S125" s="187"/>
      <c r="T125" s="415"/>
      <c r="U125" s="416"/>
      <c r="V125" s="187"/>
      <c r="W125" s="187"/>
      <c r="X125" s="187"/>
      <c r="Y125" s="187"/>
      <c r="Z125" s="187"/>
      <c r="AB125" s="187"/>
      <c r="AC125" s="187"/>
      <c r="AD125" s="187"/>
      <c r="AE125" s="187"/>
      <c r="BC125" s="406"/>
      <c r="BE125" s="405"/>
      <c r="BG125" s="406"/>
    </row>
    <row r="126" spans="1:59" ht="12">
      <c r="A126" s="78">
        <f ca="1">IF(RANDBETWEEN(1,10)&lt;C125*2,LOOKUP(RANDBETWEEN(1,10),de100X,de10X),0)</f>
        <v>0</v>
      </c>
      <c r="B126" s="407" t="s">
        <v>598</v>
      </c>
      <c r="C126" s="408"/>
      <c r="D126" s="409" t="s">
        <v>1640</v>
      </c>
      <c r="E126" s="410" t="str">
        <f ca="1">CHOOSE(B125+1,LOOKUP(RANDBETWEEN(1,10),de100X,NS0x),LOOKUP(RANDBETWEEN(1,100),de100X,NS1x),LOOKUP(RANDBETWEEN(1,10),de100X,NS2x),LOOKUP(RANDBETWEEN(1,20),de100X,NS3x),LOOKUP(RANDBETWEEN(1,20),de100X,NS4x),LOOKUP(RANDBETWEEN(1,20),de100X,NS5x),LOOKUP(RANDBETWEEN(1,20),de100X,NS6x),LOOKUP(RANDBETWEEN(1,10),de100X,NS7x),LOOKUP(RANDBETWEEN(1,20),de100X,NS8x),LOOKUP(RANDBETWEEN(1,10),de100X,NS9x))</f>
        <v>Danseur </v>
      </c>
      <c r="F126" s="411"/>
      <c r="H126" s="409" t="s">
        <v>287</v>
      </c>
      <c r="I126" s="412" t="s">
        <v>1641</v>
      </c>
      <c r="J126" s="413"/>
      <c r="K126" s="413"/>
      <c r="L126" s="414"/>
      <c r="R126" s="187"/>
      <c r="S126" s="187"/>
      <c r="T126" s="415"/>
      <c r="U126" s="416"/>
      <c r="V126" s="187"/>
      <c r="W126" s="187"/>
      <c r="X126" s="187"/>
      <c r="Y126" s="187"/>
      <c r="Z126" s="187"/>
      <c r="AB126" s="187"/>
      <c r="AC126" s="187"/>
      <c r="AD126" s="187"/>
      <c r="AE126" s="187"/>
      <c r="BC126" s="406"/>
      <c r="BE126" s="405"/>
      <c r="BG126" s="406"/>
    </row>
    <row r="127" spans="1:59" ht="10.8" thickBot="1">
      <c r="A127" s="220"/>
      <c r="B127" s="197">
        <f ca="1">IF(RANDBETWEEN(1,100)&lt;NE*C125,A125,"-")</f>
        <v>1</v>
      </c>
      <c r="C127" s="417"/>
      <c r="D127" s="418" t="str">
        <f ca="1">IF(A126&gt;0,LOOKUP(RANDBETWEEN(1,10),de100X,TraitX),"-")</f>
        <v>-</v>
      </c>
      <c r="E127" s="418" t="str">
        <f ca="1">IF(A126&gt;1,LOOKUP(RANDBETWEEN(1,10),de100X,TraitX),"-")</f>
        <v>-</v>
      </c>
      <c r="F127" s="418" t="str">
        <f ca="1">IF(A126&gt;2,LOOKUP(RANDBETWEEN(1,10),de100X,TraitX),"-")</f>
        <v>-</v>
      </c>
      <c r="G127" s="419" t="str">
        <f ca="1">IF(A126&gt;3,LOOKUP(RANDBETWEEN(1,10),de100X,TraitX),"-")</f>
        <v>-</v>
      </c>
      <c r="H127" s="420">
        <f ca="1">(F125-40)/RANDBETWEEN(1,6)+(5*A125)+(C125*10 -10)*RANDBETWEEN(1,6)+(D125*(RANDBETWEEN(1,6)-RANDBETWEEN(1,6)))</f>
        <v>-13</v>
      </c>
      <c r="I127" s="421">
        <f ca="1">(RANDBETWEEN(1,6)+4)*10*C125</f>
        <v>100</v>
      </c>
      <c r="J127" s="422">
        <f ca="1">(RANDBETWEEN(1,6)+4)*5*C125</f>
        <v>50</v>
      </c>
      <c r="K127" s="422">
        <f ca="1">(RANDBETWEEN(1,6)+4)*3*C125</f>
        <v>27</v>
      </c>
      <c r="L127" s="423">
        <f ca="1">(RANDBETWEEN(1,6)+4)*1*C125</f>
        <v>7</v>
      </c>
      <c r="R127" s="187"/>
      <c r="S127" s="187"/>
      <c r="T127" s="415"/>
      <c r="U127" s="416"/>
      <c r="V127" s="187"/>
      <c r="W127" s="187"/>
      <c r="X127" s="187"/>
      <c r="Y127" s="187"/>
      <c r="Z127" s="187"/>
      <c r="AB127" s="187"/>
      <c r="AC127" s="187"/>
      <c r="AD127" s="187"/>
      <c r="AE127" s="187"/>
      <c r="BC127" s="406"/>
      <c r="BE127" s="405"/>
      <c r="BG127" s="406"/>
    </row>
    <row r="128" spans="1:59">
      <c r="A128" s="78">
        <f ca="1">LOOKUP(RANDBETWEEN(1,10),de100X,de10X)</f>
        <v>1</v>
      </c>
      <c r="B128" s="393" t="s">
        <v>1134</v>
      </c>
      <c r="C128" s="394" t="s">
        <v>1135</v>
      </c>
      <c r="D128" s="394" t="s">
        <v>1630</v>
      </c>
      <c r="E128" s="395" t="s">
        <v>1631</v>
      </c>
      <c r="F128" s="394" t="s">
        <v>329</v>
      </c>
      <c r="G128" s="396" t="s">
        <v>721</v>
      </c>
      <c r="H128" s="395" t="s">
        <v>1632</v>
      </c>
      <c r="I128" s="396" t="s">
        <v>1633</v>
      </c>
      <c r="J128" s="397"/>
      <c r="K128" s="397"/>
      <c r="L128" s="398"/>
      <c r="R128" s="187"/>
      <c r="S128" s="187"/>
      <c r="T128" s="415"/>
      <c r="U128" s="416"/>
      <c r="V128" s="187"/>
      <c r="W128" s="187"/>
      <c r="X128" s="187"/>
      <c r="Y128" s="187"/>
      <c r="Z128" s="187"/>
      <c r="AB128" s="187"/>
      <c r="AC128" s="187"/>
      <c r="AD128" s="187"/>
      <c r="AE128" s="187"/>
      <c r="BC128" s="406"/>
      <c r="BE128" s="405"/>
      <c r="BG128" s="406"/>
    </row>
    <row r="129" spans="1:59">
      <c r="A129" s="78">
        <f ca="1">LOOKUP(RANDBETWEEN(1,10),de100X,de10X)</f>
        <v>1</v>
      </c>
      <c r="B129" s="401">
        <f ca="1">IF(pNS="-",LOOKUP(RANDBETWEEN(1,100),de100X,NSX),pNS)</f>
        <v>3</v>
      </c>
      <c r="C129" s="187">
        <f ca="1">IF(pRIC="-",LOOKUP(RANDBETWEEN(1,100),de100X,richesseX),pRIC)</f>
        <v>1</v>
      </c>
      <c r="D129" s="187">
        <f ca="1">IF(pNTR="-",LOOKUP(RANDBETWEEN(1,10),de100X,de10X)+LOOKUP(RANDBETWEEN(1,10),de100X,de10X)+LOOKUP(RANDBETWEEN(1,10),de100X,de10X),pNTR)</f>
        <v>4</v>
      </c>
      <c r="E129" s="402"/>
      <c r="F129" s="95">
        <f ca="1">(LOOKUP(RANDBETWEEN(1,10),de100X,de10X)+LOOKUP(RANDBETWEEN(1,10),de100X,de10X))*10</f>
        <v>60</v>
      </c>
      <c r="G129" s="78" t="str">
        <f ca="1">LOOKUP(RANDBETWEEN(1,26),de100X,LettreX)&amp;LOOKUP(RANDBETWEEN(1,14),de100X,VoyelleX)</f>
        <v>FU</v>
      </c>
      <c r="H129" s="78" t="str">
        <f ca="1">LOOKUP(RANDBETWEEN(1,26),de100X,LettreX)</f>
        <v>J</v>
      </c>
      <c r="I129" s="403" t="str">
        <f ca="1">LOOKUP(RANDBETWEEN(1,6),de100X,EnseigneX)</f>
        <v>Adjectif</v>
      </c>
      <c r="J129" s="78" t="str">
        <f ca="1">IF(A128&gt;1,LOOKUP(RANDBETWEEN(1,6),de100X,EnseigneX),"-")</f>
        <v>-</v>
      </c>
      <c r="K129" s="78" t="str">
        <f ca="1">IF(A128&gt;2,LOOKUP(RANDBETWEEN(1,6),de100X,EnseigneX),"-")</f>
        <v>-</v>
      </c>
      <c r="L129" s="189" t="str">
        <f ca="1">IF(A128&gt;3,LOOKUP(RANDBETWEEN(1,6),de100X,EnseigneX),"-")</f>
        <v>-</v>
      </c>
      <c r="R129" s="187"/>
      <c r="S129" s="187"/>
      <c r="T129" s="415"/>
      <c r="U129" s="416"/>
      <c r="V129" s="187"/>
      <c r="W129" s="187"/>
      <c r="X129" s="187"/>
      <c r="Y129" s="187"/>
      <c r="Z129" s="187"/>
      <c r="AB129" s="187"/>
      <c r="AC129" s="187"/>
      <c r="AD129" s="187"/>
      <c r="AE129" s="187"/>
      <c r="BC129" s="406"/>
      <c r="BE129" s="405"/>
      <c r="BG129" s="406"/>
    </row>
    <row r="130" spans="1:59" ht="12">
      <c r="A130" s="78">
        <f ca="1">IF(RANDBETWEEN(1,10)&lt;C129*2,LOOKUP(RANDBETWEEN(1,10),de100X,de10X),0)</f>
        <v>0</v>
      </c>
      <c r="B130" s="407" t="s">
        <v>598</v>
      </c>
      <c r="C130" s="408"/>
      <c r="D130" s="409" t="s">
        <v>1640</v>
      </c>
      <c r="E130" s="410" t="str">
        <f ca="1">CHOOSE(B129+1,LOOKUP(RANDBETWEEN(1,10),de100X,NS0x),LOOKUP(RANDBETWEEN(1,100),de100X,NS1x),LOOKUP(RANDBETWEEN(1,10),de100X,NS2x),LOOKUP(RANDBETWEEN(1,20),de100X,NS3x),LOOKUP(RANDBETWEEN(1,20),de100X,NS4x),LOOKUP(RANDBETWEEN(1,20),de100X,NS5x),LOOKUP(RANDBETWEEN(1,20),de100X,NS6x),LOOKUP(RANDBETWEEN(1,10),de100X,NS7x),LOOKUP(RANDBETWEEN(1,20),de100X,NS8x),LOOKUP(RANDBETWEEN(1,10),de100X,NS9x))</f>
        <v>Savant</v>
      </c>
      <c r="F130" s="411"/>
      <c r="H130" s="409" t="s">
        <v>287</v>
      </c>
      <c r="I130" s="412" t="s">
        <v>1641</v>
      </c>
      <c r="J130" s="413"/>
      <c r="K130" s="413"/>
      <c r="L130" s="414"/>
      <c r="M130" s="106"/>
      <c r="R130" s="187"/>
      <c r="S130" s="187"/>
      <c r="T130" s="415"/>
      <c r="U130" s="416"/>
      <c r="V130" s="187"/>
      <c r="W130" s="187"/>
      <c r="X130" s="187"/>
      <c r="Y130" s="187"/>
      <c r="Z130" s="187"/>
      <c r="AB130" s="187"/>
      <c r="AC130" s="187"/>
      <c r="AD130" s="187"/>
      <c r="AE130" s="187"/>
      <c r="BC130" s="406"/>
      <c r="BE130" s="405"/>
      <c r="BG130" s="400"/>
    </row>
    <row r="131" spans="1:59" ht="10.8" thickBot="1">
      <c r="A131" s="220"/>
      <c r="B131" s="197">
        <f ca="1">IF(RANDBETWEEN(1,100)&lt;NE*C129,A129,"-")</f>
        <v>1</v>
      </c>
      <c r="C131" s="417"/>
      <c r="D131" s="418" t="str">
        <f ca="1">IF(A130&gt;0,LOOKUP(RANDBETWEEN(1,10),de100X,TraitX),"-")</f>
        <v>-</v>
      </c>
      <c r="E131" s="418" t="str">
        <f ca="1">IF(A130&gt;1,LOOKUP(RANDBETWEEN(1,10),de100X,TraitX),"-")</f>
        <v>-</v>
      </c>
      <c r="F131" s="418" t="str">
        <f ca="1">IF(A130&gt;2,LOOKUP(RANDBETWEEN(1,10),de100X,TraitX),"-")</f>
        <v>-</v>
      </c>
      <c r="G131" s="419" t="str">
        <f ca="1">IF(A130&gt;3,LOOKUP(RANDBETWEEN(1,10),de100X,TraitX),"-")</f>
        <v>-</v>
      </c>
      <c r="H131" s="420">
        <f ca="1">(F129-40)/RANDBETWEEN(1,6)+(5*A129)+(C129*10 -10)*RANDBETWEEN(1,6)+(D129*(RANDBETWEEN(1,6)-RANDBETWEEN(1,6)))</f>
        <v>20.333333333333336</v>
      </c>
      <c r="I131" s="421">
        <f ca="1">(RANDBETWEEN(1,6)+4)*10*C129</f>
        <v>100</v>
      </c>
      <c r="J131" s="422">
        <f ca="1">(RANDBETWEEN(1,6)+4)*5*C129</f>
        <v>30</v>
      </c>
      <c r="K131" s="422">
        <f ca="1">(RANDBETWEEN(1,6)+4)*3*C129</f>
        <v>27</v>
      </c>
      <c r="L131" s="423">
        <f ca="1">(RANDBETWEEN(1,6)+4)*1*C129</f>
        <v>5</v>
      </c>
      <c r="R131" s="187"/>
      <c r="S131" s="187"/>
      <c r="T131" s="415"/>
      <c r="U131" s="416"/>
      <c r="V131" s="187"/>
      <c r="W131" s="187"/>
      <c r="X131" s="187"/>
      <c r="Y131" s="187"/>
      <c r="Z131" s="187"/>
      <c r="AB131" s="187"/>
      <c r="AC131" s="187"/>
      <c r="AD131" s="187"/>
      <c r="AE131" s="187"/>
      <c r="BC131" s="406"/>
      <c r="BE131" s="405"/>
      <c r="BG131" s="405"/>
    </row>
    <row r="132" spans="1:59">
      <c r="A132" s="78">
        <f ca="1">LOOKUP(RANDBETWEEN(1,10),de100X,de10X)</f>
        <v>1</v>
      </c>
      <c r="B132" s="393" t="s">
        <v>1134</v>
      </c>
      <c r="C132" s="394" t="s">
        <v>1135</v>
      </c>
      <c r="D132" s="394" t="s">
        <v>1630</v>
      </c>
      <c r="E132" s="395" t="s">
        <v>1631</v>
      </c>
      <c r="F132" s="394" t="s">
        <v>329</v>
      </c>
      <c r="G132" s="396" t="s">
        <v>721</v>
      </c>
      <c r="H132" s="395" t="s">
        <v>1632</v>
      </c>
      <c r="I132" s="396" t="s">
        <v>1633</v>
      </c>
      <c r="J132" s="397"/>
      <c r="K132" s="397"/>
      <c r="L132" s="398"/>
      <c r="R132" s="187"/>
      <c r="S132" s="187"/>
      <c r="T132" s="415"/>
      <c r="U132" s="416"/>
      <c r="V132" s="187"/>
      <c r="W132" s="187"/>
      <c r="X132" s="187"/>
      <c r="Y132" s="187"/>
      <c r="Z132" s="187"/>
      <c r="AB132" s="187"/>
      <c r="AC132" s="187"/>
      <c r="AD132" s="187"/>
      <c r="AE132" s="187"/>
      <c r="BC132" s="406"/>
      <c r="BE132" s="405"/>
      <c r="BG132" s="405"/>
    </row>
    <row r="133" spans="1:59">
      <c r="A133" s="78">
        <f ca="1">LOOKUP(RANDBETWEEN(1,10),de100X,de10X)</f>
        <v>2</v>
      </c>
      <c r="B133" s="401">
        <f ca="1">IF(pNS="-",LOOKUP(RANDBETWEEN(1,100),de100X,NSX),pNS)</f>
        <v>4</v>
      </c>
      <c r="C133" s="187">
        <f ca="1">IF(pRIC="-",LOOKUP(RANDBETWEEN(1,100),de100X,richesseX),pRIC)</f>
        <v>1</v>
      </c>
      <c r="D133" s="187">
        <f ca="1">IF(pNTR="-",LOOKUP(RANDBETWEEN(1,10),de100X,de10X)+LOOKUP(RANDBETWEEN(1,10),de100X,de10X)+LOOKUP(RANDBETWEEN(1,10),de100X,de10X),pNTR)</f>
        <v>7</v>
      </c>
      <c r="E133" s="402"/>
      <c r="F133" s="95">
        <f ca="1">(LOOKUP(RANDBETWEEN(1,10),de100X,de10X)+LOOKUP(RANDBETWEEN(1,10),de100X,de10X))*10</f>
        <v>50</v>
      </c>
      <c r="G133" s="78" t="str">
        <f ca="1">LOOKUP(RANDBETWEEN(1,26),de100X,LettreX)&amp;LOOKUP(RANDBETWEEN(1,14),de100X,VoyelleX)</f>
        <v>RE</v>
      </c>
      <c r="H133" s="78" t="str">
        <f ca="1">LOOKUP(RANDBETWEEN(1,26),de100X,LettreX)</f>
        <v>D</v>
      </c>
      <c r="I133" s="403" t="str">
        <f ca="1">LOOKUP(RANDBETWEEN(1,6),de100X,EnseigneX)</f>
        <v>Mot profession</v>
      </c>
      <c r="J133" s="78" t="str">
        <f ca="1">IF(A132&gt;1,LOOKUP(RANDBETWEEN(1,6),de100X,EnseigneX),"-")</f>
        <v>-</v>
      </c>
      <c r="K133" s="78" t="str">
        <f ca="1">IF(A132&gt;2,LOOKUP(RANDBETWEEN(1,6),de100X,EnseigneX),"-")</f>
        <v>-</v>
      </c>
      <c r="L133" s="189" t="str">
        <f ca="1">IF(A132&gt;3,LOOKUP(RANDBETWEEN(1,6),de100X,EnseigneX),"-")</f>
        <v>-</v>
      </c>
      <c r="R133" s="187"/>
      <c r="S133" s="187"/>
      <c r="T133" s="415"/>
      <c r="U133" s="416"/>
      <c r="V133" s="187"/>
      <c r="W133" s="187"/>
      <c r="X133" s="187"/>
      <c r="Y133" s="187"/>
      <c r="Z133" s="187"/>
      <c r="AB133" s="187"/>
      <c r="AC133" s="187"/>
      <c r="AD133" s="187"/>
      <c r="AE133" s="187"/>
      <c r="BC133" s="406"/>
      <c r="BE133" s="405"/>
      <c r="BG133" s="405"/>
    </row>
    <row r="134" spans="1:59" ht="12">
      <c r="A134" s="78">
        <f ca="1">IF(RANDBETWEEN(1,10)&lt;C133*2,LOOKUP(RANDBETWEEN(1,10),de100X,de10X),0)</f>
        <v>0</v>
      </c>
      <c r="B134" s="407" t="s">
        <v>598</v>
      </c>
      <c r="C134" s="408"/>
      <c r="D134" s="409" t="s">
        <v>1640</v>
      </c>
      <c r="E134" s="410" t="str">
        <f ca="1">CHOOSE(B133+1,LOOKUP(RANDBETWEEN(1,10),de100X,NS0x),LOOKUP(RANDBETWEEN(1,100),de100X,NS1x),LOOKUP(RANDBETWEEN(1,10),de100X,NS2x),LOOKUP(RANDBETWEEN(1,20),de100X,NS3x),LOOKUP(RANDBETWEEN(1,20),de100X,NS4x),LOOKUP(RANDBETWEEN(1,20),de100X,NS5x),LOOKUP(RANDBETWEEN(1,20),de100X,NS6x),LOOKUP(RANDBETWEEN(1,10),de100X,NS7x),LOOKUP(RANDBETWEEN(1,20),de100X,NS8x),LOOKUP(RANDBETWEEN(1,10),de100X,NS9x))</f>
        <v>Sellier </v>
      </c>
      <c r="F134" s="411"/>
      <c r="H134" s="409" t="s">
        <v>287</v>
      </c>
      <c r="I134" s="412" t="s">
        <v>1641</v>
      </c>
      <c r="J134" s="413"/>
      <c r="K134" s="413"/>
      <c r="L134" s="414"/>
      <c r="R134" s="187"/>
      <c r="S134" s="187"/>
      <c r="T134" s="415"/>
      <c r="U134" s="416"/>
      <c r="V134" s="187"/>
      <c r="W134" s="187"/>
      <c r="X134" s="187"/>
      <c r="Y134" s="187"/>
      <c r="Z134" s="187"/>
      <c r="AB134" s="187"/>
      <c r="AC134" s="187"/>
      <c r="AD134" s="187"/>
      <c r="AE134" s="187"/>
      <c r="BC134" s="406"/>
      <c r="BE134" s="405"/>
      <c r="BG134" s="405"/>
    </row>
    <row r="135" spans="1:59" ht="10.8" thickBot="1">
      <c r="A135" s="220"/>
      <c r="B135" s="197" t="str">
        <f ca="1">IF(RANDBETWEEN(1,100)&lt;NE*C133,A133,"-")</f>
        <v>-</v>
      </c>
      <c r="C135" s="417"/>
      <c r="D135" s="418" t="str">
        <f ca="1">IF(A134&gt;0,LOOKUP(RANDBETWEEN(1,10),de100X,TraitX),"-")</f>
        <v>-</v>
      </c>
      <c r="E135" s="418" t="str">
        <f ca="1">IF(A134&gt;1,LOOKUP(RANDBETWEEN(1,10),de100X,TraitX),"-")</f>
        <v>-</v>
      </c>
      <c r="F135" s="418" t="str">
        <f ca="1">IF(A134&gt;2,LOOKUP(RANDBETWEEN(1,10),de100X,TraitX),"-")</f>
        <v>-</v>
      </c>
      <c r="G135" s="419" t="str">
        <f ca="1">IF(A134&gt;3,LOOKUP(RANDBETWEEN(1,10),de100X,TraitX),"-")</f>
        <v>-</v>
      </c>
      <c r="H135" s="420">
        <f ca="1">(F133-40)/RANDBETWEEN(1,6)+(5*A133)+(C133*10 -10)*RANDBETWEEN(1,6)+(D133*(RANDBETWEEN(1,6)-RANDBETWEEN(1,6)))</f>
        <v>4.6666666666666661</v>
      </c>
      <c r="I135" s="421">
        <f ca="1">(RANDBETWEEN(1,6)+4)*10*C133</f>
        <v>80</v>
      </c>
      <c r="J135" s="422">
        <f ca="1">(RANDBETWEEN(1,6)+4)*5*C133</f>
        <v>30</v>
      </c>
      <c r="K135" s="422">
        <f ca="1">(RANDBETWEEN(1,6)+4)*3*C133</f>
        <v>15</v>
      </c>
      <c r="L135" s="423">
        <f ca="1">(RANDBETWEEN(1,6)+4)*1*C133</f>
        <v>9</v>
      </c>
      <c r="R135" s="187"/>
      <c r="S135" s="187"/>
      <c r="T135" s="415"/>
      <c r="U135" s="416"/>
      <c r="V135" s="187"/>
      <c r="W135" s="187"/>
      <c r="X135" s="187"/>
      <c r="Y135" s="187"/>
      <c r="Z135" s="187"/>
      <c r="AB135" s="187"/>
      <c r="AC135" s="187"/>
      <c r="AD135" s="187"/>
      <c r="AE135" s="187"/>
      <c r="BC135" s="406"/>
      <c r="BE135" s="405"/>
      <c r="BG135" s="405"/>
    </row>
    <row r="136" spans="1:59">
      <c r="A136" s="78">
        <f ca="1">LOOKUP(RANDBETWEEN(1,10),de100X,de10X)</f>
        <v>1</v>
      </c>
      <c r="B136" s="393" t="s">
        <v>1134</v>
      </c>
      <c r="C136" s="394" t="s">
        <v>1135</v>
      </c>
      <c r="D136" s="394" t="s">
        <v>1630</v>
      </c>
      <c r="E136" s="395" t="s">
        <v>1631</v>
      </c>
      <c r="F136" s="394" t="s">
        <v>329</v>
      </c>
      <c r="G136" s="396" t="s">
        <v>721</v>
      </c>
      <c r="H136" s="395" t="s">
        <v>1632</v>
      </c>
      <c r="I136" s="396" t="s">
        <v>1633</v>
      </c>
      <c r="J136" s="397"/>
      <c r="K136" s="397"/>
      <c r="L136" s="398"/>
      <c r="R136" s="187"/>
      <c r="S136" s="187"/>
      <c r="T136" s="415"/>
      <c r="U136" s="416"/>
      <c r="V136" s="187"/>
      <c r="W136" s="187"/>
      <c r="X136" s="187"/>
      <c r="Y136" s="187"/>
      <c r="Z136" s="187"/>
      <c r="AB136" s="187"/>
      <c r="AC136" s="187"/>
      <c r="AD136" s="187"/>
      <c r="AE136" s="187"/>
      <c r="BC136" s="406"/>
      <c r="BE136" s="405"/>
      <c r="BG136" s="405"/>
    </row>
    <row r="137" spans="1:59">
      <c r="A137" s="78">
        <f ca="1">LOOKUP(RANDBETWEEN(1,10),de100X,de10X)</f>
        <v>4</v>
      </c>
      <c r="B137" s="401">
        <f ca="1">IF(pNS="-",LOOKUP(RANDBETWEEN(1,100),de100X,NSX),pNS)</f>
        <v>5</v>
      </c>
      <c r="C137" s="187">
        <f ca="1">IF(pRIC="-",LOOKUP(RANDBETWEEN(1,100),de100X,richesseX),pRIC)</f>
        <v>0.5</v>
      </c>
      <c r="D137" s="187">
        <f ca="1">IF(pNTR="-",LOOKUP(RANDBETWEEN(1,10),de100X,de10X)+LOOKUP(RANDBETWEEN(1,10),de100X,de10X)+LOOKUP(RANDBETWEEN(1,10),de100X,de10X),pNTR)</f>
        <v>5</v>
      </c>
      <c r="E137" s="402"/>
      <c r="F137" s="95">
        <f ca="1">(LOOKUP(RANDBETWEEN(1,10),de100X,de10X)+LOOKUP(RANDBETWEEN(1,10),de100X,de10X))*10</f>
        <v>50</v>
      </c>
      <c r="G137" s="78" t="str">
        <f ca="1">LOOKUP(RANDBETWEEN(1,26),de100X,LettreX)&amp;LOOKUP(RANDBETWEEN(1,14),de100X,VoyelleX)</f>
        <v>IE</v>
      </c>
      <c r="H137" s="78" t="str">
        <f ca="1">LOOKUP(RANDBETWEEN(1,26),de100X,LettreX)</f>
        <v>G</v>
      </c>
      <c r="I137" s="403" t="str">
        <f ca="1">LOOKUP(RANDBETWEEN(1,6),de100X,EnseigneX)</f>
        <v>Animal</v>
      </c>
      <c r="J137" s="78" t="str">
        <f ca="1">IF(A136&gt;1,LOOKUP(RANDBETWEEN(1,6),de100X,EnseigneX),"-")</f>
        <v>-</v>
      </c>
      <c r="K137" s="78" t="str">
        <f ca="1">IF(A136&gt;2,LOOKUP(RANDBETWEEN(1,6),de100X,EnseigneX),"-")</f>
        <v>-</v>
      </c>
      <c r="L137" s="189" t="str">
        <f ca="1">IF(A136&gt;3,LOOKUP(RANDBETWEEN(1,6),de100X,EnseigneX),"-")</f>
        <v>-</v>
      </c>
      <c r="R137" s="187"/>
      <c r="S137" s="187"/>
      <c r="T137" s="415"/>
      <c r="U137" s="416"/>
      <c r="V137" s="187"/>
      <c r="W137" s="187"/>
      <c r="X137" s="187"/>
      <c r="Y137" s="187"/>
      <c r="Z137" s="187"/>
      <c r="AB137" s="187"/>
      <c r="AC137" s="187"/>
      <c r="AD137" s="187"/>
      <c r="AE137" s="187"/>
      <c r="BC137" s="406"/>
      <c r="BE137" s="405"/>
      <c r="BG137" s="405"/>
    </row>
    <row r="138" spans="1:59" ht="12">
      <c r="A138" s="78">
        <f ca="1">IF(RANDBETWEEN(1,10)&lt;C137*2,LOOKUP(RANDBETWEEN(1,10),de100X,de10X),0)</f>
        <v>0</v>
      </c>
      <c r="B138" s="407" t="s">
        <v>598</v>
      </c>
      <c r="C138" s="408"/>
      <c r="D138" s="409" t="s">
        <v>1640</v>
      </c>
      <c r="E138" s="410" t="str">
        <f ca="1">CHOOSE(B137+1,LOOKUP(RANDBETWEEN(1,10),de100X,NS0x),LOOKUP(RANDBETWEEN(1,100),de100X,NS1x),LOOKUP(RANDBETWEEN(1,10),de100X,NS2x),LOOKUP(RANDBETWEEN(1,20),de100X,NS3x),LOOKUP(RANDBETWEEN(1,20),de100X,NS4x),LOOKUP(RANDBETWEEN(1,20),de100X,NS5x),LOOKUP(RANDBETWEEN(1,20),de100X,NS6x),LOOKUP(RANDBETWEEN(1,10),de100X,NS7x),LOOKUP(RANDBETWEEN(1,20),de100X,NS8x),LOOKUP(RANDBETWEEN(1,10),de100X,NS9x))</f>
        <v>Graveur </v>
      </c>
      <c r="F138" s="411"/>
      <c r="H138" s="409" t="s">
        <v>287</v>
      </c>
      <c r="I138" s="412" t="s">
        <v>1641</v>
      </c>
      <c r="J138" s="413"/>
      <c r="K138" s="413"/>
      <c r="L138" s="414"/>
      <c r="R138" s="187"/>
      <c r="S138" s="187"/>
      <c r="T138" s="415"/>
      <c r="U138" s="416"/>
      <c r="V138" s="187"/>
      <c r="W138" s="187"/>
      <c r="X138" s="187"/>
      <c r="Y138" s="187"/>
      <c r="Z138" s="187"/>
      <c r="AB138" s="187"/>
      <c r="AC138" s="187"/>
      <c r="AD138" s="187"/>
      <c r="AE138" s="187"/>
      <c r="BC138" s="406"/>
      <c r="BE138" s="405"/>
      <c r="BG138" s="405"/>
    </row>
    <row r="139" spans="1:59" ht="10.8" thickBot="1">
      <c r="A139" s="220"/>
      <c r="B139" s="197" t="str">
        <f ca="1">IF(RANDBETWEEN(1,100)&lt;NE*C137,A137,"-")</f>
        <v>-</v>
      </c>
      <c r="C139" s="417"/>
      <c r="D139" s="418" t="str">
        <f ca="1">IF(A138&gt;0,LOOKUP(RANDBETWEEN(1,10),de100X,TraitX),"-")</f>
        <v>-</v>
      </c>
      <c r="E139" s="418" t="str">
        <f ca="1">IF(A138&gt;1,LOOKUP(RANDBETWEEN(1,10),de100X,TraitX),"-")</f>
        <v>-</v>
      </c>
      <c r="F139" s="418" t="str">
        <f ca="1">IF(A138&gt;2,LOOKUP(RANDBETWEEN(1,10),de100X,TraitX),"-")</f>
        <v>-</v>
      </c>
      <c r="G139" s="419" t="str">
        <f ca="1">IF(A138&gt;3,LOOKUP(RANDBETWEEN(1,10),de100X,TraitX),"-")</f>
        <v>-</v>
      </c>
      <c r="H139" s="420">
        <f ca="1">(F137-40)/RANDBETWEEN(1,6)+(5*A137)+(C137*10 -10)*RANDBETWEEN(1,6)+(D137*(RANDBETWEEN(1,6)-RANDBETWEEN(1,6)))</f>
        <v>15</v>
      </c>
      <c r="I139" s="421">
        <f ca="1">(RANDBETWEEN(1,6)+4)*10*C137</f>
        <v>45</v>
      </c>
      <c r="J139" s="422">
        <f ca="1">(RANDBETWEEN(1,6)+4)*5*C137</f>
        <v>17.5</v>
      </c>
      <c r="K139" s="422">
        <f ca="1">(RANDBETWEEN(1,6)+4)*3*C137</f>
        <v>7.5</v>
      </c>
      <c r="L139" s="423">
        <f ca="1">(RANDBETWEEN(1,6)+4)*1*C137</f>
        <v>3</v>
      </c>
      <c r="R139" s="187"/>
      <c r="S139" s="187"/>
      <c r="T139" s="415"/>
      <c r="U139" s="416"/>
      <c r="V139" s="187"/>
      <c r="W139" s="187"/>
      <c r="X139" s="187"/>
      <c r="Y139" s="187"/>
      <c r="Z139" s="187"/>
      <c r="AB139" s="187"/>
      <c r="AC139" s="187"/>
      <c r="AD139" s="187"/>
      <c r="AE139" s="187"/>
      <c r="BC139" s="406"/>
      <c r="BE139" s="405"/>
      <c r="BG139" s="405"/>
    </row>
    <row r="140" spans="1:59">
      <c r="A140" s="78">
        <f ca="1">LOOKUP(RANDBETWEEN(1,10),de100X,de10X)</f>
        <v>3</v>
      </c>
      <c r="B140" s="393" t="s">
        <v>1134</v>
      </c>
      <c r="C140" s="394" t="s">
        <v>1135</v>
      </c>
      <c r="D140" s="394" t="s">
        <v>1630</v>
      </c>
      <c r="E140" s="395" t="s">
        <v>1631</v>
      </c>
      <c r="F140" s="394" t="s">
        <v>329</v>
      </c>
      <c r="G140" s="396" t="s">
        <v>721</v>
      </c>
      <c r="H140" s="395" t="s">
        <v>1632</v>
      </c>
      <c r="I140" s="396" t="s">
        <v>1633</v>
      </c>
      <c r="J140" s="397"/>
      <c r="K140" s="397"/>
      <c r="L140" s="398"/>
      <c r="R140" s="187"/>
      <c r="S140" s="187"/>
      <c r="T140" s="415"/>
      <c r="U140" s="416"/>
      <c r="V140" s="187"/>
      <c r="W140" s="187"/>
      <c r="X140" s="187"/>
      <c r="Y140" s="187"/>
      <c r="Z140" s="187"/>
      <c r="AB140" s="187"/>
      <c r="AC140" s="187"/>
      <c r="AD140" s="187"/>
      <c r="AE140" s="187"/>
      <c r="BC140" s="406"/>
      <c r="BE140" s="405"/>
      <c r="BG140" s="405"/>
    </row>
    <row r="141" spans="1:59">
      <c r="A141" s="78">
        <f ca="1">LOOKUP(RANDBETWEEN(1,10),de100X,de10X)</f>
        <v>2</v>
      </c>
      <c r="B141" s="401">
        <f ca="1">IF(pNS="-",LOOKUP(RANDBETWEEN(1,100),de100X,NSX),pNS)</f>
        <v>6</v>
      </c>
      <c r="C141" s="187">
        <f ca="1">IF(pRIC="-",LOOKUP(RANDBETWEEN(1,100),de100X,richesseX),pRIC)</f>
        <v>1</v>
      </c>
      <c r="D141" s="187">
        <f ca="1">IF(pNTR="-",LOOKUP(RANDBETWEEN(1,10),de100X,de10X)+LOOKUP(RANDBETWEEN(1,10),de100X,de10X)+LOOKUP(RANDBETWEEN(1,10),de100X,de10X),pNTR)</f>
        <v>8</v>
      </c>
      <c r="E141" s="402"/>
      <c r="F141" s="95">
        <f ca="1">(LOOKUP(RANDBETWEEN(1,10),de100X,de10X)+LOOKUP(RANDBETWEEN(1,10),de100X,de10X))*10</f>
        <v>50</v>
      </c>
      <c r="G141" s="78" t="str">
        <f ca="1">LOOKUP(RANDBETWEEN(1,26),de100X,LettreX)&amp;LOOKUP(RANDBETWEEN(1,14),de100X,VoyelleX)</f>
        <v>WE</v>
      </c>
      <c r="H141" s="78" t="str">
        <f ca="1">LOOKUP(RANDBETWEEN(1,26),de100X,LettreX)</f>
        <v>U</v>
      </c>
      <c r="I141" s="403" t="str">
        <f ca="1">LOOKUP(RANDBETWEEN(1,6),de100X,EnseigneX)</f>
        <v>Animal</v>
      </c>
      <c r="J141" s="78" t="str">
        <f ca="1">IF(A140&gt;1,LOOKUP(RANDBETWEEN(1,6),de100X,EnseigneX),"-")</f>
        <v>Animal</v>
      </c>
      <c r="K141" s="78" t="str">
        <f ca="1">IF(A140&gt;2,LOOKUP(RANDBETWEEN(1,6),de100X,EnseigneX),"-")</f>
        <v>Mot profession</v>
      </c>
      <c r="L141" s="189" t="str">
        <f ca="1">IF(A140&gt;3,LOOKUP(RANDBETWEEN(1,6),de100X,EnseigneX),"-")</f>
        <v>-</v>
      </c>
      <c r="R141" s="187"/>
      <c r="S141" s="187"/>
      <c r="T141" s="415"/>
      <c r="U141" s="416"/>
      <c r="V141" s="187"/>
      <c r="W141" s="187"/>
      <c r="X141" s="187"/>
      <c r="Y141" s="187"/>
      <c r="Z141" s="187"/>
      <c r="AC141" s="187"/>
      <c r="BC141" s="406"/>
      <c r="BE141" s="400"/>
      <c r="BG141" s="405"/>
    </row>
    <row r="142" spans="1:59" ht="12">
      <c r="A142" s="78">
        <f ca="1">IF(RANDBETWEEN(1,10)&lt;C141*2,LOOKUP(RANDBETWEEN(1,10),de100X,de10X),0)</f>
        <v>0</v>
      </c>
      <c r="B142" s="407" t="s">
        <v>598</v>
      </c>
      <c r="C142" s="408"/>
      <c r="D142" s="409" t="s">
        <v>1640</v>
      </c>
      <c r="E142" s="410" t="str">
        <f ca="1">CHOOSE(B141+1,LOOKUP(RANDBETWEEN(1,10),de100X,NS0x),LOOKUP(RANDBETWEEN(1,100),de100X,NS1x),LOOKUP(RANDBETWEEN(1,10),de100X,NS2x),LOOKUP(RANDBETWEEN(1,20),de100X,NS3x),LOOKUP(RANDBETWEEN(1,20),de100X,NS4x),LOOKUP(RANDBETWEEN(1,20),de100X,NS5x),LOOKUP(RANDBETWEEN(1,20),de100X,NS6x),LOOKUP(RANDBETWEEN(1,10),de100X,NS7x),LOOKUP(RANDBETWEEN(1,20),de100X,NS8x),LOOKUP(RANDBETWEEN(1,10),de100X,NS9x))</f>
        <v>Joaillier </v>
      </c>
      <c r="F142" s="411"/>
      <c r="H142" s="409" t="s">
        <v>287</v>
      </c>
      <c r="I142" s="412" t="s">
        <v>1641</v>
      </c>
      <c r="J142" s="413"/>
      <c r="K142" s="413"/>
      <c r="L142" s="414"/>
      <c r="R142" s="187"/>
      <c r="S142" s="187"/>
      <c r="T142" s="415"/>
      <c r="U142" s="416"/>
      <c r="V142" s="187"/>
      <c r="W142" s="187"/>
      <c r="X142" s="187"/>
      <c r="Y142" s="187"/>
      <c r="Z142" s="187"/>
      <c r="AC142" s="187"/>
      <c r="BC142" s="406"/>
      <c r="BE142" s="406"/>
      <c r="BG142" s="405"/>
    </row>
    <row r="143" spans="1:59" ht="10.8" thickBot="1">
      <c r="A143" s="220"/>
      <c r="B143" s="197" t="str">
        <f ca="1">IF(RANDBETWEEN(1,100)&lt;NE*C141,A141,"-")</f>
        <v>-</v>
      </c>
      <c r="C143" s="417"/>
      <c r="D143" s="418" t="str">
        <f ca="1">IF(A142&gt;0,LOOKUP(RANDBETWEEN(1,10),de100X,TraitX),"-")</f>
        <v>-</v>
      </c>
      <c r="E143" s="418" t="str">
        <f ca="1">IF(A142&gt;1,LOOKUP(RANDBETWEEN(1,10),de100X,TraitX),"-")</f>
        <v>-</v>
      </c>
      <c r="F143" s="418" t="str">
        <f ca="1">IF(A142&gt;2,LOOKUP(RANDBETWEEN(1,10),de100X,TraitX),"-")</f>
        <v>-</v>
      </c>
      <c r="G143" s="419" t="str">
        <f ca="1">IF(A142&gt;3,LOOKUP(RANDBETWEEN(1,10),de100X,TraitX),"-")</f>
        <v>-</v>
      </c>
      <c r="H143" s="420">
        <f ca="1">(F141-40)/RANDBETWEEN(1,6)+(5*A141)+(C141*10 -10)*RANDBETWEEN(1,6)+(D141*(RANDBETWEEN(1,6)-RANDBETWEEN(1,6)))</f>
        <v>12.5</v>
      </c>
      <c r="I143" s="421">
        <f ca="1">(RANDBETWEEN(1,6)+4)*10*C141</f>
        <v>70</v>
      </c>
      <c r="J143" s="422">
        <f ca="1">(RANDBETWEEN(1,6)+4)*5*C141</f>
        <v>25</v>
      </c>
      <c r="K143" s="422">
        <f ca="1">(RANDBETWEEN(1,6)+4)*3*C141</f>
        <v>21</v>
      </c>
      <c r="L143" s="423">
        <f ca="1">(RANDBETWEEN(1,6)+4)*1*C141</f>
        <v>7</v>
      </c>
      <c r="R143" s="187"/>
      <c r="S143" s="187"/>
      <c r="T143" s="415"/>
      <c r="U143" s="416"/>
      <c r="V143" s="187"/>
      <c r="W143" s="187"/>
      <c r="X143" s="187"/>
      <c r="Y143" s="187"/>
      <c r="Z143" s="187"/>
      <c r="AC143" s="187"/>
      <c r="BC143" s="406"/>
      <c r="BE143" s="406"/>
      <c r="BG143" s="405"/>
    </row>
    <row r="144" spans="1:59">
      <c r="A144" s="78">
        <f ca="1">LOOKUP(RANDBETWEEN(1,10),de100X,de10X)</f>
        <v>1</v>
      </c>
      <c r="B144" s="393" t="s">
        <v>1134</v>
      </c>
      <c r="C144" s="394" t="s">
        <v>1135</v>
      </c>
      <c r="D144" s="394" t="s">
        <v>1630</v>
      </c>
      <c r="E144" s="395" t="s">
        <v>1631</v>
      </c>
      <c r="F144" s="394" t="s">
        <v>329</v>
      </c>
      <c r="G144" s="396" t="s">
        <v>721</v>
      </c>
      <c r="H144" s="395" t="s">
        <v>1632</v>
      </c>
      <c r="I144" s="396" t="s">
        <v>1633</v>
      </c>
      <c r="J144" s="397"/>
      <c r="K144" s="397"/>
      <c r="L144" s="398"/>
      <c r="R144" s="187"/>
      <c r="S144" s="187"/>
      <c r="T144" s="415"/>
      <c r="U144" s="416"/>
      <c r="V144" s="187"/>
      <c r="W144" s="187"/>
      <c r="X144" s="187"/>
      <c r="Y144" s="187"/>
      <c r="Z144" s="187"/>
      <c r="AC144" s="187"/>
      <c r="BC144" s="406"/>
      <c r="BE144" s="406"/>
      <c r="BG144" s="405"/>
    </row>
    <row r="145" spans="1:59">
      <c r="A145" s="78">
        <f ca="1">LOOKUP(RANDBETWEEN(1,10),de100X,de10X)</f>
        <v>4</v>
      </c>
      <c r="B145" s="401">
        <f ca="1">IF(pNS="-",LOOKUP(RANDBETWEEN(1,100),de100X,NSX),pNS)</f>
        <v>2</v>
      </c>
      <c r="C145" s="187">
        <f ca="1">IF(pRIC="-",LOOKUP(RANDBETWEEN(1,100),de100X,richesseX),pRIC)</f>
        <v>1</v>
      </c>
      <c r="D145" s="187">
        <f ca="1">IF(pNTR="-",LOOKUP(RANDBETWEEN(1,10),de100X,de10X)+LOOKUP(RANDBETWEEN(1,10),de100X,de10X)+LOOKUP(RANDBETWEEN(1,10),de100X,de10X),pNTR)</f>
        <v>9</v>
      </c>
      <c r="E145" s="402"/>
      <c r="F145" s="95">
        <f ca="1">(LOOKUP(RANDBETWEEN(1,10),de100X,de10X)+LOOKUP(RANDBETWEEN(1,10),de100X,de10X))*10</f>
        <v>50</v>
      </c>
      <c r="G145" s="78" t="str">
        <f ca="1">LOOKUP(RANDBETWEEN(1,26),de100X,LettreX)&amp;LOOKUP(RANDBETWEEN(1,14),de100X,VoyelleX)</f>
        <v>FE</v>
      </c>
      <c r="H145" s="78" t="str">
        <f ca="1">LOOKUP(RANDBETWEEN(1,26),de100X,LettreX)</f>
        <v>R</v>
      </c>
      <c r="I145" s="403" t="str">
        <f ca="1">LOOKUP(RANDBETWEEN(1,6),de100X,EnseigneX)</f>
        <v>Mot profession</v>
      </c>
      <c r="J145" s="78" t="str">
        <f ca="1">IF(A144&gt;1,LOOKUP(RANDBETWEEN(1,6),de100X,EnseigneX),"-")</f>
        <v>-</v>
      </c>
      <c r="K145" s="78" t="str">
        <f ca="1">IF(A144&gt;2,LOOKUP(RANDBETWEEN(1,6),de100X,EnseigneX),"-")</f>
        <v>-</v>
      </c>
      <c r="L145" s="189" t="str">
        <f ca="1">IF(A144&gt;3,LOOKUP(RANDBETWEEN(1,6),de100X,EnseigneX),"-")</f>
        <v>-</v>
      </c>
      <c r="R145" s="187"/>
      <c r="S145" s="187"/>
      <c r="T145" s="415"/>
      <c r="U145" s="416"/>
      <c r="V145" s="187"/>
      <c r="W145" s="187"/>
      <c r="X145" s="187"/>
      <c r="Y145" s="187"/>
      <c r="Z145" s="187"/>
      <c r="AC145" s="187"/>
      <c r="BC145" s="406"/>
      <c r="BE145" s="406"/>
      <c r="BG145" s="405"/>
    </row>
    <row r="146" spans="1:59" ht="12">
      <c r="A146" s="78">
        <f ca="1">IF(RANDBETWEEN(1,10)&lt;C145*2,LOOKUP(RANDBETWEEN(1,10),de100X,de10X),0)</f>
        <v>0</v>
      </c>
      <c r="B146" s="407" t="s">
        <v>598</v>
      </c>
      <c r="C146" s="408"/>
      <c r="D146" s="409" t="s">
        <v>1640</v>
      </c>
      <c r="E146" s="410" t="str">
        <f ca="1">CHOOSE(B145+1,LOOKUP(RANDBETWEEN(1,10),de100X,NS0x),LOOKUP(RANDBETWEEN(1,100),de100X,NS1x),LOOKUP(RANDBETWEEN(1,10),de100X,NS2x),LOOKUP(RANDBETWEEN(1,20),de100X,NS3x),LOOKUP(RANDBETWEEN(1,20),de100X,NS4x),LOOKUP(RANDBETWEEN(1,20),de100X,NS5x),LOOKUP(RANDBETWEEN(1,20),de100X,NS6x),LOOKUP(RANDBETWEEN(1,10),de100X,NS7x),LOOKUP(RANDBETWEEN(1,20),de100X,NS8x),LOOKUP(RANDBETWEEN(1,10),de100X,NS9x))</f>
        <v>Esclavagiste </v>
      </c>
      <c r="F146" s="411"/>
      <c r="H146" s="409" t="s">
        <v>287</v>
      </c>
      <c r="I146" s="412" t="s">
        <v>1641</v>
      </c>
      <c r="J146" s="413"/>
      <c r="K146" s="413"/>
      <c r="L146" s="414"/>
      <c r="R146" s="187"/>
      <c r="S146" s="187"/>
      <c r="T146" s="415"/>
      <c r="U146" s="416"/>
      <c r="V146" s="187"/>
      <c r="W146" s="187"/>
      <c r="X146" s="187"/>
      <c r="Y146" s="187"/>
      <c r="Z146" s="187"/>
      <c r="AC146" s="187"/>
      <c r="BC146" s="406"/>
      <c r="BE146" s="406"/>
      <c r="BG146" s="405"/>
    </row>
    <row r="147" spans="1:59" ht="10.8" thickBot="1">
      <c r="A147" s="220"/>
      <c r="B147" s="197">
        <f ca="1">IF(RANDBETWEEN(1,100)&lt;NE*C145,A145,"-")</f>
        <v>4</v>
      </c>
      <c r="C147" s="417"/>
      <c r="D147" s="418" t="str">
        <f ca="1">IF(A146&gt;0,LOOKUP(RANDBETWEEN(1,10),de100X,TraitX),"-")</f>
        <v>-</v>
      </c>
      <c r="E147" s="418" t="str">
        <f ca="1">IF(A146&gt;1,LOOKUP(RANDBETWEEN(1,10),de100X,TraitX),"-")</f>
        <v>-</v>
      </c>
      <c r="F147" s="418" t="str">
        <f ca="1">IF(A146&gt;2,LOOKUP(RANDBETWEEN(1,10),de100X,TraitX),"-")</f>
        <v>-</v>
      </c>
      <c r="G147" s="419" t="str">
        <f ca="1">IF(A146&gt;3,LOOKUP(RANDBETWEEN(1,10),de100X,TraitX),"-")</f>
        <v>-</v>
      </c>
      <c r="H147" s="420">
        <f ca="1">(F145-40)/RANDBETWEEN(1,6)+(5*A145)+(C145*10 -10)*RANDBETWEEN(1,6)+(D145*(RANDBETWEEN(1,6)-RANDBETWEEN(1,6)))</f>
        <v>48.666666666666671</v>
      </c>
      <c r="I147" s="421">
        <f ca="1">(RANDBETWEEN(1,6)+4)*10*C145</f>
        <v>100</v>
      </c>
      <c r="J147" s="422">
        <f ca="1">(RANDBETWEEN(1,6)+4)*5*C145</f>
        <v>30</v>
      </c>
      <c r="K147" s="422">
        <f ca="1">(RANDBETWEEN(1,6)+4)*3*C145</f>
        <v>30</v>
      </c>
      <c r="L147" s="423">
        <f ca="1">(RANDBETWEEN(1,6)+4)*1*C145</f>
        <v>7</v>
      </c>
      <c r="R147" s="187"/>
      <c r="S147" s="187"/>
      <c r="T147" s="415"/>
      <c r="U147" s="416"/>
      <c r="V147" s="187"/>
      <c r="W147" s="187"/>
      <c r="X147" s="187"/>
      <c r="Y147" s="187"/>
      <c r="Z147" s="187"/>
      <c r="AC147" s="187"/>
      <c r="BC147" s="406"/>
      <c r="BE147" s="406"/>
      <c r="BG147" s="405"/>
    </row>
    <row r="148" spans="1:59">
      <c r="A148" s="78">
        <f ca="1">LOOKUP(RANDBETWEEN(1,10),de100X,de10X)</f>
        <v>1</v>
      </c>
      <c r="B148" s="393" t="s">
        <v>1134</v>
      </c>
      <c r="C148" s="394" t="s">
        <v>1135</v>
      </c>
      <c r="D148" s="394" t="s">
        <v>1630</v>
      </c>
      <c r="E148" s="395" t="s">
        <v>1631</v>
      </c>
      <c r="F148" s="394" t="s">
        <v>329</v>
      </c>
      <c r="G148" s="396" t="s">
        <v>721</v>
      </c>
      <c r="H148" s="395" t="s">
        <v>1632</v>
      </c>
      <c r="I148" s="396" t="s">
        <v>1633</v>
      </c>
      <c r="J148" s="397"/>
      <c r="K148" s="397"/>
      <c r="L148" s="398"/>
      <c r="R148" s="187"/>
      <c r="S148" s="187"/>
      <c r="T148" s="415"/>
      <c r="U148" s="416"/>
      <c r="V148" s="187"/>
      <c r="W148" s="187"/>
      <c r="X148" s="187"/>
      <c r="Y148" s="187"/>
      <c r="Z148" s="187"/>
      <c r="AC148" s="187"/>
      <c r="BC148" s="406"/>
      <c r="BE148" s="406"/>
      <c r="BG148" s="405"/>
    </row>
    <row r="149" spans="1:59">
      <c r="A149" s="78">
        <f ca="1">LOOKUP(RANDBETWEEN(1,10),de100X,de10X)</f>
        <v>3</v>
      </c>
      <c r="B149" s="401">
        <f ca="1">IF(pNS="-",LOOKUP(RANDBETWEEN(1,100),de100X,NSX),pNS)</f>
        <v>3</v>
      </c>
      <c r="C149" s="187">
        <f ca="1">IF(pRIC="-",LOOKUP(RANDBETWEEN(1,100),de100X,richesseX),pRIC)</f>
        <v>0.8</v>
      </c>
      <c r="D149" s="187">
        <f ca="1">IF(pNTR="-",LOOKUP(RANDBETWEEN(1,10),de100X,de10X)+LOOKUP(RANDBETWEEN(1,10),de100X,de10X)+LOOKUP(RANDBETWEEN(1,10),de100X,de10X),pNTR)</f>
        <v>7</v>
      </c>
      <c r="E149" s="402"/>
      <c r="F149" s="95">
        <f ca="1">(LOOKUP(RANDBETWEEN(1,10),de100X,de10X)+LOOKUP(RANDBETWEEN(1,10),de100X,de10X))*10</f>
        <v>40</v>
      </c>
      <c r="G149" s="78" t="str">
        <f ca="1">LOOKUP(RANDBETWEEN(1,26),de100X,LettreX)&amp;LOOKUP(RANDBETWEEN(1,14),de100X,VoyelleX)</f>
        <v>GU</v>
      </c>
      <c r="H149" s="78" t="str">
        <f ca="1">LOOKUP(RANDBETWEEN(1,26),de100X,LettreX)</f>
        <v>A</v>
      </c>
      <c r="I149" s="403" t="str">
        <f ca="1">LOOKUP(RANDBETWEEN(1,6),de100X,EnseigneX)</f>
        <v>Nom connu</v>
      </c>
      <c r="J149" s="78" t="str">
        <f ca="1">IF(A148&gt;1,LOOKUP(RANDBETWEEN(1,6),de100X,EnseigneX),"-")</f>
        <v>-</v>
      </c>
      <c r="K149" s="78" t="str">
        <f ca="1">IF(A148&gt;2,LOOKUP(RANDBETWEEN(1,6),de100X,EnseigneX),"-")</f>
        <v>-</v>
      </c>
      <c r="L149" s="189" t="str">
        <f ca="1">IF(A148&gt;3,LOOKUP(RANDBETWEEN(1,6),de100X,EnseigneX),"-")</f>
        <v>-</v>
      </c>
      <c r="R149" s="187"/>
      <c r="S149" s="187"/>
      <c r="T149" s="415"/>
      <c r="U149" s="416"/>
      <c r="V149" s="187"/>
      <c r="W149" s="187"/>
      <c r="X149" s="187"/>
      <c r="Y149" s="187"/>
      <c r="Z149" s="187"/>
      <c r="AC149" s="187"/>
      <c r="BC149" s="406"/>
      <c r="BE149" s="406"/>
      <c r="BG149" s="405"/>
    </row>
    <row r="150" spans="1:59" ht="12">
      <c r="A150" s="78">
        <f ca="1">IF(RANDBETWEEN(1,10)&lt;C149*2,LOOKUP(RANDBETWEEN(1,10),de100X,de10X),0)</f>
        <v>0</v>
      </c>
      <c r="B150" s="407" t="s">
        <v>598</v>
      </c>
      <c r="C150" s="408"/>
      <c r="D150" s="409" t="s">
        <v>1640</v>
      </c>
      <c r="E150" s="410" t="str">
        <f ca="1">CHOOSE(B149+1,LOOKUP(RANDBETWEEN(1,10),de100X,NS0x),LOOKUP(RANDBETWEEN(1,100),de100X,NS1x),LOOKUP(RANDBETWEEN(1,10),de100X,NS2x),LOOKUP(RANDBETWEEN(1,20),de100X,NS3x),LOOKUP(RANDBETWEEN(1,20),de100X,NS4x),LOOKUP(RANDBETWEEN(1,20),de100X,NS5x),LOOKUP(RANDBETWEEN(1,20),de100X,NS6x),LOOKUP(RANDBETWEEN(1,10),de100X,NS7x),LOOKUP(RANDBETWEEN(1,20),de100X,NS8x),LOOKUP(RANDBETWEEN(1,10),de100X,NS9x))</f>
        <v>Tuilier </v>
      </c>
      <c r="F150" s="411"/>
      <c r="H150" s="409" t="s">
        <v>287</v>
      </c>
      <c r="I150" s="412" t="s">
        <v>1641</v>
      </c>
      <c r="J150" s="413"/>
      <c r="K150" s="413"/>
      <c r="L150" s="414"/>
      <c r="R150" s="187"/>
      <c r="S150" s="187"/>
      <c r="T150" s="415"/>
      <c r="U150" s="416"/>
      <c r="V150" s="187"/>
      <c r="W150" s="187"/>
      <c r="X150" s="187"/>
      <c r="Y150" s="187"/>
      <c r="Z150" s="187"/>
      <c r="AC150" s="187"/>
      <c r="BC150" s="406"/>
      <c r="BE150" s="406"/>
      <c r="BG150" s="405"/>
    </row>
    <row r="151" spans="1:59" ht="10.8" thickBot="1">
      <c r="A151" s="220"/>
      <c r="B151" s="197" t="str">
        <f ca="1">IF(RANDBETWEEN(1,100)&lt;NE*C149,A149,"-")</f>
        <v>-</v>
      </c>
      <c r="C151" s="417"/>
      <c r="D151" s="418" t="str">
        <f ca="1">IF(A150&gt;0,LOOKUP(RANDBETWEEN(1,10),de100X,TraitX),"-")</f>
        <v>-</v>
      </c>
      <c r="E151" s="418" t="str">
        <f ca="1">IF(A150&gt;1,LOOKUP(RANDBETWEEN(1,10),de100X,TraitX),"-")</f>
        <v>-</v>
      </c>
      <c r="F151" s="418" t="str">
        <f ca="1">IF(A150&gt;2,LOOKUP(RANDBETWEEN(1,10),de100X,TraitX),"-")</f>
        <v>-</v>
      </c>
      <c r="G151" s="419" t="str">
        <f ca="1">IF(A150&gt;3,LOOKUP(RANDBETWEEN(1,10),de100X,TraitX),"-")</f>
        <v>-</v>
      </c>
      <c r="H151" s="420">
        <f ca="1">(F149-40)/RANDBETWEEN(1,6)+(5*A149)+(C149*10 -10)*RANDBETWEEN(1,6)+(D149*(RANDBETWEEN(1,6)-RANDBETWEEN(1,6)))</f>
        <v>28</v>
      </c>
      <c r="I151" s="421">
        <f ca="1">(RANDBETWEEN(1,6)+4)*10*C149</f>
        <v>48</v>
      </c>
      <c r="J151" s="422">
        <f ca="1">(RANDBETWEEN(1,6)+4)*5*C149</f>
        <v>32</v>
      </c>
      <c r="K151" s="422">
        <f ca="1">(RANDBETWEEN(1,6)+4)*3*C149</f>
        <v>14.4</v>
      </c>
      <c r="L151" s="423">
        <f ca="1">(RANDBETWEEN(1,6)+4)*1*C149</f>
        <v>5.6000000000000005</v>
      </c>
      <c r="R151" s="187"/>
      <c r="S151" s="187"/>
      <c r="T151" s="415"/>
      <c r="U151" s="416"/>
      <c r="V151" s="187"/>
      <c r="W151" s="187"/>
      <c r="X151" s="187"/>
      <c r="Y151" s="187"/>
      <c r="Z151" s="187"/>
      <c r="AC151" s="187"/>
      <c r="BC151" s="426"/>
      <c r="BE151" s="406"/>
      <c r="BG151" s="400"/>
    </row>
    <row r="152" spans="1:59">
      <c r="A152" s="78">
        <f ca="1">LOOKUP(RANDBETWEEN(1,10),de100X,de10X)</f>
        <v>2</v>
      </c>
      <c r="B152" s="393" t="s">
        <v>1134</v>
      </c>
      <c r="C152" s="394" t="s">
        <v>1135</v>
      </c>
      <c r="D152" s="394" t="s">
        <v>1630</v>
      </c>
      <c r="E152" s="395" t="s">
        <v>1631</v>
      </c>
      <c r="F152" s="394" t="s">
        <v>329</v>
      </c>
      <c r="G152" s="396" t="s">
        <v>721</v>
      </c>
      <c r="H152" s="395" t="s">
        <v>1632</v>
      </c>
      <c r="I152" s="396" t="s">
        <v>1633</v>
      </c>
      <c r="J152" s="397"/>
      <c r="K152" s="397"/>
      <c r="L152" s="398"/>
      <c r="R152" s="187"/>
      <c r="S152" s="187"/>
      <c r="T152" s="415"/>
      <c r="U152" s="416"/>
      <c r="V152" s="187"/>
      <c r="W152" s="187"/>
      <c r="X152" s="187"/>
      <c r="Y152" s="187"/>
      <c r="Z152" s="187"/>
      <c r="AC152" s="187"/>
      <c r="BC152" s="405"/>
      <c r="BE152" s="406"/>
      <c r="BG152" s="406"/>
    </row>
    <row r="153" spans="1:59">
      <c r="A153" s="78">
        <f ca="1">LOOKUP(RANDBETWEEN(1,10),de100X,de10X)</f>
        <v>4</v>
      </c>
      <c r="B153" s="401">
        <f ca="1">IF(pNS="-",LOOKUP(RANDBETWEEN(1,100),de100X,NSX),pNS)</f>
        <v>2</v>
      </c>
      <c r="C153" s="187">
        <f ca="1">IF(pRIC="-",LOOKUP(RANDBETWEEN(1,100),de100X,richesseX),pRIC)</f>
        <v>1</v>
      </c>
      <c r="D153" s="187">
        <f ca="1">IF(pNTR="-",LOOKUP(RANDBETWEEN(1,10),de100X,de10X)+LOOKUP(RANDBETWEEN(1,10),de100X,de10X)+LOOKUP(RANDBETWEEN(1,10),de100X,de10X),pNTR)</f>
        <v>6</v>
      </c>
      <c r="E153" s="402"/>
      <c r="F153" s="95">
        <f ca="1">(LOOKUP(RANDBETWEEN(1,10),de100X,de10X)+LOOKUP(RANDBETWEEN(1,10),de100X,de10X))*10</f>
        <v>30</v>
      </c>
      <c r="G153" s="78" t="str">
        <f ca="1">LOOKUP(RANDBETWEEN(1,26),de100X,LettreX)&amp;LOOKUP(RANDBETWEEN(1,14),de100X,VoyelleX)</f>
        <v>RA</v>
      </c>
      <c r="H153" s="78" t="str">
        <f ca="1">LOOKUP(RANDBETWEEN(1,26),de100X,LettreX)</f>
        <v>X</v>
      </c>
      <c r="I153" s="403" t="str">
        <f ca="1">LOOKUP(RANDBETWEEN(1,6),de100X,EnseigneX)</f>
        <v>Mot profession</v>
      </c>
      <c r="J153" s="78" t="str">
        <f ca="1">IF(A152&gt;1,LOOKUP(RANDBETWEEN(1,6),de100X,EnseigneX),"-")</f>
        <v>Nom famille</v>
      </c>
      <c r="K153" s="78" t="str">
        <f ca="1">IF(A152&gt;2,LOOKUP(RANDBETWEEN(1,6),de100X,EnseigneX),"-")</f>
        <v>-</v>
      </c>
      <c r="L153" s="189" t="str">
        <f ca="1">IF(A152&gt;3,LOOKUP(RANDBETWEEN(1,6),de100X,EnseigneX),"-")</f>
        <v>-</v>
      </c>
      <c r="R153" s="187"/>
      <c r="S153" s="187"/>
      <c r="T153" s="415"/>
      <c r="U153" s="416"/>
      <c r="V153" s="187"/>
      <c r="W153" s="187"/>
      <c r="X153" s="187"/>
      <c r="Y153" s="187"/>
      <c r="Z153" s="187"/>
      <c r="AC153" s="187"/>
      <c r="BC153" s="405"/>
      <c r="BE153" s="406"/>
      <c r="BG153" s="406"/>
    </row>
    <row r="154" spans="1:59" ht="12">
      <c r="A154" s="78">
        <f ca="1">IF(RANDBETWEEN(1,10)&lt;C153*2,LOOKUP(RANDBETWEEN(1,10),de100X,de10X),0)</f>
        <v>4</v>
      </c>
      <c r="B154" s="407" t="s">
        <v>598</v>
      </c>
      <c r="C154" s="408"/>
      <c r="D154" s="409" t="s">
        <v>1640</v>
      </c>
      <c r="E154" s="410" t="str">
        <f ca="1">CHOOSE(B153+1,LOOKUP(RANDBETWEEN(1,10),de100X,NS0x),LOOKUP(RANDBETWEEN(1,100),de100X,NS1x),LOOKUP(RANDBETWEEN(1,10),de100X,NS2x),LOOKUP(RANDBETWEEN(1,20),de100X,NS3x),LOOKUP(RANDBETWEEN(1,20),de100X,NS4x),LOOKUP(RANDBETWEEN(1,20),de100X,NS5x),LOOKUP(RANDBETWEEN(1,20),de100X,NS6x),LOOKUP(RANDBETWEEN(1,10),de100X,NS7x),LOOKUP(RANDBETWEEN(1,20),de100X,NS8x),LOOKUP(RANDBETWEEN(1,10),de100X,NS9x))</f>
        <v>Mercenaire</v>
      </c>
      <c r="F154" s="411"/>
      <c r="H154" s="409" t="s">
        <v>287</v>
      </c>
      <c r="I154" s="412" t="s">
        <v>1641</v>
      </c>
      <c r="J154" s="413"/>
      <c r="K154" s="413"/>
      <c r="L154" s="414"/>
      <c r="R154" s="187"/>
      <c r="S154" s="187"/>
      <c r="T154" s="415"/>
      <c r="U154" s="416"/>
      <c r="V154" s="187"/>
      <c r="W154" s="187"/>
      <c r="X154" s="187"/>
      <c r="Y154" s="187"/>
      <c r="Z154" s="187"/>
      <c r="AC154" s="187"/>
      <c r="BC154" s="405"/>
      <c r="BE154" s="406"/>
      <c r="BG154" s="406"/>
    </row>
    <row r="155" spans="1:59" ht="10.8" thickBot="1">
      <c r="A155" s="220"/>
      <c r="B155" s="197" t="str">
        <f ca="1">IF(RANDBETWEEN(1,100)&lt;NE*C153,A153,"-")</f>
        <v>-</v>
      </c>
      <c r="C155" s="417"/>
      <c r="D155" s="418" t="str">
        <f ca="1">IF(A154&gt;0,LOOKUP(RANDBETWEEN(1,10),de100X,TraitX),"-")</f>
        <v>très connu</v>
      </c>
      <c r="E155" s="418" t="str">
        <f ca="1">IF(A154&gt;1,LOOKUP(RANDBETWEEN(1,10),de100X,TraitX),"-")</f>
        <v>hall de guilde</v>
      </c>
      <c r="F155" s="418" t="str">
        <f ca="1">IF(A154&gt;2,LOOKUP(RANDBETWEEN(1,10),de100X,TraitX),"-")</f>
        <v>très connu</v>
      </c>
      <c r="G155" s="419" t="str">
        <f ca="1">IF(A154&gt;3,LOOKUP(RANDBETWEEN(1,10),de100X,TraitX),"-")</f>
        <v>Siège de Guilde</v>
      </c>
      <c r="H155" s="420">
        <f ca="1">(F153-40)/RANDBETWEEN(1,6)+(5*A153)+(C153*10 -10)*RANDBETWEEN(1,6)+(D153*(RANDBETWEEN(1,6)-RANDBETWEEN(1,6)))</f>
        <v>30.333333333333332</v>
      </c>
      <c r="I155" s="421">
        <f ca="1">(RANDBETWEEN(1,6)+4)*10*C153</f>
        <v>100</v>
      </c>
      <c r="J155" s="422">
        <f ca="1">(RANDBETWEEN(1,6)+4)*5*C153</f>
        <v>35</v>
      </c>
      <c r="K155" s="422">
        <f ca="1">(RANDBETWEEN(1,6)+4)*3*C153</f>
        <v>21</v>
      </c>
      <c r="L155" s="423">
        <f ca="1">(RANDBETWEEN(1,6)+4)*1*C153</f>
        <v>6</v>
      </c>
      <c r="R155" s="187"/>
      <c r="S155" s="187"/>
      <c r="T155" s="415"/>
      <c r="U155" s="416"/>
      <c r="V155" s="187"/>
      <c r="W155" s="187"/>
      <c r="X155" s="187"/>
      <c r="Y155" s="187"/>
      <c r="Z155" s="187"/>
      <c r="AC155" s="187"/>
      <c r="BC155" s="405"/>
      <c r="BE155" s="406"/>
      <c r="BG155" s="406"/>
    </row>
    <row r="156" spans="1:59">
      <c r="A156" s="78">
        <f ca="1">LOOKUP(RANDBETWEEN(1,10),de100X,de10X)</f>
        <v>1</v>
      </c>
      <c r="B156" s="393" t="s">
        <v>1134</v>
      </c>
      <c r="C156" s="394" t="s">
        <v>1135</v>
      </c>
      <c r="D156" s="394" t="s">
        <v>1630</v>
      </c>
      <c r="E156" s="395" t="s">
        <v>1631</v>
      </c>
      <c r="F156" s="394" t="s">
        <v>329</v>
      </c>
      <c r="G156" s="396" t="s">
        <v>721</v>
      </c>
      <c r="H156" s="395" t="s">
        <v>1632</v>
      </c>
      <c r="I156" s="396" t="s">
        <v>1633</v>
      </c>
      <c r="J156" s="397"/>
      <c r="K156" s="397"/>
      <c r="L156" s="398"/>
      <c r="R156" s="187"/>
      <c r="S156" s="187"/>
      <c r="T156" s="415"/>
      <c r="U156" s="416"/>
      <c r="V156" s="187"/>
      <c r="W156" s="187"/>
      <c r="X156" s="187"/>
      <c r="Y156" s="187"/>
      <c r="Z156" s="187"/>
      <c r="AC156" s="187"/>
      <c r="BC156" s="405"/>
      <c r="BG156" s="406"/>
    </row>
    <row r="157" spans="1:59">
      <c r="A157" s="78">
        <f ca="1">LOOKUP(RANDBETWEEN(1,10),de100X,de10X)</f>
        <v>2</v>
      </c>
      <c r="B157" s="401">
        <f ca="1">IF(pNS="-",LOOKUP(RANDBETWEEN(1,100),de100X,NSX),pNS)</f>
        <v>7</v>
      </c>
      <c r="C157" s="187">
        <f ca="1">IF(pRIC="-",LOOKUP(RANDBETWEEN(1,100),de100X,richesseX),pRIC)</f>
        <v>1</v>
      </c>
      <c r="D157" s="187">
        <f ca="1">IF(pNTR="-",LOOKUP(RANDBETWEEN(1,10),de100X,de10X)+LOOKUP(RANDBETWEEN(1,10),de100X,de10X)+LOOKUP(RANDBETWEEN(1,10),de100X,de10X),pNTR)</f>
        <v>9</v>
      </c>
      <c r="E157" s="402"/>
      <c r="F157" s="95">
        <f ca="1">(LOOKUP(RANDBETWEEN(1,10),de100X,de10X)+LOOKUP(RANDBETWEEN(1,10),de100X,de10X))*10</f>
        <v>30</v>
      </c>
      <c r="G157" s="78" t="str">
        <f ca="1">LOOKUP(RANDBETWEEN(1,26),de100X,LettreX)&amp;LOOKUP(RANDBETWEEN(1,14),de100X,VoyelleX)</f>
        <v>EU</v>
      </c>
      <c r="H157" s="78" t="str">
        <f ca="1">LOOKUP(RANDBETWEEN(1,26),de100X,LettreX)</f>
        <v>S</v>
      </c>
      <c r="I157" s="403" t="str">
        <f ca="1">LOOKUP(RANDBETWEEN(1,6),de100X,EnseigneX)</f>
        <v>Nom connu</v>
      </c>
      <c r="J157" s="78" t="str">
        <f ca="1">IF(A156&gt;1,LOOKUP(RANDBETWEEN(1,6),de100X,EnseigneX),"-")</f>
        <v>-</v>
      </c>
      <c r="K157" s="78" t="str">
        <f ca="1">IF(A156&gt;2,LOOKUP(RANDBETWEEN(1,6),de100X,EnseigneX),"-")</f>
        <v>-</v>
      </c>
      <c r="L157" s="189" t="str">
        <f ca="1">IF(A156&gt;3,LOOKUP(RANDBETWEEN(1,6),de100X,EnseigneX),"-")</f>
        <v>-</v>
      </c>
      <c r="R157" s="187"/>
      <c r="S157" s="187"/>
      <c r="T157" s="415"/>
      <c r="U157" s="416"/>
      <c r="V157" s="187"/>
      <c r="W157" s="187"/>
      <c r="X157" s="187"/>
      <c r="Y157" s="187"/>
      <c r="Z157" s="187"/>
      <c r="AC157" s="187"/>
      <c r="BC157" s="405"/>
      <c r="BG157" s="406"/>
    </row>
    <row r="158" spans="1:59" ht="12">
      <c r="A158" s="78">
        <f ca="1">IF(RANDBETWEEN(1,10)&lt;C157*2,LOOKUP(RANDBETWEEN(1,10),de100X,de10X),0)</f>
        <v>0</v>
      </c>
      <c r="B158" s="407" t="s">
        <v>598</v>
      </c>
      <c r="C158" s="408"/>
      <c r="D158" s="409" t="s">
        <v>1640</v>
      </c>
      <c r="E158" s="410" t="str">
        <f ca="1">CHOOSE(B157+1,LOOKUP(RANDBETWEEN(1,10),de100X,NS0x),LOOKUP(RANDBETWEEN(1,100),de100X,NS1x),LOOKUP(RANDBETWEEN(1,10),de100X,NS2x),LOOKUP(RANDBETWEEN(1,20),de100X,NS3x),LOOKUP(RANDBETWEEN(1,20),de100X,NS4x),LOOKUP(RANDBETWEEN(1,20),de100X,NS5x),LOOKUP(RANDBETWEEN(1,20),de100X,NS6x),LOOKUP(RANDBETWEEN(1,10),de100X,NS7x),LOOKUP(RANDBETWEEN(1,20),de100X,NS8x),LOOKUP(RANDBETWEEN(1,10),de100X,NS9x))</f>
        <v>Fou</v>
      </c>
      <c r="F158" s="411"/>
      <c r="H158" s="409" t="s">
        <v>287</v>
      </c>
      <c r="I158" s="412" t="s">
        <v>1641</v>
      </c>
      <c r="J158" s="413"/>
      <c r="K158" s="413"/>
      <c r="L158" s="414"/>
      <c r="R158" s="187"/>
      <c r="S158" s="187"/>
      <c r="T158" s="415"/>
      <c r="U158" s="416"/>
      <c r="V158" s="187"/>
      <c r="W158" s="187"/>
      <c r="X158" s="187"/>
      <c r="Y158" s="187"/>
      <c r="Z158" s="187"/>
      <c r="AC158" s="187"/>
      <c r="BC158" s="405"/>
      <c r="BG158" s="406"/>
    </row>
    <row r="159" spans="1:59" ht="10.8" thickBot="1">
      <c r="A159" s="220"/>
      <c r="B159" s="197">
        <f ca="1">IF(RANDBETWEEN(1,100)&lt;NE*C157,A157,"-")</f>
        <v>2</v>
      </c>
      <c r="C159" s="417"/>
      <c r="D159" s="418" t="str">
        <f ca="1">IF(A158&gt;0,LOOKUP(RANDBETWEEN(1,10),de100X,TraitX),"-")</f>
        <v>-</v>
      </c>
      <c r="E159" s="418" t="str">
        <f ca="1">IF(A158&gt;1,LOOKUP(RANDBETWEEN(1,10),de100X,TraitX),"-")</f>
        <v>-</v>
      </c>
      <c r="F159" s="418" t="str">
        <f ca="1">IF(A158&gt;2,LOOKUP(RANDBETWEEN(1,10),de100X,TraitX),"-")</f>
        <v>-</v>
      </c>
      <c r="G159" s="419" t="str">
        <f ca="1">IF(A158&gt;3,LOOKUP(RANDBETWEEN(1,10),de100X,TraitX),"-")</f>
        <v>-</v>
      </c>
      <c r="H159" s="420">
        <f ca="1">(F157-40)/RANDBETWEEN(1,6)+(5*A157)+(C157*10 -10)*RANDBETWEEN(1,6)+(D157*(RANDBETWEEN(1,6)-RANDBETWEEN(1,6)))</f>
        <v>-13</v>
      </c>
      <c r="I159" s="421">
        <f ca="1">(RANDBETWEEN(1,6)+4)*10*C157</f>
        <v>60</v>
      </c>
      <c r="J159" s="422">
        <f ca="1">(RANDBETWEEN(1,6)+4)*5*C157</f>
        <v>25</v>
      </c>
      <c r="K159" s="422">
        <f ca="1">(RANDBETWEEN(1,6)+4)*3*C157</f>
        <v>27</v>
      </c>
      <c r="L159" s="423">
        <f ca="1">(RANDBETWEEN(1,6)+4)*1*C157</f>
        <v>7</v>
      </c>
      <c r="R159" s="187"/>
      <c r="S159" s="187"/>
      <c r="T159" s="415"/>
      <c r="U159" s="416"/>
      <c r="V159" s="187"/>
      <c r="W159" s="187"/>
      <c r="X159" s="187"/>
      <c r="Y159" s="187"/>
      <c r="Z159" s="187"/>
      <c r="AC159" s="187"/>
      <c r="BC159" s="405"/>
      <c r="BG159" s="406"/>
    </row>
    <row r="160" spans="1:59">
      <c r="A160" s="78">
        <f ca="1">LOOKUP(RANDBETWEEN(1,10),de100X,de10X)</f>
        <v>1</v>
      </c>
      <c r="B160" s="393" t="s">
        <v>1134</v>
      </c>
      <c r="C160" s="394" t="s">
        <v>1135</v>
      </c>
      <c r="D160" s="394" t="s">
        <v>1630</v>
      </c>
      <c r="E160" s="395" t="s">
        <v>1631</v>
      </c>
      <c r="F160" s="394" t="s">
        <v>329</v>
      </c>
      <c r="G160" s="396" t="s">
        <v>721</v>
      </c>
      <c r="H160" s="395" t="s">
        <v>1632</v>
      </c>
      <c r="I160" s="396" t="s">
        <v>1633</v>
      </c>
      <c r="J160" s="397"/>
      <c r="K160" s="397"/>
      <c r="L160" s="398"/>
      <c r="R160" s="187"/>
      <c r="S160" s="187"/>
      <c r="T160" s="415"/>
      <c r="U160" s="416"/>
      <c r="V160" s="187"/>
      <c r="W160" s="187"/>
      <c r="X160" s="187"/>
      <c r="Y160" s="187"/>
      <c r="Z160" s="187"/>
      <c r="AC160" s="187"/>
      <c r="BC160" s="405"/>
      <c r="BG160" s="406"/>
    </row>
    <row r="161" spans="1:55">
      <c r="A161" s="78">
        <f ca="1">LOOKUP(RANDBETWEEN(1,10),de100X,de10X)</f>
        <v>4</v>
      </c>
      <c r="B161" s="401">
        <f ca="1">IF(pNS="-",LOOKUP(RANDBETWEEN(1,100),de100X,NSX),pNS)</f>
        <v>1</v>
      </c>
      <c r="C161" s="187">
        <f ca="1">IF(pRIC="-",LOOKUP(RANDBETWEEN(1,100),de100X,richesseX),pRIC)</f>
        <v>0.5</v>
      </c>
      <c r="D161" s="187">
        <f ca="1">IF(pNTR="-",LOOKUP(RANDBETWEEN(1,10),de100X,de10X)+LOOKUP(RANDBETWEEN(1,10),de100X,de10X)+LOOKUP(RANDBETWEEN(1,10),de100X,de10X),pNTR)</f>
        <v>4</v>
      </c>
      <c r="E161" s="402"/>
      <c r="F161" s="95">
        <f ca="1">(LOOKUP(RANDBETWEEN(1,10),de100X,de10X)+LOOKUP(RANDBETWEEN(1,10),de100X,de10X))*10</f>
        <v>50</v>
      </c>
      <c r="G161" s="78" t="str">
        <f ca="1">LOOKUP(RANDBETWEEN(1,26),de100X,LettreX)&amp;LOOKUP(RANDBETWEEN(1,14),de100X,VoyelleX)</f>
        <v>ZA</v>
      </c>
      <c r="H161" s="78" t="str">
        <f ca="1">LOOKUP(RANDBETWEEN(1,26),de100X,LettreX)</f>
        <v>D</v>
      </c>
      <c r="I161" s="403" t="str">
        <f ca="1">LOOKUP(RANDBETWEEN(1,6),de100X,EnseigneX)</f>
        <v>Animal</v>
      </c>
      <c r="J161" s="78" t="str">
        <f ca="1">IF(A160&gt;1,LOOKUP(RANDBETWEEN(1,6),de100X,EnseigneX),"-")</f>
        <v>-</v>
      </c>
      <c r="K161" s="78" t="str">
        <f ca="1">IF(A160&gt;2,LOOKUP(RANDBETWEEN(1,6),de100X,EnseigneX),"-")</f>
        <v>-</v>
      </c>
      <c r="L161" s="189" t="str">
        <f ca="1">IF(A160&gt;3,LOOKUP(RANDBETWEEN(1,6),de100X,EnseigneX),"-")</f>
        <v>-</v>
      </c>
      <c r="R161" s="187"/>
      <c r="S161" s="187"/>
      <c r="T161" s="415"/>
      <c r="U161" s="416"/>
      <c r="V161" s="187"/>
      <c r="W161" s="187"/>
      <c r="X161" s="187"/>
      <c r="Y161" s="187"/>
      <c r="Z161" s="187"/>
      <c r="BC161" s="405"/>
    </row>
    <row r="162" spans="1:55" ht="12">
      <c r="A162" s="78">
        <f ca="1">IF(RANDBETWEEN(1,10)&lt;C161*2,LOOKUP(RANDBETWEEN(1,10),de100X,de10X),0)</f>
        <v>0</v>
      </c>
      <c r="B162" s="407" t="s">
        <v>598</v>
      </c>
      <c r="C162" s="408"/>
      <c r="D162" s="409" t="s">
        <v>1640</v>
      </c>
      <c r="E162" s="410" t="str">
        <f ca="1">CHOOSE(B161+1,LOOKUP(RANDBETWEEN(1,10),de100X,NS0x),LOOKUP(RANDBETWEEN(1,100),de100X,NS1x),LOOKUP(RANDBETWEEN(1,10),de100X,NS2x),LOOKUP(RANDBETWEEN(1,20),de100X,NS3x),LOOKUP(RANDBETWEEN(1,20),de100X,NS4x),LOOKUP(RANDBETWEEN(1,20),de100X,NS5x),LOOKUP(RANDBETWEEN(1,20),de100X,NS6x),LOOKUP(RANDBETWEEN(1,10),de100X,NS7x),LOOKUP(RANDBETWEEN(1,20),de100X,NS8x),LOOKUP(RANDBETWEEN(1,10),de100X,NS9x))</f>
        <v>Gens d’arme</v>
      </c>
      <c r="F162" s="411"/>
      <c r="H162" s="409" t="s">
        <v>287</v>
      </c>
      <c r="I162" s="412" t="s">
        <v>1641</v>
      </c>
      <c r="J162" s="413"/>
      <c r="K162" s="413"/>
      <c r="L162" s="414"/>
      <c r="R162" s="187"/>
      <c r="S162" s="187"/>
      <c r="T162" s="415"/>
      <c r="U162" s="416"/>
      <c r="V162" s="187"/>
      <c r="W162" s="187"/>
      <c r="X162" s="187"/>
      <c r="Y162" s="187"/>
      <c r="Z162" s="187"/>
    </row>
    <row r="163" spans="1:55" ht="10.8" thickBot="1">
      <c r="A163" s="220"/>
      <c r="B163" s="197" t="str">
        <f ca="1">IF(RANDBETWEEN(1,100)&lt;NE*C161,A161,"-")</f>
        <v>-</v>
      </c>
      <c r="C163" s="417"/>
      <c r="D163" s="418" t="str">
        <f ca="1">IF(A162&gt;0,LOOKUP(RANDBETWEEN(1,10),de100X,TraitX),"-")</f>
        <v>-</v>
      </c>
      <c r="E163" s="418" t="str">
        <f ca="1">IF(A162&gt;1,LOOKUP(RANDBETWEEN(1,10),de100X,TraitX),"-")</f>
        <v>-</v>
      </c>
      <c r="F163" s="418" t="str">
        <f ca="1">IF(A162&gt;2,LOOKUP(RANDBETWEEN(1,10),de100X,TraitX),"-")</f>
        <v>-</v>
      </c>
      <c r="G163" s="419" t="str">
        <f ca="1">IF(A162&gt;3,LOOKUP(RANDBETWEEN(1,10),de100X,TraitX),"-")</f>
        <v>-</v>
      </c>
      <c r="H163" s="420">
        <f ca="1">(F161-40)/RANDBETWEEN(1,6)+(5*A161)+(C161*10 -10)*RANDBETWEEN(1,6)+(D161*(RANDBETWEEN(1,6)-RANDBETWEEN(1,6)))</f>
        <v>-8</v>
      </c>
      <c r="I163" s="421">
        <f ca="1">(RANDBETWEEN(1,6)+4)*10*C161</f>
        <v>35</v>
      </c>
      <c r="J163" s="422">
        <f ca="1">(RANDBETWEEN(1,6)+4)*5*C161</f>
        <v>20</v>
      </c>
      <c r="K163" s="422">
        <f ca="1">(RANDBETWEEN(1,6)+4)*3*C161</f>
        <v>15</v>
      </c>
      <c r="L163" s="423">
        <f ca="1">(RANDBETWEEN(1,6)+4)*1*C161</f>
        <v>3</v>
      </c>
      <c r="R163" s="187"/>
      <c r="S163" s="187"/>
      <c r="T163" s="415"/>
      <c r="U163" s="416"/>
      <c r="V163" s="187"/>
      <c r="W163" s="187"/>
      <c r="X163" s="187"/>
      <c r="Y163" s="187"/>
      <c r="Z163" s="187"/>
    </row>
    <row r="164" spans="1:55">
      <c r="A164" s="78">
        <f ca="1">LOOKUP(RANDBETWEEN(1,10),de100X,de10X)</f>
        <v>1</v>
      </c>
      <c r="B164" s="393" t="s">
        <v>1134</v>
      </c>
      <c r="C164" s="394" t="s">
        <v>1135</v>
      </c>
      <c r="D164" s="394" t="s">
        <v>1630</v>
      </c>
      <c r="E164" s="395" t="s">
        <v>1631</v>
      </c>
      <c r="F164" s="394" t="s">
        <v>329</v>
      </c>
      <c r="G164" s="396" t="s">
        <v>721</v>
      </c>
      <c r="H164" s="395" t="s">
        <v>1632</v>
      </c>
      <c r="I164" s="396" t="s">
        <v>1633</v>
      </c>
      <c r="J164" s="397"/>
      <c r="K164" s="397"/>
      <c r="L164" s="398"/>
      <c r="R164" s="187"/>
      <c r="S164" s="187"/>
      <c r="T164" s="415"/>
      <c r="U164" s="416"/>
      <c r="V164" s="187"/>
      <c r="W164" s="187"/>
      <c r="X164" s="187"/>
      <c r="Y164" s="187"/>
      <c r="Z164" s="187"/>
    </row>
    <row r="165" spans="1:55">
      <c r="A165" s="78">
        <f ca="1">LOOKUP(RANDBETWEEN(1,10),de100X,de10X)</f>
        <v>3</v>
      </c>
      <c r="B165" s="401">
        <f ca="1">IF(pNS="-",LOOKUP(RANDBETWEEN(1,100),de100X,NSX),pNS)</f>
        <v>5</v>
      </c>
      <c r="C165" s="187">
        <f ca="1">IF(pRIC="-",LOOKUP(RANDBETWEEN(1,100),de100X,richesseX),pRIC)</f>
        <v>1.3</v>
      </c>
      <c r="D165" s="187">
        <f ca="1">IF(pNTR="-",LOOKUP(RANDBETWEEN(1,10),de100X,de10X)+LOOKUP(RANDBETWEEN(1,10),de100X,de10X)+LOOKUP(RANDBETWEEN(1,10),de100X,de10X),pNTR)</f>
        <v>4</v>
      </c>
      <c r="E165" s="402"/>
      <c r="F165" s="95">
        <f ca="1">(LOOKUP(RANDBETWEEN(1,10),de100X,de10X)+LOOKUP(RANDBETWEEN(1,10),de100X,de10X))*10</f>
        <v>30</v>
      </c>
      <c r="G165" s="78" t="str">
        <f ca="1">LOOKUP(RANDBETWEEN(1,26),de100X,LettreX)&amp;LOOKUP(RANDBETWEEN(1,14),de100X,VoyelleX)</f>
        <v>IU</v>
      </c>
      <c r="H165" s="78" t="str">
        <f ca="1">LOOKUP(RANDBETWEEN(1,26),de100X,LettreX)</f>
        <v>Q</v>
      </c>
      <c r="I165" s="403" t="str">
        <f ca="1">LOOKUP(RANDBETWEEN(1,6),de100X,EnseigneX)</f>
        <v>Nom famille</v>
      </c>
      <c r="J165" s="78" t="str">
        <f ca="1">IF(A164&gt;1,LOOKUP(RANDBETWEEN(1,6),de100X,EnseigneX),"-")</f>
        <v>-</v>
      </c>
      <c r="K165" s="78" t="str">
        <f ca="1">IF(A164&gt;2,LOOKUP(RANDBETWEEN(1,6),de100X,EnseigneX),"-")</f>
        <v>-</v>
      </c>
      <c r="L165" s="189" t="str">
        <f ca="1">IF(A164&gt;3,LOOKUP(RANDBETWEEN(1,6),de100X,EnseigneX),"-")</f>
        <v>-</v>
      </c>
      <c r="R165" s="187"/>
      <c r="S165" s="187"/>
      <c r="T165" s="415"/>
      <c r="U165" s="416"/>
      <c r="V165" s="187"/>
      <c r="W165" s="187"/>
      <c r="X165" s="187"/>
      <c r="Y165" s="187"/>
      <c r="Z165" s="187"/>
    </row>
    <row r="166" spans="1:55" ht="12">
      <c r="A166" s="78">
        <f ca="1">IF(RANDBETWEEN(1,10)&lt;C165*2,LOOKUP(RANDBETWEEN(1,10),de100X,de10X),0)</f>
        <v>1</v>
      </c>
      <c r="B166" s="407" t="s">
        <v>598</v>
      </c>
      <c r="C166" s="408"/>
      <c r="D166" s="409" t="s">
        <v>1640</v>
      </c>
      <c r="E166" s="410" t="str">
        <f ca="1">CHOOSE(B165+1,LOOKUP(RANDBETWEEN(1,10),de100X,NS0x),LOOKUP(RANDBETWEEN(1,100),de100X,NS1x),LOOKUP(RANDBETWEEN(1,10),de100X,NS2x),LOOKUP(RANDBETWEEN(1,20),de100X,NS3x),LOOKUP(RANDBETWEEN(1,20),de100X,NS4x),LOOKUP(RANDBETWEEN(1,20),de100X,NS5x),LOOKUP(RANDBETWEEN(1,20),de100X,NS6x),LOOKUP(RANDBETWEEN(1,10),de100X,NS7x),LOOKUP(RANDBETWEEN(1,20),de100X,NS8x),LOOKUP(RANDBETWEEN(1,10),de100X,NS9x))</f>
        <v>Graveur </v>
      </c>
      <c r="F166" s="411"/>
      <c r="H166" s="409" t="s">
        <v>287</v>
      </c>
      <c r="I166" s="412" t="s">
        <v>1641</v>
      </c>
      <c r="J166" s="413"/>
      <c r="K166" s="413"/>
      <c r="L166" s="414"/>
      <c r="R166" s="187"/>
      <c r="S166" s="187"/>
      <c r="T166" s="415"/>
      <c r="U166" s="416"/>
      <c r="V166" s="187"/>
      <c r="W166" s="187"/>
      <c r="X166" s="187"/>
      <c r="Y166" s="187"/>
      <c r="Z166" s="187"/>
    </row>
    <row r="167" spans="1:55" ht="10.8" thickBot="1">
      <c r="A167" s="220"/>
      <c r="B167" s="197">
        <f ca="1">IF(RANDBETWEEN(1,100)&lt;NE*C165,A165,"-")</f>
        <v>3</v>
      </c>
      <c r="C167" s="417"/>
      <c r="D167" s="418" t="str">
        <f ca="1">IF(A166&gt;0,LOOKUP(RANDBETWEEN(1,10),de100X,TraitX),"-")</f>
        <v>très connu</v>
      </c>
      <c r="E167" s="418" t="str">
        <f ca="1">IF(A166&gt;1,LOOKUP(RANDBETWEEN(1,10),de100X,TraitX),"-")</f>
        <v>-</v>
      </c>
      <c r="F167" s="418" t="str">
        <f ca="1">IF(A166&gt;2,LOOKUP(RANDBETWEEN(1,10),de100X,TraitX),"-")</f>
        <v>-</v>
      </c>
      <c r="G167" s="419" t="str">
        <f ca="1">IF(A166&gt;3,LOOKUP(RANDBETWEEN(1,10),de100X,TraitX),"-")</f>
        <v>-</v>
      </c>
      <c r="H167" s="420">
        <f ca="1">(F165-40)/RANDBETWEEN(1,6)+(5*A165)+(C165*10 -10)*RANDBETWEEN(1,6)+(D165*(RANDBETWEEN(1,6)-RANDBETWEEN(1,6)))</f>
        <v>16.333333333333336</v>
      </c>
      <c r="I167" s="421">
        <f ca="1">(RANDBETWEEN(1,6)+4)*10*C165</f>
        <v>91</v>
      </c>
      <c r="J167" s="422">
        <f ca="1">(RANDBETWEEN(1,6)+4)*5*C165</f>
        <v>65</v>
      </c>
      <c r="K167" s="422">
        <f ca="1">(RANDBETWEEN(1,6)+4)*3*C165</f>
        <v>27.3</v>
      </c>
      <c r="L167" s="423">
        <f ca="1">(RANDBETWEEN(1,6)+4)*1*C165</f>
        <v>13</v>
      </c>
      <c r="R167" s="220"/>
      <c r="S167" s="187"/>
      <c r="T167" s="427"/>
    </row>
    <row r="168" spans="1:55">
      <c r="S168" s="428"/>
    </row>
    <row r="169" spans="1:55" ht="9.75" customHeight="1">
      <c r="AI169" s="256" t="s">
        <v>1143</v>
      </c>
    </row>
    <row r="170" spans="1:55" ht="9.75" customHeight="1">
      <c r="AI170" s="256" t="s">
        <v>1146</v>
      </c>
    </row>
    <row r="171" spans="1:55" ht="9.75" customHeight="1">
      <c r="AI171" s="256" t="s">
        <v>1147</v>
      </c>
    </row>
    <row r="172" spans="1:55" ht="9.75" customHeight="1">
      <c r="AI172" s="256" t="s">
        <v>1148</v>
      </c>
    </row>
    <row r="173" spans="1:55" ht="9.75" customHeight="1">
      <c r="AI173" s="256" t="s">
        <v>1149</v>
      </c>
    </row>
    <row r="174" spans="1:55" ht="9.75" customHeight="1">
      <c r="AI174" s="256" t="s">
        <v>1150</v>
      </c>
    </row>
    <row r="175" spans="1:55" ht="9.75" customHeight="1">
      <c r="AI175" s="256" t="s">
        <v>1151</v>
      </c>
    </row>
    <row r="176" spans="1:55" ht="9.75" customHeight="1">
      <c r="AI176" s="256" t="s">
        <v>1152</v>
      </c>
    </row>
    <row r="177" spans="35:35" ht="9.75" customHeight="1">
      <c r="AI177" s="256" t="s">
        <v>1153</v>
      </c>
    </row>
    <row r="178" spans="35:35" ht="9.75" customHeight="1">
      <c r="AI178" s="256" t="s">
        <v>1154</v>
      </c>
    </row>
    <row r="179" spans="35:35" ht="9.75" customHeight="1">
      <c r="AI179" s="257" t="s">
        <v>1155</v>
      </c>
    </row>
    <row r="180" spans="35:35" ht="9.75" customHeight="1">
      <c r="AI180" s="254" t="s">
        <v>1156</v>
      </c>
    </row>
    <row r="181" spans="35:35" ht="9.75" customHeight="1">
      <c r="AI181" s="254" t="s">
        <v>1157</v>
      </c>
    </row>
    <row r="182" spans="35:35" ht="9.75" customHeight="1">
      <c r="AI182" s="254" t="s">
        <v>1158</v>
      </c>
    </row>
    <row r="183" spans="35:35" ht="9.75" customHeight="1">
      <c r="AI183" s="254" t="s">
        <v>1159</v>
      </c>
    </row>
    <row r="184" spans="35:35" ht="9.75" customHeight="1">
      <c r="AI184" s="254" t="s">
        <v>1160</v>
      </c>
    </row>
    <row r="185" spans="35:35" ht="9.75" customHeight="1">
      <c r="AI185" s="254" t="s">
        <v>1161</v>
      </c>
    </row>
    <row r="186" spans="35:35" ht="9.75" customHeight="1">
      <c r="AI186" s="254" t="s">
        <v>1162</v>
      </c>
    </row>
    <row r="187" spans="35:35" ht="9.75" customHeight="1">
      <c r="AI187" s="254" t="s">
        <v>1163</v>
      </c>
    </row>
    <row r="188" spans="35:35" ht="9.75" customHeight="1">
      <c r="AI188" s="254" t="s">
        <v>1164</v>
      </c>
    </row>
    <row r="189" spans="35:35" ht="9.75" customHeight="1">
      <c r="AI189" s="254" t="s">
        <v>1165</v>
      </c>
    </row>
    <row r="190" spans="35:35" ht="9.75" customHeight="1">
      <c r="AI190" s="254" t="s">
        <v>1166</v>
      </c>
    </row>
    <row r="191" spans="35:35" ht="9.75" customHeight="1">
      <c r="AI191" s="254" t="s">
        <v>1167</v>
      </c>
    </row>
    <row r="192" spans="35:35" ht="9.75" customHeight="1">
      <c r="AI192" s="254" t="s">
        <v>1168</v>
      </c>
    </row>
    <row r="193" spans="35:35" ht="9.75" customHeight="1">
      <c r="AI193" s="254" t="s">
        <v>1169</v>
      </c>
    </row>
    <row r="194" spans="35:35" ht="9.75" customHeight="1">
      <c r="AI194" s="254" t="s">
        <v>1170</v>
      </c>
    </row>
    <row r="195" spans="35:35" ht="9.75" customHeight="1">
      <c r="AI195" s="254" t="s">
        <v>1171</v>
      </c>
    </row>
    <row r="196" spans="35:35" ht="9.75" customHeight="1">
      <c r="AI196" s="254" t="s">
        <v>1172</v>
      </c>
    </row>
    <row r="197" spans="35:35" ht="9.75" customHeight="1">
      <c r="AI197" s="254" t="s">
        <v>1173</v>
      </c>
    </row>
    <row r="198" spans="35:35" ht="9.75" customHeight="1">
      <c r="AI198" s="254" t="s">
        <v>1174</v>
      </c>
    </row>
    <row r="199" spans="35:35" ht="9.75" customHeight="1">
      <c r="AI199" s="254" t="s">
        <v>1175</v>
      </c>
    </row>
    <row r="200" spans="35:35" ht="9.75" customHeight="1">
      <c r="AI200" s="254" t="s">
        <v>1176</v>
      </c>
    </row>
    <row r="201" spans="35:35" ht="9.75" customHeight="1">
      <c r="AI201" s="254" t="s">
        <v>1177</v>
      </c>
    </row>
    <row r="202" spans="35:35" ht="9.75" customHeight="1">
      <c r="AI202" s="254" t="s">
        <v>1178</v>
      </c>
    </row>
    <row r="203" spans="35:35" ht="9.75" customHeight="1">
      <c r="AI203" s="254" t="s">
        <v>1179</v>
      </c>
    </row>
    <row r="204" spans="35:35" ht="9.75" customHeight="1">
      <c r="AI204" s="254" t="s">
        <v>1180</v>
      </c>
    </row>
    <row r="205" spans="35:35" ht="9.75" customHeight="1">
      <c r="AI205" s="254" t="s">
        <v>1181</v>
      </c>
    </row>
    <row r="206" spans="35:35" ht="9.75" customHeight="1">
      <c r="AI206" s="254" t="s">
        <v>1182</v>
      </c>
    </row>
    <row r="207" spans="35:35" ht="9.75" customHeight="1">
      <c r="AI207" s="254" t="s">
        <v>1183</v>
      </c>
    </row>
    <row r="208" spans="35:35" ht="9.75" customHeight="1">
      <c r="AI208" s="254" t="s">
        <v>1184</v>
      </c>
    </row>
    <row r="209" spans="35:35" ht="9.75" customHeight="1">
      <c r="AI209" s="254" t="s">
        <v>1185</v>
      </c>
    </row>
    <row r="210" spans="35:35" ht="9.75" customHeight="1">
      <c r="AI210" s="254" t="s">
        <v>1186</v>
      </c>
    </row>
    <row r="211" spans="35:35" ht="9.75" customHeight="1">
      <c r="AI211" s="254" t="s">
        <v>1187</v>
      </c>
    </row>
    <row r="212" spans="35:35" ht="9.75" customHeight="1">
      <c r="AI212" s="254" t="s">
        <v>1188</v>
      </c>
    </row>
    <row r="213" spans="35:35" ht="9.75" customHeight="1">
      <c r="AI213" s="254" t="s">
        <v>1189</v>
      </c>
    </row>
    <row r="214" spans="35:35" ht="9.75" customHeight="1">
      <c r="AI214" s="254" t="s">
        <v>1190</v>
      </c>
    </row>
    <row r="215" spans="35:35" ht="9.75" customHeight="1">
      <c r="AI215" s="256" t="s">
        <v>1191</v>
      </c>
    </row>
    <row r="216" spans="35:35" ht="9.75" customHeight="1">
      <c r="AI216" s="256" t="s">
        <v>1192</v>
      </c>
    </row>
    <row r="217" spans="35:35" ht="9.75" customHeight="1">
      <c r="AI217" s="256" t="s">
        <v>1193</v>
      </c>
    </row>
    <row r="218" spans="35:35" ht="9.75" customHeight="1">
      <c r="AI218" s="256" t="s">
        <v>1194</v>
      </c>
    </row>
    <row r="219" spans="35:35" ht="9.75" customHeight="1">
      <c r="AI219" s="256" t="s">
        <v>1195</v>
      </c>
    </row>
    <row r="220" spans="35:35" ht="9.75" customHeight="1">
      <c r="AI220" s="256" t="s">
        <v>1196</v>
      </c>
    </row>
    <row r="221" spans="35:35" ht="9.75" customHeight="1">
      <c r="AI221" s="256" t="s">
        <v>1197</v>
      </c>
    </row>
    <row r="222" spans="35:35" ht="9.75" customHeight="1">
      <c r="AI222" s="256" t="s">
        <v>1198</v>
      </c>
    </row>
    <row r="223" spans="35:35" ht="9.75" customHeight="1">
      <c r="AI223" s="256" t="s">
        <v>1199</v>
      </c>
    </row>
    <row r="224" spans="35:35" ht="9.75" customHeight="1">
      <c r="AI224" s="256" t="s">
        <v>1200</v>
      </c>
    </row>
    <row r="225" spans="35:35" ht="9.75" customHeight="1">
      <c r="AI225" s="256" t="s">
        <v>1201</v>
      </c>
    </row>
    <row r="226" spans="35:35" ht="9.75" customHeight="1">
      <c r="AI226" s="257" t="s">
        <v>1202</v>
      </c>
    </row>
    <row r="227" spans="35:35" ht="9.75" customHeight="1">
      <c r="AI227" s="254" t="s">
        <v>1203</v>
      </c>
    </row>
    <row r="228" spans="35:35" ht="9.75" customHeight="1">
      <c r="AI228" s="254" t="s">
        <v>1204</v>
      </c>
    </row>
    <row r="229" spans="35:35" ht="9.75" customHeight="1">
      <c r="AI229" s="254" t="s">
        <v>1205</v>
      </c>
    </row>
    <row r="230" spans="35:35" ht="9.75" customHeight="1">
      <c r="AI230" s="254" t="s">
        <v>1206</v>
      </c>
    </row>
    <row r="231" spans="35:35" ht="9.75" customHeight="1">
      <c r="AI231" s="254" t="s">
        <v>1207</v>
      </c>
    </row>
    <row r="232" spans="35:35" ht="9.75" customHeight="1">
      <c r="AI232" s="254" t="s">
        <v>1208</v>
      </c>
    </row>
    <row r="233" spans="35:35" ht="9.75" customHeight="1">
      <c r="AI233" s="254" t="s">
        <v>1209</v>
      </c>
    </row>
    <row r="234" spans="35:35" ht="9.75" customHeight="1">
      <c r="AI234" s="254" t="s">
        <v>1210</v>
      </c>
    </row>
    <row r="235" spans="35:35" ht="9.75" customHeight="1">
      <c r="AI235" s="254" t="s">
        <v>1211</v>
      </c>
    </row>
    <row r="236" spans="35:35" ht="9.75" customHeight="1">
      <c r="AI236" s="254" t="s">
        <v>1212</v>
      </c>
    </row>
    <row r="237" spans="35:35" ht="9.75" customHeight="1">
      <c r="AI237" s="254" t="s">
        <v>1213</v>
      </c>
    </row>
    <row r="238" spans="35:35" ht="9.75" customHeight="1">
      <c r="AI238" s="254" t="s">
        <v>1214</v>
      </c>
    </row>
    <row r="239" spans="35:35" ht="9.75" customHeight="1">
      <c r="AI239" s="254" t="s">
        <v>1215</v>
      </c>
    </row>
    <row r="240" spans="35:35" ht="9.75" customHeight="1">
      <c r="AI240" s="254" t="s">
        <v>1216</v>
      </c>
    </row>
    <row r="241" spans="35:35" ht="9.75" customHeight="1">
      <c r="AI241" s="254" t="s">
        <v>1217</v>
      </c>
    </row>
    <row r="242" spans="35:35" ht="9.75" customHeight="1">
      <c r="AI242" s="254" t="s">
        <v>1218</v>
      </c>
    </row>
    <row r="243" spans="35:35" ht="9.75" customHeight="1">
      <c r="AI243" s="254" t="s">
        <v>1219</v>
      </c>
    </row>
    <row r="244" spans="35:35" ht="9.75" customHeight="1">
      <c r="AI244" s="254" t="s">
        <v>1220</v>
      </c>
    </row>
    <row r="245" spans="35:35" ht="9.75" customHeight="1">
      <c r="AI245" s="254" t="s">
        <v>1221</v>
      </c>
    </row>
    <row r="246" spans="35:35" ht="9.75" customHeight="1">
      <c r="AI246" s="255" t="s">
        <v>1222</v>
      </c>
    </row>
    <row r="247" spans="35:35" ht="9.75" customHeight="1">
      <c r="AI247" s="256" t="s">
        <v>1223</v>
      </c>
    </row>
    <row r="248" spans="35:35" ht="9.75" customHeight="1">
      <c r="AI248" s="256" t="s">
        <v>1224</v>
      </c>
    </row>
    <row r="249" spans="35:35" ht="9.75" customHeight="1">
      <c r="AI249" s="256" t="s">
        <v>1225</v>
      </c>
    </row>
    <row r="250" spans="35:35" ht="9.75" customHeight="1">
      <c r="AI250" s="256" t="s">
        <v>1226</v>
      </c>
    </row>
    <row r="251" spans="35:35" ht="9.75" customHeight="1">
      <c r="AI251" s="256" t="s">
        <v>1227</v>
      </c>
    </row>
    <row r="252" spans="35:35" ht="9.75" customHeight="1">
      <c r="AI252" s="256" t="s">
        <v>1228</v>
      </c>
    </row>
    <row r="253" spans="35:35" ht="9.75" customHeight="1">
      <c r="AI253" s="256" t="s">
        <v>1229</v>
      </c>
    </row>
    <row r="254" spans="35:35" ht="9.75" customHeight="1">
      <c r="AI254" s="256" t="s">
        <v>1230</v>
      </c>
    </row>
    <row r="255" spans="35:35" ht="9.75" customHeight="1">
      <c r="AI255" s="256" t="s">
        <v>1231</v>
      </c>
    </row>
    <row r="256" spans="35:35" ht="9.75" customHeight="1">
      <c r="AI256" s="256" t="s">
        <v>1232</v>
      </c>
    </row>
    <row r="257" spans="35:35" ht="9.75" customHeight="1">
      <c r="AI257" s="256" t="s">
        <v>1233</v>
      </c>
    </row>
    <row r="258" spans="35:35" ht="9.75" customHeight="1">
      <c r="AI258" s="256" t="s">
        <v>1234</v>
      </c>
    </row>
    <row r="259" spans="35:35" ht="9.75" customHeight="1">
      <c r="AI259" s="256" t="s">
        <v>1235</v>
      </c>
    </row>
    <row r="260" spans="35:35" ht="9.75" customHeight="1">
      <c r="AI260" s="256" t="s">
        <v>1236</v>
      </c>
    </row>
    <row r="261" spans="35:35" ht="9.75" customHeight="1">
      <c r="AI261" s="256" t="s">
        <v>1237</v>
      </c>
    </row>
    <row r="262" spans="35:35" ht="9.75" customHeight="1">
      <c r="AI262" s="256" t="s">
        <v>1238</v>
      </c>
    </row>
    <row r="263" spans="35:35" ht="9.75" customHeight="1">
      <c r="AI263" s="256" t="s">
        <v>1239</v>
      </c>
    </row>
    <row r="264" spans="35:35" ht="9.75" customHeight="1">
      <c r="AI264" s="257" t="s">
        <v>1240</v>
      </c>
    </row>
    <row r="265" spans="35:35" ht="9.75" customHeight="1">
      <c r="AI265" s="254" t="s">
        <v>1241</v>
      </c>
    </row>
    <row r="266" spans="35:35" ht="9.75" customHeight="1">
      <c r="AI266" s="254" t="s">
        <v>1242</v>
      </c>
    </row>
    <row r="267" spans="35:35" ht="9.75" customHeight="1">
      <c r="AI267" s="254" t="s">
        <v>1243</v>
      </c>
    </row>
    <row r="268" spans="35:35" ht="9.75" customHeight="1">
      <c r="AI268" s="254" t="s">
        <v>1244</v>
      </c>
    </row>
    <row r="269" spans="35:35" ht="9.75" customHeight="1">
      <c r="AI269" s="254" t="s">
        <v>1245</v>
      </c>
    </row>
    <row r="270" spans="35:35" ht="9.75" customHeight="1">
      <c r="AI270" s="254" t="s">
        <v>1246</v>
      </c>
    </row>
    <row r="271" spans="35:35" ht="9.75" customHeight="1">
      <c r="AI271" s="254" t="s">
        <v>1247</v>
      </c>
    </row>
    <row r="272" spans="35:35" ht="9.75" customHeight="1">
      <c r="AI272" s="254" t="s">
        <v>1248</v>
      </c>
    </row>
    <row r="273" spans="35:35" ht="9.75" customHeight="1">
      <c r="AI273" s="254" t="s">
        <v>1249</v>
      </c>
    </row>
    <row r="274" spans="35:35" ht="9.75" customHeight="1">
      <c r="AI274" s="254" t="s">
        <v>1250</v>
      </c>
    </row>
    <row r="275" spans="35:35" ht="9.75" customHeight="1">
      <c r="AI275" s="254" t="s">
        <v>1251</v>
      </c>
    </row>
    <row r="276" spans="35:35" ht="9.75" customHeight="1">
      <c r="AI276" s="254" t="s">
        <v>1252</v>
      </c>
    </row>
    <row r="277" spans="35:35" ht="9.75" customHeight="1">
      <c r="AI277" s="254" t="s">
        <v>1253</v>
      </c>
    </row>
    <row r="278" spans="35:35" ht="9.75" customHeight="1">
      <c r="AI278" s="254" t="s">
        <v>1254</v>
      </c>
    </row>
    <row r="279" spans="35:35" ht="9.75" customHeight="1">
      <c r="AI279" s="255" t="s">
        <v>1255</v>
      </c>
    </row>
    <row r="280" spans="35:35" ht="9.75" customHeight="1">
      <c r="AI280" s="256" t="s">
        <v>1256</v>
      </c>
    </row>
    <row r="281" spans="35:35" ht="9.75" customHeight="1">
      <c r="AI281" s="256" t="s">
        <v>1257</v>
      </c>
    </row>
    <row r="282" spans="35:35" ht="9.75" customHeight="1">
      <c r="AI282" s="256" t="s">
        <v>1258</v>
      </c>
    </row>
    <row r="283" spans="35:35" ht="9.75" customHeight="1">
      <c r="AI283" s="256" t="s">
        <v>1259</v>
      </c>
    </row>
    <row r="284" spans="35:35" ht="9.75" customHeight="1">
      <c r="AI284" s="256" t="s">
        <v>1260</v>
      </c>
    </row>
    <row r="285" spans="35:35" ht="9.75" customHeight="1">
      <c r="AI285" s="256" t="s">
        <v>1261</v>
      </c>
    </row>
    <row r="286" spans="35:35" ht="9.75" customHeight="1">
      <c r="AI286" s="256" t="s">
        <v>1262</v>
      </c>
    </row>
    <row r="287" spans="35:35" ht="9.75" customHeight="1">
      <c r="AI287" s="256" t="s">
        <v>1263</v>
      </c>
    </row>
    <row r="288" spans="35:35" ht="9.75" customHeight="1">
      <c r="AI288" s="256" t="s">
        <v>1264</v>
      </c>
    </row>
    <row r="289" spans="35:35" ht="9.75" customHeight="1">
      <c r="AI289" s="256" t="s">
        <v>1265</v>
      </c>
    </row>
    <row r="290" spans="35:35" ht="9.75" customHeight="1">
      <c r="AI290" s="256" t="s">
        <v>1266</v>
      </c>
    </row>
    <row r="291" spans="35:35" ht="9.75" customHeight="1">
      <c r="AI291" s="256" t="s">
        <v>1267</v>
      </c>
    </row>
    <row r="292" spans="35:35" ht="9.75" customHeight="1">
      <c r="AI292" s="256" t="s">
        <v>1234</v>
      </c>
    </row>
    <row r="293" spans="35:35" ht="9.75" customHeight="1">
      <c r="AI293" s="256" t="s">
        <v>1268</v>
      </c>
    </row>
    <row r="294" spans="35:35" ht="9.75" customHeight="1">
      <c r="AI294" s="257" t="s">
        <v>1269</v>
      </c>
    </row>
    <row r="295" spans="35:35" ht="9.75" customHeight="1">
      <c r="AI295" s="254" t="s">
        <v>1270</v>
      </c>
    </row>
    <row r="296" spans="35:35" ht="9.75" customHeight="1">
      <c r="AI296" s="254" t="s">
        <v>1271</v>
      </c>
    </row>
    <row r="297" spans="35:35" ht="9.75" customHeight="1">
      <c r="AI297" s="254" t="s">
        <v>1272</v>
      </c>
    </row>
    <row r="298" spans="35:35" ht="9.75" customHeight="1">
      <c r="AI298" s="254" t="s">
        <v>1273</v>
      </c>
    </row>
    <row r="299" spans="35:35" ht="9.75" customHeight="1">
      <c r="AI299" s="254" t="s">
        <v>1274</v>
      </c>
    </row>
    <row r="300" spans="35:35" ht="9.75" customHeight="1">
      <c r="AI300" s="254" t="s">
        <v>1275</v>
      </c>
    </row>
    <row r="301" spans="35:35" ht="9.75" customHeight="1">
      <c r="AI301" s="254" t="s">
        <v>1276</v>
      </c>
    </row>
    <row r="302" spans="35:35" ht="9.75" customHeight="1">
      <c r="AI302" s="254" t="s">
        <v>1277</v>
      </c>
    </row>
    <row r="303" spans="35:35" ht="9.75" customHeight="1">
      <c r="AI303" s="254" t="s">
        <v>1278</v>
      </c>
    </row>
    <row r="304" spans="35:35" ht="9.75" customHeight="1">
      <c r="AI304" s="254" t="s">
        <v>1279</v>
      </c>
    </row>
    <row r="305" spans="35:35" ht="9.75" customHeight="1">
      <c r="AI305" s="255" t="s">
        <v>1280</v>
      </c>
    </row>
    <row r="306" spans="35:35" ht="9.75" customHeight="1">
      <c r="AI306" s="256" t="s">
        <v>1281</v>
      </c>
    </row>
    <row r="307" spans="35:35" ht="9.75" customHeight="1">
      <c r="AI307" s="256" t="s">
        <v>1282</v>
      </c>
    </row>
    <row r="308" spans="35:35" ht="9.75" customHeight="1">
      <c r="AI308" s="256" t="s">
        <v>1283</v>
      </c>
    </row>
    <row r="309" spans="35:35" ht="9.75" customHeight="1">
      <c r="AI309" s="256" t="s">
        <v>1284</v>
      </c>
    </row>
    <row r="310" spans="35:35" ht="9.75" customHeight="1">
      <c r="AI310" s="256" t="s">
        <v>1285</v>
      </c>
    </row>
    <row r="311" spans="35:35" ht="9.75" customHeight="1">
      <c r="AI311" s="256" t="s">
        <v>1286</v>
      </c>
    </row>
    <row r="312" spans="35:35" ht="9.75" customHeight="1">
      <c r="AI312" s="256" t="s">
        <v>1287</v>
      </c>
    </row>
    <row r="313" spans="35:35" ht="9.75" customHeight="1">
      <c r="AI313" s="256" t="s">
        <v>1288</v>
      </c>
    </row>
    <row r="314" spans="35:35" ht="9.75" customHeight="1">
      <c r="AI314" s="256" t="s">
        <v>1289</v>
      </c>
    </row>
    <row r="315" spans="35:35" ht="9.75" customHeight="1">
      <c r="AI315" s="256" t="s">
        <v>1290</v>
      </c>
    </row>
    <row r="316" spans="35:35" ht="9.75" customHeight="1">
      <c r="AI316" s="256" t="s">
        <v>1291</v>
      </c>
    </row>
    <row r="317" spans="35:35" ht="9.75" customHeight="1">
      <c r="AI317" s="256" t="s">
        <v>1292</v>
      </c>
    </row>
    <row r="318" spans="35:35" ht="9.75" customHeight="1">
      <c r="AI318" s="256" t="s">
        <v>1293</v>
      </c>
    </row>
    <row r="319" spans="35:35" ht="9.75" customHeight="1">
      <c r="AI319" s="256" t="s">
        <v>1294</v>
      </c>
    </row>
    <row r="320" spans="35:35" ht="9.75" customHeight="1">
      <c r="AI320" s="256" t="s">
        <v>1295</v>
      </c>
    </row>
    <row r="321" spans="35:35" ht="9.75" customHeight="1">
      <c r="AI321" s="256" t="s">
        <v>1296</v>
      </c>
    </row>
    <row r="322" spans="35:35" ht="9.75" customHeight="1">
      <c r="AI322" s="256" t="s">
        <v>1297</v>
      </c>
    </row>
    <row r="323" spans="35:35" ht="9.75" customHeight="1">
      <c r="AI323" s="256" t="s">
        <v>1298</v>
      </c>
    </row>
    <row r="324" spans="35:35" ht="9.75" customHeight="1">
      <c r="AI324" s="256" t="s">
        <v>1299</v>
      </c>
    </row>
    <row r="325" spans="35:35" ht="9.75" customHeight="1">
      <c r="AI325" s="256" t="s">
        <v>1300</v>
      </c>
    </row>
    <row r="326" spans="35:35" ht="9.75" customHeight="1">
      <c r="AI326" s="257" t="s">
        <v>1301</v>
      </c>
    </row>
    <row r="327" spans="35:35" ht="9.75" customHeight="1">
      <c r="AI327" s="254" t="s">
        <v>1302</v>
      </c>
    </row>
    <row r="328" spans="35:35" ht="9.75" customHeight="1">
      <c r="AI328" s="254" t="s">
        <v>1303</v>
      </c>
    </row>
    <row r="329" spans="35:35" ht="9.75" customHeight="1">
      <c r="AI329" s="254" t="s">
        <v>1304</v>
      </c>
    </row>
    <row r="330" spans="35:35" ht="9.75" customHeight="1">
      <c r="AI330" s="254" t="s">
        <v>1305</v>
      </c>
    </row>
    <row r="331" spans="35:35" ht="9.75" customHeight="1">
      <c r="AI331" s="254" t="s">
        <v>1306</v>
      </c>
    </row>
    <row r="332" spans="35:35" ht="9.75" customHeight="1">
      <c r="AI332" s="254" t="s">
        <v>1307</v>
      </c>
    </row>
    <row r="333" spans="35:35" ht="9.75" customHeight="1">
      <c r="AI333" s="254" t="s">
        <v>1308</v>
      </c>
    </row>
    <row r="334" spans="35:35" ht="9.75" customHeight="1">
      <c r="AI334" s="254" t="s">
        <v>1309</v>
      </c>
    </row>
    <row r="335" spans="35:35" ht="9.75" customHeight="1">
      <c r="AI335" s="254" t="s">
        <v>1310</v>
      </c>
    </row>
  </sheetData>
  <dataConsolidate/>
  <conditionalFormatting sqref="F105">
    <cfRule type="colorScale" priority="16">
      <colorScale>
        <cfvo type="num" val="0"/>
        <cfvo type="num" val="80"/>
        <color rgb="FFFF7128"/>
        <color rgb="FFFFEF9C"/>
      </colorScale>
    </cfRule>
  </conditionalFormatting>
  <conditionalFormatting sqref="F109">
    <cfRule type="colorScale" priority="15">
      <colorScale>
        <cfvo type="num" val="0"/>
        <cfvo type="num" val="80"/>
        <color rgb="FFFF7128"/>
        <color rgb="FFFFEF9C"/>
      </colorScale>
    </cfRule>
  </conditionalFormatting>
  <conditionalFormatting sqref="F113">
    <cfRule type="colorScale" priority="14">
      <colorScale>
        <cfvo type="num" val="0"/>
        <cfvo type="num" val="80"/>
        <color rgb="FFFF7128"/>
        <color rgb="FFFFEF9C"/>
      </colorScale>
    </cfRule>
  </conditionalFormatting>
  <conditionalFormatting sqref="F117">
    <cfRule type="colorScale" priority="13">
      <colorScale>
        <cfvo type="num" val="0"/>
        <cfvo type="num" val="80"/>
        <color rgb="FFFF7128"/>
        <color rgb="FFFFEF9C"/>
      </colorScale>
    </cfRule>
  </conditionalFormatting>
  <conditionalFormatting sqref="F121">
    <cfRule type="colorScale" priority="12">
      <colorScale>
        <cfvo type="num" val="0"/>
        <cfvo type="num" val="80"/>
        <color rgb="FFFF7128"/>
        <color rgb="FFFFEF9C"/>
      </colorScale>
    </cfRule>
  </conditionalFormatting>
  <conditionalFormatting sqref="F125">
    <cfRule type="colorScale" priority="11">
      <colorScale>
        <cfvo type="num" val="0"/>
        <cfvo type="num" val="80"/>
        <color rgb="FFFF7128"/>
        <color rgb="FFFFEF9C"/>
      </colorScale>
    </cfRule>
  </conditionalFormatting>
  <conditionalFormatting sqref="F129">
    <cfRule type="colorScale" priority="10">
      <colorScale>
        <cfvo type="num" val="0"/>
        <cfvo type="num" val="80"/>
        <color rgb="FFFF7128"/>
        <color rgb="FFFFEF9C"/>
      </colorScale>
    </cfRule>
  </conditionalFormatting>
  <conditionalFormatting sqref="F133">
    <cfRule type="colorScale" priority="9">
      <colorScale>
        <cfvo type="num" val="0"/>
        <cfvo type="num" val="80"/>
        <color rgb="FFFF7128"/>
        <color rgb="FFFFEF9C"/>
      </colorScale>
    </cfRule>
  </conditionalFormatting>
  <conditionalFormatting sqref="F137">
    <cfRule type="colorScale" priority="8">
      <colorScale>
        <cfvo type="num" val="0"/>
        <cfvo type="num" val="80"/>
        <color rgb="FFFF7128"/>
        <color rgb="FFFFEF9C"/>
      </colorScale>
    </cfRule>
  </conditionalFormatting>
  <conditionalFormatting sqref="F141">
    <cfRule type="colorScale" priority="7">
      <colorScale>
        <cfvo type="num" val="0"/>
        <cfvo type="num" val="80"/>
        <color rgb="FFFF7128"/>
        <color rgb="FFFFEF9C"/>
      </colorScale>
    </cfRule>
  </conditionalFormatting>
  <conditionalFormatting sqref="F145">
    <cfRule type="colorScale" priority="6">
      <colorScale>
        <cfvo type="num" val="0"/>
        <cfvo type="num" val="80"/>
        <color rgb="FFFF7128"/>
        <color rgb="FFFFEF9C"/>
      </colorScale>
    </cfRule>
  </conditionalFormatting>
  <conditionalFormatting sqref="F149">
    <cfRule type="colorScale" priority="5">
      <colorScale>
        <cfvo type="num" val="0"/>
        <cfvo type="num" val="80"/>
        <color rgb="FFFF7128"/>
        <color rgb="FFFFEF9C"/>
      </colorScale>
    </cfRule>
  </conditionalFormatting>
  <conditionalFormatting sqref="F153">
    <cfRule type="colorScale" priority="4">
      <colorScale>
        <cfvo type="num" val="0"/>
        <cfvo type="num" val="80"/>
        <color rgb="FFFF7128"/>
        <color rgb="FFFFEF9C"/>
      </colorScale>
    </cfRule>
  </conditionalFormatting>
  <conditionalFormatting sqref="F157">
    <cfRule type="colorScale" priority="3">
      <colorScale>
        <cfvo type="num" val="0"/>
        <cfvo type="num" val="80"/>
        <color rgb="FFFF7128"/>
        <color rgb="FFFFEF9C"/>
      </colorScale>
    </cfRule>
  </conditionalFormatting>
  <conditionalFormatting sqref="F161">
    <cfRule type="colorScale" priority="2">
      <colorScale>
        <cfvo type="num" val="0"/>
        <cfvo type="num" val="80"/>
        <color rgb="FFFF7128"/>
        <color rgb="FFFFEF9C"/>
      </colorScale>
    </cfRule>
  </conditionalFormatting>
  <conditionalFormatting sqref="F165">
    <cfRule type="colorScale" priority="1">
      <colorScale>
        <cfvo type="num" val="0"/>
        <cfvo type="num" val="80"/>
        <color rgb="FFFF7128"/>
        <color rgb="FFFFEF9C"/>
      </colorScale>
    </cfRule>
  </conditionalFormatting>
  <conditionalFormatting sqref="AA106:AA166">
    <cfRule type="cellIs" dxfId="36" priority="17" operator="greaterThan">
      <formula>1</formula>
    </cfRule>
  </conditionalFormatting>
  <pageMargins left="0.23622047244094491" right="0.23622047244094491" top="0.74803149606299213" bottom="0.74803149606299213" header="0.31496062992125984" footer="0.31496062992125984"/>
  <pageSetup paperSize="9" orientation="portrait" horizontalDpi="300" r:id="rId1"/>
  <headerFooter>
    <oddHeader>&amp;L&amp;F&amp;R&amp;D</oddHeader>
    <oddFooter>&amp;C_x000D_&amp;1#&amp;"Arial"&amp;9&amp;K000000 Internal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1"/>
  <sheetViews>
    <sheetView workbookViewId="0">
      <selection activeCell="G13" sqref="G13"/>
    </sheetView>
  </sheetViews>
  <sheetFormatPr baseColWidth="10" defaultColWidth="8.88671875" defaultRowHeight="13.2"/>
  <cols>
    <col min="1" max="1" width="2.88671875" style="143" customWidth="1"/>
    <col min="2" max="3" width="3.109375" style="149" bestFit="1" customWidth="1"/>
    <col min="4" max="4" width="5.33203125" style="693" customWidth="1"/>
    <col min="5" max="5" width="4" style="149" customWidth="1"/>
    <col min="6" max="6" width="4.33203125" style="149" bestFit="1" customWidth="1"/>
    <col min="7" max="7" width="5.44140625" style="693" customWidth="1"/>
    <col min="8" max="9" width="5" style="149" bestFit="1" customWidth="1"/>
    <col min="10" max="10" width="6.5546875" style="694" customWidth="1"/>
    <col min="11" max="11" width="4.33203125" style="695" bestFit="1" customWidth="1"/>
    <col min="12" max="12" width="4" style="148" customWidth="1"/>
    <col min="13" max="13" width="4.33203125" style="147" bestFit="1" customWidth="1"/>
    <col min="14" max="14" width="4" style="147" customWidth="1"/>
    <col min="15" max="15" width="4.33203125" style="147" bestFit="1" customWidth="1"/>
    <col min="16" max="16" width="4.33203125" style="146" bestFit="1" customWidth="1"/>
    <col min="17" max="17" width="4.33203125" style="144" customWidth="1"/>
    <col min="18" max="18" width="4.33203125" style="146" bestFit="1" customWidth="1"/>
    <col min="19" max="19" width="4.33203125" style="144" customWidth="1"/>
    <col min="20" max="20" width="4.44140625" style="145" customWidth="1"/>
    <col min="21" max="21" width="4.33203125" style="144" customWidth="1"/>
    <col min="22" max="22" width="5.109375" style="693" customWidth="1"/>
    <col min="23" max="16384" width="8.88671875" style="143"/>
  </cols>
  <sheetData>
    <row r="1" spans="1:22" s="696" customFormat="1" ht="14.4" thickBot="1">
      <c r="B1" s="697" t="s">
        <v>747</v>
      </c>
      <c r="C1" s="698" t="s">
        <v>746</v>
      </c>
      <c r="D1" s="699" t="s">
        <v>745</v>
      </c>
      <c r="E1" s="700" t="s">
        <v>178</v>
      </c>
      <c r="F1" s="701" t="s">
        <v>178</v>
      </c>
      <c r="G1" s="702" t="s">
        <v>744</v>
      </c>
      <c r="H1" s="703" t="s">
        <v>743</v>
      </c>
      <c r="I1" s="704" t="s">
        <v>743</v>
      </c>
      <c r="J1" s="705" t="s">
        <v>742</v>
      </c>
      <c r="K1" s="706" t="s">
        <v>741</v>
      </c>
      <c r="L1" s="703" t="s">
        <v>705</v>
      </c>
      <c r="M1" s="704" t="s">
        <v>705</v>
      </c>
      <c r="N1" s="704" t="s">
        <v>705</v>
      </c>
      <c r="O1" s="704" t="s">
        <v>705</v>
      </c>
      <c r="P1" s="704" t="s">
        <v>705</v>
      </c>
      <c r="Q1" s="704" t="s">
        <v>705</v>
      </c>
      <c r="R1" s="704" t="s">
        <v>705</v>
      </c>
      <c r="S1" s="704" t="s">
        <v>705</v>
      </c>
      <c r="T1" s="704" t="s">
        <v>705</v>
      </c>
      <c r="U1" s="704" t="s">
        <v>705</v>
      </c>
      <c r="V1" s="707" t="s">
        <v>740</v>
      </c>
    </row>
    <row r="2" spans="1:22" s="716" customFormat="1" ht="12" customHeight="1">
      <c r="A2" s="696">
        <v>1</v>
      </c>
      <c r="B2" s="708">
        <f t="shared" ref="B2:B33" ca="1" si="0">ROUNDUP(RAND()*3,0)</f>
        <v>1</v>
      </c>
      <c r="C2" s="709">
        <f t="shared" ref="C2:C33" ca="1" si="1">ROUNDUP(RAND()*6,0)</f>
        <v>6</v>
      </c>
      <c r="D2" s="710">
        <f t="shared" ref="D2:D33" ca="1" si="2">ROUNDUP(RAND()*6,0)-ROUNDUP(RAND()*6,0)</f>
        <v>-1</v>
      </c>
      <c r="E2" s="711">
        <f t="shared" ref="E2:F21" ca="1" si="3">ROUNDUP(RAND()*10,0)</f>
        <v>1</v>
      </c>
      <c r="F2" s="709">
        <f t="shared" ca="1" si="3"/>
        <v>5</v>
      </c>
      <c r="G2" s="710">
        <f t="shared" ref="G2:G33" ca="1" si="4">ROUNDUP(RAND()*10,0)-ROUNDUP(RAND()*10,0)</f>
        <v>4</v>
      </c>
      <c r="H2" s="711">
        <f t="shared" ref="H2:H33" ca="1" si="5">IF(E2&gt;9,4,IF(E2&gt;7,3,IF(E2&gt;4,2,1)))</f>
        <v>1</v>
      </c>
      <c r="I2" s="709">
        <f t="shared" ref="I2:I33" ca="1" si="6">IF(F2&gt;9,4,IF(F2&gt;7,3,IF(F2&gt;4,2,1)))</f>
        <v>2</v>
      </c>
      <c r="J2" s="712">
        <f t="shared" ref="J2:J33" ca="1" si="7">H2-I2</f>
        <v>-1</v>
      </c>
      <c r="K2" s="713">
        <f t="shared" ref="K2:K33" ca="1" si="8">ROUNDUP(RAND()*20,0)</f>
        <v>20</v>
      </c>
      <c r="L2" s="714">
        <f t="shared" ref="L2:U11" ca="1" si="9">ROUNDUP(RAND()*100,0)</f>
        <v>45</v>
      </c>
      <c r="M2" s="715">
        <f t="shared" ca="1" si="9"/>
        <v>78</v>
      </c>
      <c r="N2" s="715">
        <f t="shared" ca="1" si="9"/>
        <v>14</v>
      </c>
      <c r="O2" s="715">
        <f t="shared" ca="1" si="9"/>
        <v>31</v>
      </c>
      <c r="P2" s="715">
        <f t="shared" ca="1" si="9"/>
        <v>66</v>
      </c>
      <c r="Q2" s="715">
        <f t="shared" ca="1" si="9"/>
        <v>73</v>
      </c>
      <c r="R2" s="715">
        <f t="shared" ca="1" si="9"/>
        <v>70</v>
      </c>
      <c r="S2" s="715">
        <f t="shared" ca="1" si="9"/>
        <v>14</v>
      </c>
      <c r="T2" s="715">
        <f t="shared" ca="1" si="9"/>
        <v>96</v>
      </c>
      <c r="U2" s="715">
        <f t="shared" ca="1" si="9"/>
        <v>9</v>
      </c>
      <c r="V2" s="710">
        <f t="shared" ref="V2:V33" ca="1" si="10">ROUNDUP(RAND()*100,0)-ROUNDUP(RAND()*100,0)</f>
        <v>-23</v>
      </c>
    </row>
    <row r="3" spans="1:22" s="716" customFormat="1" ht="12" customHeight="1">
      <c r="A3" s="696">
        <v>2</v>
      </c>
      <c r="B3" s="708">
        <f t="shared" ca="1" si="0"/>
        <v>1</v>
      </c>
      <c r="C3" s="709">
        <f t="shared" ca="1" si="1"/>
        <v>2</v>
      </c>
      <c r="D3" s="710">
        <f t="shared" ca="1" si="2"/>
        <v>1</v>
      </c>
      <c r="E3" s="711">
        <f t="shared" ca="1" si="3"/>
        <v>2</v>
      </c>
      <c r="F3" s="709">
        <f t="shared" ca="1" si="3"/>
        <v>1</v>
      </c>
      <c r="G3" s="710">
        <f t="shared" ca="1" si="4"/>
        <v>-2</v>
      </c>
      <c r="H3" s="711">
        <f t="shared" ca="1" si="5"/>
        <v>1</v>
      </c>
      <c r="I3" s="709">
        <f t="shared" ca="1" si="6"/>
        <v>1</v>
      </c>
      <c r="J3" s="712">
        <f t="shared" ca="1" si="7"/>
        <v>0</v>
      </c>
      <c r="K3" s="713">
        <f t="shared" ca="1" si="8"/>
        <v>18</v>
      </c>
      <c r="L3" s="717">
        <f t="shared" ca="1" si="9"/>
        <v>80</v>
      </c>
      <c r="M3" s="718">
        <f t="shared" ca="1" si="9"/>
        <v>62</v>
      </c>
      <c r="N3" s="718">
        <f t="shared" ca="1" si="9"/>
        <v>86</v>
      </c>
      <c r="O3" s="718">
        <f t="shared" ca="1" si="9"/>
        <v>59</v>
      </c>
      <c r="P3" s="718">
        <f t="shared" ca="1" si="9"/>
        <v>85</v>
      </c>
      <c r="Q3" s="718">
        <f t="shared" ca="1" si="9"/>
        <v>53</v>
      </c>
      <c r="R3" s="718">
        <f t="shared" ca="1" si="9"/>
        <v>43</v>
      </c>
      <c r="S3" s="718">
        <f t="shared" ca="1" si="9"/>
        <v>72</v>
      </c>
      <c r="T3" s="718">
        <f t="shared" ca="1" si="9"/>
        <v>5</v>
      </c>
      <c r="U3" s="718">
        <f t="shared" ca="1" si="9"/>
        <v>82</v>
      </c>
      <c r="V3" s="710">
        <f t="shared" ca="1" si="10"/>
        <v>22</v>
      </c>
    </row>
    <row r="4" spans="1:22" s="716" customFormat="1" ht="12" customHeight="1">
      <c r="A4" s="696">
        <v>3</v>
      </c>
      <c r="B4" s="708">
        <f t="shared" ca="1" si="0"/>
        <v>3</v>
      </c>
      <c r="C4" s="709">
        <f t="shared" ca="1" si="1"/>
        <v>2</v>
      </c>
      <c r="D4" s="710">
        <f t="shared" ca="1" si="2"/>
        <v>-2</v>
      </c>
      <c r="E4" s="711">
        <f t="shared" ca="1" si="3"/>
        <v>8</v>
      </c>
      <c r="F4" s="709">
        <f t="shared" ca="1" si="3"/>
        <v>6</v>
      </c>
      <c r="G4" s="710">
        <f t="shared" ca="1" si="4"/>
        <v>-5</v>
      </c>
      <c r="H4" s="711">
        <f t="shared" ca="1" si="5"/>
        <v>3</v>
      </c>
      <c r="I4" s="709">
        <f t="shared" ca="1" si="6"/>
        <v>2</v>
      </c>
      <c r="J4" s="712">
        <f t="shared" ca="1" si="7"/>
        <v>1</v>
      </c>
      <c r="K4" s="713">
        <f t="shared" ca="1" si="8"/>
        <v>3</v>
      </c>
      <c r="L4" s="717">
        <f t="shared" ca="1" si="9"/>
        <v>78</v>
      </c>
      <c r="M4" s="718">
        <f t="shared" ca="1" si="9"/>
        <v>85</v>
      </c>
      <c r="N4" s="718">
        <f t="shared" ca="1" si="9"/>
        <v>81</v>
      </c>
      <c r="O4" s="718">
        <f t="shared" ca="1" si="9"/>
        <v>86</v>
      </c>
      <c r="P4" s="718">
        <f t="shared" ca="1" si="9"/>
        <v>2</v>
      </c>
      <c r="Q4" s="718">
        <f t="shared" ca="1" si="9"/>
        <v>88</v>
      </c>
      <c r="R4" s="718">
        <f t="shared" ca="1" si="9"/>
        <v>52</v>
      </c>
      <c r="S4" s="718">
        <f t="shared" ca="1" si="9"/>
        <v>52</v>
      </c>
      <c r="T4" s="718">
        <f t="shared" ca="1" si="9"/>
        <v>90</v>
      </c>
      <c r="U4" s="718">
        <f t="shared" ca="1" si="9"/>
        <v>16</v>
      </c>
      <c r="V4" s="710">
        <f t="shared" ca="1" si="10"/>
        <v>-29</v>
      </c>
    </row>
    <row r="5" spans="1:22" s="716" customFormat="1" ht="12" customHeight="1">
      <c r="A5" s="696">
        <v>4</v>
      </c>
      <c r="B5" s="708">
        <f t="shared" ca="1" si="0"/>
        <v>1</v>
      </c>
      <c r="C5" s="709">
        <f t="shared" ca="1" si="1"/>
        <v>5</v>
      </c>
      <c r="D5" s="710">
        <f t="shared" ca="1" si="2"/>
        <v>1</v>
      </c>
      <c r="E5" s="711">
        <f t="shared" ca="1" si="3"/>
        <v>2</v>
      </c>
      <c r="F5" s="709">
        <f t="shared" ca="1" si="3"/>
        <v>10</v>
      </c>
      <c r="G5" s="710">
        <f t="shared" ca="1" si="4"/>
        <v>-1</v>
      </c>
      <c r="H5" s="711">
        <f t="shared" ca="1" si="5"/>
        <v>1</v>
      </c>
      <c r="I5" s="709">
        <f t="shared" ca="1" si="6"/>
        <v>4</v>
      </c>
      <c r="J5" s="712">
        <f t="shared" ca="1" si="7"/>
        <v>-3</v>
      </c>
      <c r="K5" s="713">
        <f t="shared" ca="1" si="8"/>
        <v>20</v>
      </c>
      <c r="L5" s="717">
        <f t="shared" ca="1" si="9"/>
        <v>73</v>
      </c>
      <c r="M5" s="718">
        <f t="shared" ca="1" si="9"/>
        <v>72</v>
      </c>
      <c r="N5" s="718">
        <f t="shared" ca="1" si="9"/>
        <v>43</v>
      </c>
      <c r="O5" s="718">
        <f t="shared" ca="1" si="9"/>
        <v>62</v>
      </c>
      <c r="P5" s="718">
        <f t="shared" ca="1" si="9"/>
        <v>77</v>
      </c>
      <c r="Q5" s="718">
        <f t="shared" ca="1" si="9"/>
        <v>57</v>
      </c>
      <c r="R5" s="718">
        <f t="shared" ca="1" si="9"/>
        <v>4</v>
      </c>
      <c r="S5" s="718">
        <f t="shared" ca="1" si="9"/>
        <v>58</v>
      </c>
      <c r="T5" s="718">
        <f t="shared" ca="1" si="9"/>
        <v>80</v>
      </c>
      <c r="U5" s="718">
        <f t="shared" ca="1" si="9"/>
        <v>28</v>
      </c>
      <c r="V5" s="710">
        <f t="shared" ca="1" si="10"/>
        <v>-36</v>
      </c>
    </row>
    <row r="6" spans="1:22" s="727" customFormat="1" ht="12" customHeight="1">
      <c r="A6" s="719">
        <v>5</v>
      </c>
      <c r="B6" s="720">
        <f t="shared" ca="1" si="0"/>
        <v>3</v>
      </c>
      <c r="C6" s="721">
        <f t="shared" ca="1" si="1"/>
        <v>4</v>
      </c>
      <c r="D6" s="722">
        <f t="shared" ca="1" si="2"/>
        <v>-1</v>
      </c>
      <c r="E6" s="723">
        <f t="shared" ca="1" si="3"/>
        <v>2</v>
      </c>
      <c r="F6" s="721">
        <f t="shared" ca="1" si="3"/>
        <v>2</v>
      </c>
      <c r="G6" s="722">
        <f t="shared" ca="1" si="4"/>
        <v>-2</v>
      </c>
      <c r="H6" s="723">
        <f t="shared" ca="1" si="5"/>
        <v>1</v>
      </c>
      <c r="I6" s="721">
        <f t="shared" ca="1" si="6"/>
        <v>1</v>
      </c>
      <c r="J6" s="724">
        <f t="shared" ca="1" si="7"/>
        <v>0</v>
      </c>
      <c r="K6" s="723">
        <f t="shared" ca="1" si="8"/>
        <v>1</v>
      </c>
      <c r="L6" s="725">
        <f t="shared" ca="1" si="9"/>
        <v>18</v>
      </c>
      <c r="M6" s="726">
        <f t="shared" ca="1" si="9"/>
        <v>63</v>
      </c>
      <c r="N6" s="726">
        <f t="shared" ca="1" si="9"/>
        <v>19</v>
      </c>
      <c r="O6" s="726">
        <f t="shared" ca="1" si="9"/>
        <v>25</v>
      </c>
      <c r="P6" s="726">
        <f t="shared" ca="1" si="9"/>
        <v>58</v>
      </c>
      <c r="Q6" s="726">
        <f t="shared" ca="1" si="9"/>
        <v>91</v>
      </c>
      <c r="R6" s="726">
        <f t="shared" ca="1" si="9"/>
        <v>96</v>
      </c>
      <c r="S6" s="726">
        <f t="shared" ca="1" si="9"/>
        <v>67</v>
      </c>
      <c r="T6" s="726">
        <f t="shared" ca="1" si="9"/>
        <v>67</v>
      </c>
      <c r="U6" s="726">
        <f t="shared" ca="1" si="9"/>
        <v>74</v>
      </c>
      <c r="V6" s="722">
        <f t="shared" ca="1" si="10"/>
        <v>72</v>
      </c>
    </row>
    <row r="7" spans="1:22" s="716" customFormat="1" ht="12" customHeight="1">
      <c r="A7" s="696">
        <v>6</v>
      </c>
      <c r="B7" s="708">
        <f t="shared" ca="1" si="0"/>
        <v>2</v>
      </c>
      <c r="C7" s="709">
        <f t="shared" ca="1" si="1"/>
        <v>3</v>
      </c>
      <c r="D7" s="710">
        <f t="shared" ca="1" si="2"/>
        <v>-2</v>
      </c>
      <c r="E7" s="711">
        <f t="shared" ca="1" si="3"/>
        <v>9</v>
      </c>
      <c r="F7" s="709">
        <f t="shared" ca="1" si="3"/>
        <v>5</v>
      </c>
      <c r="G7" s="710">
        <f t="shared" ca="1" si="4"/>
        <v>-1</v>
      </c>
      <c r="H7" s="711">
        <f t="shared" ca="1" si="5"/>
        <v>3</v>
      </c>
      <c r="I7" s="709">
        <f t="shared" ca="1" si="6"/>
        <v>2</v>
      </c>
      <c r="J7" s="712">
        <f t="shared" ca="1" si="7"/>
        <v>1</v>
      </c>
      <c r="K7" s="713">
        <f t="shared" ca="1" si="8"/>
        <v>14</v>
      </c>
      <c r="L7" s="717">
        <f t="shared" ca="1" si="9"/>
        <v>27</v>
      </c>
      <c r="M7" s="718">
        <f t="shared" ca="1" si="9"/>
        <v>37</v>
      </c>
      <c r="N7" s="718">
        <f t="shared" ca="1" si="9"/>
        <v>33</v>
      </c>
      <c r="O7" s="718">
        <f t="shared" ca="1" si="9"/>
        <v>65</v>
      </c>
      <c r="P7" s="718">
        <f t="shared" ca="1" si="9"/>
        <v>78</v>
      </c>
      <c r="Q7" s="718">
        <f t="shared" ca="1" si="9"/>
        <v>65</v>
      </c>
      <c r="R7" s="718">
        <f t="shared" ca="1" si="9"/>
        <v>8</v>
      </c>
      <c r="S7" s="718">
        <f t="shared" ca="1" si="9"/>
        <v>14</v>
      </c>
      <c r="T7" s="718">
        <f t="shared" ca="1" si="9"/>
        <v>75</v>
      </c>
      <c r="U7" s="718">
        <f t="shared" ca="1" si="9"/>
        <v>31</v>
      </c>
      <c r="V7" s="710">
        <f t="shared" ca="1" si="10"/>
        <v>-59</v>
      </c>
    </row>
    <row r="8" spans="1:22" s="716" customFormat="1" ht="12" customHeight="1">
      <c r="A8" s="696">
        <v>7</v>
      </c>
      <c r="B8" s="708">
        <f t="shared" ca="1" si="0"/>
        <v>1</v>
      </c>
      <c r="C8" s="709">
        <f t="shared" ca="1" si="1"/>
        <v>5</v>
      </c>
      <c r="D8" s="710">
        <f t="shared" ca="1" si="2"/>
        <v>-3</v>
      </c>
      <c r="E8" s="711">
        <f t="shared" ca="1" si="3"/>
        <v>5</v>
      </c>
      <c r="F8" s="709">
        <f t="shared" ca="1" si="3"/>
        <v>1</v>
      </c>
      <c r="G8" s="710">
        <f t="shared" ca="1" si="4"/>
        <v>-4</v>
      </c>
      <c r="H8" s="711">
        <f t="shared" ca="1" si="5"/>
        <v>2</v>
      </c>
      <c r="I8" s="709">
        <f t="shared" ca="1" si="6"/>
        <v>1</v>
      </c>
      <c r="J8" s="712">
        <f t="shared" ca="1" si="7"/>
        <v>1</v>
      </c>
      <c r="K8" s="713">
        <f t="shared" ca="1" si="8"/>
        <v>13</v>
      </c>
      <c r="L8" s="717">
        <f t="shared" ca="1" si="9"/>
        <v>88</v>
      </c>
      <c r="M8" s="718">
        <f t="shared" ca="1" si="9"/>
        <v>67</v>
      </c>
      <c r="N8" s="718">
        <f t="shared" ca="1" si="9"/>
        <v>27</v>
      </c>
      <c r="O8" s="718">
        <f t="shared" ca="1" si="9"/>
        <v>65</v>
      </c>
      <c r="P8" s="718">
        <f t="shared" ca="1" si="9"/>
        <v>3</v>
      </c>
      <c r="Q8" s="718">
        <f t="shared" ca="1" si="9"/>
        <v>7</v>
      </c>
      <c r="R8" s="718">
        <f t="shared" ca="1" si="9"/>
        <v>4</v>
      </c>
      <c r="S8" s="718">
        <f t="shared" ca="1" si="9"/>
        <v>85</v>
      </c>
      <c r="T8" s="718">
        <f t="shared" ca="1" si="9"/>
        <v>13</v>
      </c>
      <c r="U8" s="718">
        <f t="shared" ca="1" si="9"/>
        <v>61</v>
      </c>
      <c r="V8" s="710">
        <f t="shared" ca="1" si="10"/>
        <v>-10</v>
      </c>
    </row>
    <row r="9" spans="1:22" s="716" customFormat="1" ht="12" customHeight="1">
      <c r="A9" s="696">
        <v>8</v>
      </c>
      <c r="B9" s="708">
        <f t="shared" ca="1" si="0"/>
        <v>3</v>
      </c>
      <c r="C9" s="709">
        <f t="shared" ca="1" si="1"/>
        <v>3</v>
      </c>
      <c r="D9" s="710">
        <f t="shared" ca="1" si="2"/>
        <v>-4</v>
      </c>
      <c r="E9" s="711">
        <f t="shared" ca="1" si="3"/>
        <v>9</v>
      </c>
      <c r="F9" s="709">
        <f t="shared" ca="1" si="3"/>
        <v>1</v>
      </c>
      <c r="G9" s="710">
        <f t="shared" ca="1" si="4"/>
        <v>0</v>
      </c>
      <c r="H9" s="711">
        <f t="shared" ca="1" si="5"/>
        <v>3</v>
      </c>
      <c r="I9" s="709">
        <f t="shared" ca="1" si="6"/>
        <v>1</v>
      </c>
      <c r="J9" s="712">
        <f t="shared" ca="1" si="7"/>
        <v>2</v>
      </c>
      <c r="K9" s="713">
        <f t="shared" ca="1" si="8"/>
        <v>20</v>
      </c>
      <c r="L9" s="717">
        <f t="shared" ca="1" si="9"/>
        <v>96</v>
      </c>
      <c r="M9" s="718">
        <f t="shared" ca="1" si="9"/>
        <v>78</v>
      </c>
      <c r="N9" s="718">
        <f t="shared" ca="1" si="9"/>
        <v>25</v>
      </c>
      <c r="O9" s="718">
        <f t="shared" ca="1" si="9"/>
        <v>60</v>
      </c>
      <c r="P9" s="718">
        <f t="shared" ca="1" si="9"/>
        <v>78</v>
      </c>
      <c r="Q9" s="718">
        <f t="shared" ca="1" si="9"/>
        <v>87</v>
      </c>
      <c r="R9" s="718">
        <f t="shared" ca="1" si="9"/>
        <v>54</v>
      </c>
      <c r="S9" s="718">
        <f t="shared" ca="1" si="9"/>
        <v>11</v>
      </c>
      <c r="T9" s="718">
        <f t="shared" ca="1" si="9"/>
        <v>9</v>
      </c>
      <c r="U9" s="718">
        <f t="shared" ca="1" si="9"/>
        <v>81</v>
      </c>
      <c r="V9" s="710">
        <f t="shared" ca="1" si="10"/>
        <v>-85</v>
      </c>
    </row>
    <row r="10" spans="1:22" s="716" customFormat="1" ht="12" customHeight="1">
      <c r="A10" s="696">
        <v>9</v>
      </c>
      <c r="B10" s="708">
        <f t="shared" ca="1" si="0"/>
        <v>2</v>
      </c>
      <c r="C10" s="709">
        <f t="shared" ca="1" si="1"/>
        <v>1</v>
      </c>
      <c r="D10" s="710">
        <f t="shared" ca="1" si="2"/>
        <v>3</v>
      </c>
      <c r="E10" s="711">
        <f t="shared" ca="1" si="3"/>
        <v>5</v>
      </c>
      <c r="F10" s="709">
        <f t="shared" ca="1" si="3"/>
        <v>1</v>
      </c>
      <c r="G10" s="710">
        <f t="shared" ca="1" si="4"/>
        <v>5</v>
      </c>
      <c r="H10" s="711">
        <f t="shared" ca="1" si="5"/>
        <v>2</v>
      </c>
      <c r="I10" s="709">
        <f t="shared" ca="1" si="6"/>
        <v>1</v>
      </c>
      <c r="J10" s="712">
        <f t="shared" ca="1" si="7"/>
        <v>1</v>
      </c>
      <c r="K10" s="713">
        <f t="shared" ca="1" si="8"/>
        <v>14</v>
      </c>
      <c r="L10" s="717">
        <f t="shared" ca="1" si="9"/>
        <v>52</v>
      </c>
      <c r="M10" s="718">
        <f t="shared" ca="1" si="9"/>
        <v>56</v>
      </c>
      <c r="N10" s="718">
        <f t="shared" ca="1" si="9"/>
        <v>39</v>
      </c>
      <c r="O10" s="718">
        <f t="shared" ca="1" si="9"/>
        <v>85</v>
      </c>
      <c r="P10" s="718">
        <f t="shared" ca="1" si="9"/>
        <v>14</v>
      </c>
      <c r="Q10" s="718">
        <f t="shared" ca="1" si="9"/>
        <v>63</v>
      </c>
      <c r="R10" s="718">
        <f t="shared" ca="1" si="9"/>
        <v>99</v>
      </c>
      <c r="S10" s="718">
        <f t="shared" ca="1" si="9"/>
        <v>87</v>
      </c>
      <c r="T10" s="718">
        <f t="shared" ca="1" si="9"/>
        <v>89</v>
      </c>
      <c r="U10" s="718">
        <f t="shared" ca="1" si="9"/>
        <v>71</v>
      </c>
      <c r="V10" s="710">
        <f t="shared" ca="1" si="10"/>
        <v>-4</v>
      </c>
    </row>
    <row r="11" spans="1:22" s="727" customFormat="1" ht="12" customHeight="1">
      <c r="A11" s="719">
        <v>10</v>
      </c>
      <c r="B11" s="720">
        <f t="shared" ca="1" si="0"/>
        <v>3</v>
      </c>
      <c r="C11" s="721">
        <f t="shared" ca="1" si="1"/>
        <v>6</v>
      </c>
      <c r="D11" s="722">
        <f t="shared" ca="1" si="2"/>
        <v>-1</v>
      </c>
      <c r="E11" s="723">
        <f t="shared" ca="1" si="3"/>
        <v>4</v>
      </c>
      <c r="F11" s="721">
        <f t="shared" ca="1" si="3"/>
        <v>2</v>
      </c>
      <c r="G11" s="722">
        <f t="shared" ca="1" si="4"/>
        <v>-2</v>
      </c>
      <c r="H11" s="723">
        <f t="shared" ca="1" si="5"/>
        <v>1</v>
      </c>
      <c r="I11" s="721">
        <f t="shared" ca="1" si="6"/>
        <v>1</v>
      </c>
      <c r="J11" s="724">
        <f t="shared" ca="1" si="7"/>
        <v>0</v>
      </c>
      <c r="K11" s="723">
        <f t="shared" ca="1" si="8"/>
        <v>2</v>
      </c>
      <c r="L11" s="725">
        <f t="shared" ca="1" si="9"/>
        <v>75</v>
      </c>
      <c r="M11" s="726">
        <f t="shared" ca="1" si="9"/>
        <v>11</v>
      </c>
      <c r="N11" s="726">
        <f t="shared" ca="1" si="9"/>
        <v>80</v>
      </c>
      <c r="O11" s="726">
        <f t="shared" ca="1" si="9"/>
        <v>37</v>
      </c>
      <c r="P11" s="726">
        <f t="shared" ca="1" si="9"/>
        <v>42</v>
      </c>
      <c r="Q11" s="726">
        <f t="shared" ca="1" si="9"/>
        <v>77</v>
      </c>
      <c r="R11" s="726">
        <f t="shared" ca="1" si="9"/>
        <v>1</v>
      </c>
      <c r="S11" s="726">
        <f t="shared" ca="1" si="9"/>
        <v>74</v>
      </c>
      <c r="T11" s="726">
        <f t="shared" ca="1" si="9"/>
        <v>35</v>
      </c>
      <c r="U11" s="726">
        <f t="shared" ca="1" si="9"/>
        <v>21</v>
      </c>
      <c r="V11" s="722">
        <f t="shared" ca="1" si="10"/>
        <v>-44</v>
      </c>
    </row>
    <row r="12" spans="1:22" s="716" customFormat="1" ht="12" customHeight="1">
      <c r="A12" s="696">
        <v>11</v>
      </c>
      <c r="B12" s="708">
        <f t="shared" ca="1" si="0"/>
        <v>3</v>
      </c>
      <c r="C12" s="709">
        <f t="shared" ca="1" si="1"/>
        <v>5</v>
      </c>
      <c r="D12" s="710">
        <f t="shared" ca="1" si="2"/>
        <v>-1</v>
      </c>
      <c r="E12" s="711">
        <f t="shared" ca="1" si="3"/>
        <v>8</v>
      </c>
      <c r="F12" s="709">
        <f t="shared" ca="1" si="3"/>
        <v>4</v>
      </c>
      <c r="G12" s="710">
        <f t="shared" ca="1" si="4"/>
        <v>5</v>
      </c>
      <c r="H12" s="711">
        <f t="shared" ca="1" si="5"/>
        <v>3</v>
      </c>
      <c r="I12" s="709">
        <f t="shared" ca="1" si="6"/>
        <v>1</v>
      </c>
      <c r="J12" s="712">
        <f t="shared" ca="1" si="7"/>
        <v>2</v>
      </c>
      <c r="K12" s="713">
        <f t="shared" ca="1" si="8"/>
        <v>13</v>
      </c>
      <c r="L12" s="717">
        <f t="shared" ref="L12:U21" ca="1" si="11">ROUNDUP(RAND()*100,0)</f>
        <v>96</v>
      </c>
      <c r="M12" s="718">
        <f t="shared" ca="1" si="11"/>
        <v>85</v>
      </c>
      <c r="N12" s="718">
        <f t="shared" ca="1" si="11"/>
        <v>5</v>
      </c>
      <c r="O12" s="718">
        <f t="shared" ca="1" si="11"/>
        <v>14</v>
      </c>
      <c r="P12" s="718">
        <f t="shared" ca="1" si="11"/>
        <v>77</v>
      </c>
      <c r="Q12" s="718">
        <f t="shared" ca="1" si="11"/>
        <v>80</v>
      </c>
      <c r="R12" s="718">
        <f t="shared" ca="1" si="11"/>
        <v>67</v>
      </c>
      <c r="S12" s="718">
        <f t="shared" ca="1" si="11"/>
        <v>38</v>
      </c>
      <c r="T12" s="718">
        <f t="shared" ca="1" si="11"/>
        <v>78</v>
      </c>
      <c r="U12" s="718">
        <f t="shared" ca="1" si="11"/>
        <v>71</v>
      </c>
      <c r="V12" s="710">
        <f t="shared" ca="1" si="10"/>
        <v>-27</v>
      </c>
    </row>
    <row r="13" spans="1:22" s="716" customFormat="1" ht="12" customHeight="1">
      <c r="A13" s="696">
        <v>12</v>
      </c>
      <c r="B13" s="708">
        <f t="shared" ca="1" si="0"/>
        <v>1</v>
      </c>
      <c r="C13" s="709">
        <f t="shared" ca="1" si="1"/>
        <v>2</v>
      </c>
      <c r="D13" s="710">
        <f t="shared" ca="1" si="2"/>
        <v>1</v>
      </c>
      <c r="E13" s="711">
        <f t="shared" ca="1" si="3"/>
        <v>7</v>
      </c>
      <c r="F13" s="709">
        <f t="shared" ca="1" si="3"/>
        <v>4</v>
      </c>
      <c r="G13" s="710">
        <f t="shared" ca="1" si="4"/>
        <v>-5</v>
      </c>
      <c r="H13" s="711">
        <f t="shared" ca="1" si="5"/>
        <v>2</v>
      </c>
      <c r="I13" s="709">
        <f t="shared" ca="1" si="6"/>
        <v>1</v>
      </c>
      <c r="J13" s="712">
        <f t="shared" ca="1" si="7"/>
        <v>1</v>
      </c>
      <c r="K13" s="713">
        <f t="shared" ca="1" si="8"/>
        <v>8</v>
      </c>
      <c r="L13" s="717">
        <f t="shared" ca="1" si="11"/>
        <v>96</v>
      </c>
      <c r="M13" s="718">
        <f t="shared" ca="1" si="11"/>
        <v>19</v>
      </c>
      <c r="N13" s="718">
        <f t="shared" ca="1" si="11"/>
        <v>79</v>
      </c>
      <c r="O13" s="718">
        <f t="shared" ca="1" si="11"/>
        <v>47</v>
      </c>
      <c r="P13" s="718">
        <f t="shared" ca="1" si="11"/>
        <v>92</v>
      </c>
      <c r="Q13" s="718">
        <f t="shared" ca="1" si="11"/>
        <v>47</v>
      </c>
      <c r="R13" s="718">
        <f t="shared" ca="1" si="11"/>
        <v>98</v>
      </c>
      <c r="S13" s="718">
        <f t="shared" ca="1" si="11"/>
        <v>37</v>
      </c>
      <c r="T13" s="718">
        <f t="shared" ca="1" si="11"/>
        <v>36</v>
      </c>
      <c r="U13" s="718">
        <f t="shared" ca="1" si="11"/>
        <v>99</v>
      </c>
      <c r="V13" s="710">
        <f t="shared" ca="1" si="10"/>
        <v>-19</v>
      </c>
    </row>
    <row r="14" spans="1:22" s="716" customFormat="1" ht="12" customHeight="1">
      <c r="A14" s="696">
        <v>13</v>
      </c>
      <c r="B14" s="708">
        <f t="shared" ca="1" si="0"/>
        <v>3</v>
      </c>
      <c r="C14" s="709">
        <f t="shared" ca="1" si="1"/>
        <v>6</v>
      </c>
      <c r="D14" s="710">
        <f t="shared" ca="1" si="2"/>
        <v>2</v>
      </c>
      <c r="E14" s="711">
        <f t="shared" ca="1" si="3"/>
        <v>3</v>
      </c>
      <c r="F14" s="709">
        <f t="shared" ca="1" si="3"/>
        <v>1</v>
      </c>
      <c r="G14" s="710">
        <f t="shared" ca="1" si="4"/>
        <v>-1</v>
      </c>
      <c r="H14" s="711">
        <f t="shared" ca="1" si="5"/>
        <v>1</v>
      </c>
      <c r="I14" s="709">
        <f t="shared" ca="1" si="6"/>
        <v>1</v>
      </c>
      <c r="J14" s="712">
        <f t="shared" ca="1" si="7"/>
        <v>0</v>
      </c>
      <c r="K14" s="713">
        <f t="shared" ca="1" si="8"/>
        <v>3</v>
      </c>
      <c r="L14" s="717">
        <f t="shared" ca="1" si="11"/>
        <v>30</v>
      </c>
      <c r="M14" s="718">
        <f t="shared" ca="1" si="11"/>
        <v>41</v>
      </c>
      <c r="N14" s="718">
        <f t="shared" ca="1" si="11"/>
        <v>43</v>
      </c>
      <c r="O14" s="718">
        <f t="shared" ca="1" si="11"/>
        <v>66</v>
      </c>
      <c r="P14" s="718">
        <f t="shared" ca="1" si="11"/>
        <v>43</v>
      </c>
      <c r="Q14" s="718">
        <f t="shared" ca="1" si="11"/>
        <v>37</v>
      </c>
      <c r="R14" s="718">
        <f t="shared" ca="1" si="11"/>
        <v>24</v>
      </c>
      <c r="S14" s="718">
        <f t="shared" ca="1" si="11"/>
        <v>19</v>
      </c>
      <c r="T14" s="718">
        <f t="shared" ca="1" si="11"/>
        <v>99</v>
      </c>
      <c r="U14" s="718">
        <f t="shared" ca="1" si="11"/>
        <v>46</v>
      </c>
      <c r="V14" s="710">
        <f t="shared" ca="1" si="10"/>
        <v>-47</v>
      </c>
    </row>
    <row r="15" spans="1:22" s="716" customFormat="1" ht="12" customHeight="1">
      <c r="A15" s="696">
        <v>14</v>
      </c>
      <c r="B15" s="708">
        <f t="shared" ca="1" si="0"/>
        <v>3</v>
      </c>
      <c r="C15" s="709">
        <f t="shared" ca="1" si="1"/>
        <v>4</v>
      </c>
      <c r="D15" s="710">
        <f t="shared" ca="1" si="2"/>
        <v>2</v>
      </c>
      <c r="E15" s="711">
        <f t="shared" ca="1" si="3"/>
        <v>5</v>
      </c>
      <c r="F15" s="709">
        <f t="shared" ca="1" si="3"/>
        <v>10</v>
      </c>
      <c r="G15" s="710">
        <f t="shared" ca="1" si="4"/>
        <v>5</v>
      </c>
      <c r="H15" s="711">
        <f t="shared" ca="1" si="5"/>
        <v>2</v>
      </c>
      <c r="I15" s="709">
        <f t="shared" ca="1" si="6"/>
        <v>4</v>
      </c>
      <c r="J15" s="712">
        <f t="shared" ca="1" si="7"/>
        <v>-2</v>
      </c>
      <c r="K15" s="713">
        <f t="shared" ca="1" si="8"/>
        <v>20</v>
      </c>
      <c r="L15" s="717">
        <f t="shared" ca="1" si="11"/>
        <v>94</v>
      </c>
      <c r="M15" s="718">
        <f t="shared" ca="1" si="11"/>
        <v>25</v>
      </c>
      <c r="N15" s="718">
        <f t="shared" ca="1" si="11"/>
        <v>85</v>
      </c>
      <c r="O15" s="718">
        <f t="shared" ca="1" si="11"/>
        <v>53</v>
      </c>
      <c r="P15" s="718">
        <f t="shared" ca="1" si="11"/>
        <v>86</v>
      </c>
      <c r="Q15" s="718">
        <f t="shared" ca="1" si="11"/>
        <v>87</v>
      </c>
      <c r="R15" s="718">
        <f t="shared" ca="1" si="11"/>
        <v>49</v>
      </c>
      <c r="S15" s="718">
        <f t="shared" ca="1" si="11"/>
        <v>76</v>
      </c>
      <c r="T15" s="718">
        <f t="shared" ca="1" si="11"/>
        <v>61</v>
      </c>
      <c r="U15" s="718">
        <f t="shared" ca="1" si="11"/>
        <v>3</v>
      </c>
      <c r="V15" s="710">
        <f t="shared" ca="1" si="10"/>
        <v>-81</v>
      </c>
    </row>
    <row r="16" spans="1:22" s="727" customFormat="1" ht="12" customHeight="1">
      <c r="A16" s="719">
        <v>15</v>
      </c>
      <c r="B16" s="720">
        <f t="shared" ca="1" si="0"/>
        <v>3</v>
      </c>
      <c r="C16" s="721">
        <f t="shared" ca="1" si="1"/>
        <v>2</v>
      </c>
      <c r="D16" s="722">
        <f t="shared" ca="1" si="2"/>
        <v>-3</v>
      </c>
      <c r="E16" s="723">
        <f t="shared" ca="1" si="3"/>
        <v>7</v>
      </c>
      <c r="F16" s="721">
        <f t="shared" ca="1" si="3"/>
        <v>7</v>
      </c>
      <c r="G16" s="722">
        <f t="shared" ca="1" si="4"/>
        <v>-1</v>
      </c>
      <c r="H16" s="723">
        <f t="shared" ca="1" si="5"/>
        <v>2</v>
      </c>
      <c r="I16" s="721">
        <f t="shared" ca="1" si="6"/>
        <v>2</v>
      </c>
      <c r="J16" s="724">
        <f t="shared" ca="1" si="7"/>
        <v>0</v>
      </c>
      <c r="K16" s="723">
        <f t="shared" ca="1" si="8"/>
        <v>13</v>
      </c>
      <c r="L16" s="725">
        <f t="shared" ca="1" si="11"/>
        <v>2</v>
      </c>
      <c r="M16" s="726">
        <f t="shared" ca="1" si="11"/>
        <v>97</v>
      </c>
      <c r="N16" s="726">
        <f t="shared" ca="1" si="11"/>
        <v>35</v>
      </c>
      <c r="O16" s="726">
        <f t="shared" ca="1" si="11"/>
        <v>9</v>
      </c>
      <c r="P16" s="726">
        <f t="shared" ca="1" si="11"/>
        <v>69</v>
      </c>
      <c r="Q16" s="726">
        <f t="shared" ca="1" si="11"/>
        <v>22</v>
      </c>
      <c r="R16" s="726">
        <f t="shared" ca="1" si="11"/>
        <v>26</v>
      </c>
      <c r="S16" s="726">
        <f t="shared" ca="1" si="11"/>
        <v>37</v>
      </c>
      <c r="T16" s="726">
        <f t="shared" ca="1" si="11"/>
        <v>98</v>
      </c>
      <c r="U16" s="726">
        <f t="shared" ca="1" si="11"/>
        <v>100</v>
      </c>
      <c r="V16" s="722">
        <f t="shared" ca="1" si="10"/>
        <v>17</v>
      </c>
    </row>
    <row r="17" spans="1:22" s="716" customFormat="1" ht="12" customHeight="1">
      <c r="A17" s="696">
        <v>16</v>
      </c>
      <c r="B17" s="708">
        <f t="shared" ca="1" si="0"/>
        <v>1</v>
      </c>
      <c r="C17" s="709">
        <f t="shared" ca="1" si="1"/>
        <v>2</v>
      </c>
      <c r="D17" s="710">
        <f t="shared" ca="1" si="2"/>
        <v>1</v>
      </c>
      <c r="E17" s="711">
        <f t="shared" ca="1" si="3"/>
        <v>3</v>
      </c>
      <c r="F17" s="709">
        <f t="shared" ca="1" si="3"/>
        <v>3</v>
      </c>
      <c r="G17" s="710">
        <f t="shared" ca="1" si="4"/>
        <v>-2</v>
      </c>
      <c r="H17" s="711">
        <f t="shared" ca="1" si="5"/>
        <v>1</v>
      </c>
      <c r="I17" s="709">
        <f t="shared" ca="1" si="6"/>
        <v>1</v>
      </c>
      <c r="J17" s="712">
        <f t="shared" ca="1" si="7"/>
        <v>0</v>
      </c>
      <c r="K17" s="713">
        <f t="shared" ca="1" si="8"/>
        <v>5</v>
      </c>
      <c r="L17" s="717">
        <f t="shared" ca="1" si="11"/>
        <v>30</v>
      </c>
      <c r="M17" s="718">
        <f t="shared" ca="1" si="11"/>
        <v>23</v>
      </c>
      <c r="N17" s="718">
        <f t="shared" ca="1" si="11"/>
        <v>70</v>
      </c>
      <c r="O17" s="718">
        <f t="shared" ca="1" si="11"/>
        <v>55</v>
      </c>
      <c r="P17" s="718">
        <f t="shared" ca="1" si="11"/>
        <v>74</v>
      </c>
      <c r="Q17" s="718">
        <f t="shared" ca="1" si="11"/>
        <v>87</v>
      </c>
      <c r="R17" s="718">
        <f t="shared" ca="1" si="11"/>
        <v>4</v>
      </c>
      <c r="S17" s="718">
        <f t="shared" ca="1" si="11"/>
        <v>15</v>
      </c>
      <c r="T17" s="718">
        <f t="shared" ca="1" si="11"/>
        <v>13</v>
      </c>
      <c r="U17" s="718">
        <f t="shared" ca="1" si="11"/>
        <v>72</v>
      </c>
      <c r="V17" s="710">
        <f t="shared" ca="1" si="10"/>
        <v>-70</v>
      </c>
    </row>
    <row r="18" spans="1:22" s="716" customFormat="1" ht="12" customHeight="1">
      <c r="A18" s="696">
        <v>17</v>
      </c>
      <c r="B18" s="708">
        <f t="shared" ca="1" si="0"/>
        <v>2</v>
      </c>
      <c r="C18" s="709">
        <f t="shared" ca="1" si="1"/>
        <v>1</v>
      </c>
      <c r="D18" s="710">
        <f t="shared" ca="1" si="2"/>
        <v>1</v>
      </c>
      <c r="E18" s="711">
        <f t="shared" ca="1" si="3"/>
        <v>8</v>
      </c>
      <c r="F18" s="709">
        <f t="shared" ca="1" si="3"/>
        <v>4</v>
      </c>
      <c r="G18" s="710">
        <f t="shared" ca="1" si="4"/>
        <v>-6</v>
      </c>
      <c r="H18" s="711">
        <f t="shared" ca="1" si="5"/>
        <v>3</v>
      </c>
      <c r="I18" s="709">
        <f t="shared" ca="1" si="6"/>
        <v>1</v>
      </c>
      <c r="J18" s="712">
        <f t="shared" ca="1" si="7"/>
        <v>2</v>
      </c>
      <c r="K18" s="713">
        <f t="shared" ca="1" si="8"/>
        <v>14</v>
      </c>
      <c r="L18" s="717">
        <f t="shared" ca="1" si="11"/>
        <v>3</v>
      </c>
      <c r="M18" s="718">
        <f t="shared" ca="1" si="11"/>
        <v>29</v>
      </c>
      <c r="N18" s="718">
        <f t="shared" ca="1" si="11"/>
        <v>29</v>
      </c>
      <c r="O18" s="718">
        <f t="shared" ca="1" si="11"/>
        <v>6</v>
      </c>
      <c r="P18" s="718">
        <f t="shared" ca="1" si="11"/>
        <v>73</v>
      </c>
      <c r="Q18" s="718">
        <f t="shared" ca="1" si="11"/>
        <v>47</v>
      </c>
      <c r="R18" s="718">
        <f t="shared" ca="1" si="11"/>
        <v>89</v>
      </c>
      <c r="S18" s="718">
        <f t="shared" ca="1" si="11"/>
        <v>78</v>
      </c>
      <c r="T18" s="718">
        <f t="shared" ca="1" si="11"/>
        <v>81</v>
      </c>
      <c r="U18" s="718">
        <f t="shared" ca="1" si="11"/>
        <v>77</v>
      </c>
      <c r="V18" s="710">
        <f t="shared" ca="1" si="10"/>
        <v>30</v>
      </c>
    </row>
    <row r="19" spans="1:22" s="716" customFormat="1" ht="12" customHeight="1">
      <c r="A19" s="696">
        <v>18</v>
      </c>
      <c r="B19" s="708">
        <f t="shared" ca="1" si="0"/>
        <v>3</v>
      </c>
      <c r="C19" s="709">
        <f t="shared" ca="1" si="1"/>
        <v>5</v>
      </c>
      <c r="D19" s="710">
        <f t="shared" ca="1" si="2"/>
        <v>0</v>
      </c>
      <c r="E19" s="711">
        <f t="shared" ca="1" si="3"/>
        <v>4</v>
      </c>
      <c r="F19" s="709">
        <f t="shared" ca="1" si="3"/>
        <v>9</v>
      </c>
      <c r="G19" s="710">
        <f t="shared" ca="1" si="4"/>
        <v>-2</v>
      </c>
      <c r="H19" s="711">
        <f t="shared" ca="1" si="5"/>
        <v>1</v>
      </c>
      <c r="I19" s="709">
        <f t="shared" ca="1" si="6"/>
        <v>3</v>
      </c>
      <c r="J19" s="712">
        <f t="shared" ca="1" si="7"/>
        <v>-2</v>
      </c>
      <c r="K19" s="713">
        <f t="shared" ca="1" si="8"/>
        <v>2</v>
      </c>
      <c r="L19" s="717">
        <f t="shared" ca="1" si="11"/>
        <v>22</v>
      </c>
      <c r="M19" s="718">
        <f t="shared" ca="1" si="11"/>
        <v>20</v>
      </c>
      <c r="N19" s="718">
        <f t="shared" ca="1" si="11"/>
        <v>86</v>
      </c>
      <c r="O19" s="718">
        <f t="shared" ca="1" si="11"/>
        <v>74</v>
      </c>
      <c r="P19" s="718">
        <f t="shared" ca="1" si="11"/>
        <v>4</v>
      </c>
      <c r="Q19" s="718">
        <f t="shared" ca="1" si="11"/>
        <v>4</v>
      </c>
      <c r="R19" s="718">
        <f t="shared" ca="1" si="11"/>
        <v>34</v>
      </c>
      <c r="S19" s="718">
        <f t="shared" ca="1" si="11"/>
        <v>7</v>
      </c>
      <c r="T19" s="718">
        <f t="shared" ca="1" si="11"/>
        <v>41</v>
      </c>
      <c r="U19" s="718">
        <f t="shared" ca="1" si="11"/>
        <v>56</v>
      </c>
      <c r="V19" s="710">
        <f t="shared" ca="1" si="10"/>
        <v>40</v>
      </c>
    </row>
    <row r="20" spans="1:22" s="716" customFormat="1" ht="12" customHeight="1">
      <c r="A20" s="696">
        <v>19</v>
      </c>
      <c r="B20" s="708">
        <f t="shared" ca="1" si="0"/>
        <v>3</v>
      </c>
      <c r="C20" s="709">
        <f t="shared" ca="1" si="1"/>
        <v>5</v>
      </c>
      <c r="D20" s="710">
        <f t="shared" ca="1" si="2"/>
        <v>0</v>
      </c>
      <c r="E20" s="711">
        <f t="shared" ca="1" si="3"/>
        <v>10</v>
      </c>
      <c r="F20" s="709">
        <f t="shared" ca="1" si="3"/>
        <v>6</v>
      </c>
      <c r="G20" s="710">
        <f t="shared" ca="1" si="4"/>
        <v>4</v>
      </c>
      <c r="H20" s="711">
        <f t="shared" ca="1" si="5"/>
        <v>4</v>
      </c>
      <c r="I20" s="709">
        <f t="shared" ca="1" si="6"/>
        <v>2</v>
      </c>
      <c r="J20" s="712">
        <f t="shared" ca="1" si="7"/>
        <v>2</v>
      </c>
      <c r="K20" s="713">
        <f t="shared" ca="1" si="8"/>
        <v>1</v>
      </c>
      <c r="L20" s="717">
        <f t="shared" ca="1" si="11"/>
        <v>42</v>
      </c>
      <c r="M20" s="718">
        <f t="shared" ca="1" si="11"/>
        <v>10</v>
      </c>
      <c r="N20" s="718">
        <f t="shared" ca="1" si="11"/>
        <v>7</v>
      </c>
      <c r="O20" s="718">
        <f t="shared" ca="1" si="11"/>
        <v>27</v>
      </c>
      <c r="P20" s="718">
        <f t="shared" ca="1" si="11"/>
        <v>53</v>
      </c>
      <c r="Q20" s="718">
        <f t="shared" ca="1" si="11"/>
        <v>46</v>
      </c>
      <c r="R20" s="718">
        <f t="shared" ca="1" si="11"/>
        <v>98</v>
      </c>
      <c r="S20" s="718">
        <f t="shared" ca="1" si="11"/>
        <v>42</v>
      </c>
      <c r="T20" s="718">
        <f t="shared" ca="1" si="11"/>
        <v>38</v>
      </c>
      <c r="U20" s="718">
        <f t="shared" ca="1" si="11"/>
        <v>14</v>
      </c>
      <c r="V20" s="710">
        <f t="shared" ca="1" si="10"/>
        <v>-4</v>
      </c>
    </row>
    <row r="21" spans="1:22" s="727" customFormat="1" ht="12" customHeight="1">
      <c r="A21" s="719">
        <v>20</v>
      </c>
      <c r="B21" s="720">
        <f t="shared" ca="1" si="0"/>
        <v>3</v>
      </c>
      <c r="C21" s="721">
        <f t="shared" ca="1" si="1"/>
        <v>3</v>
      </c>
      <c r="D21" s="722">
        <f t="shared" ca="1" si="2"/>
        <v>-1</v>
      </c>
      <c r="E21" s="723">
        <f t="shared" ca="1" si="3"/>
        <v>5</v>
      </c>
      <c r="F21" s="721">
        <f t="shared" ca="1" si="3"/>
        <v>10</v>
      </c>
      <c r="G21" s="722">
        <f t="shared" ca="1" si="4"/>
        <v>-5</v>
      </c>
      <c r="H21" s="723">
        <f t="shared" ca="1" si="5"/>
        <v>2</v>
      </c>
      <c r="I21" s="721">
        <f t="shared" ca="1" si="6"/>
        <v>4</v>
      </c>
      <c r="J21" s="724">
        <f t="shared" ca="1" si="7"/>
        <v>-2</v>
      </c>
      <c r="K21" s="723">
        <f t="shared" ca="1" si="8"/>
        <v>1</v>
      </c>
      <c r="L21" s="725">
        <f t="shared" ca="1" si="11"/>
        <v>79</v>
      </c>
      <c r="M21" s="726">
        <f t="shared" ca="1" si="11"/>
        <v>63</v>
      </c>
      <c r="N21" s="726">
        <f t="shared" ca="1" si="11"/>
        <v>10</v>
      </c>
      <c r="O21" s="726">
        <f t="shared" ca="1" si="11"/>
        <v>80</v>
      </c>
      <c r="P21" s="726">
        <f t="shared" ca="1" si="11"/>
        <v>47</v>
      </c>
      <c r="Q21" s="726">
        <f t="shared" ca="1" si="11"/>
        <v>7</v>
      </c>
      <c r="R21" s="726">
        <f t="shared" ca="1" si="11"/>
        <v>53</v>
      </c>
      <c r="S21" s="726">
        <f t="shared" ca="1" si="11"/>
        <v>99</v>
      </c>
      <c r="T21" s="726">
        <f t="shared" ca="1" si="11"/>
        <v>87</v>
      </c>
      <c r="U21" s="726">
        <f t="shared" ca="1" si="11"/>
        <v>17</v>
      </c>
      <c r="V21" s="722">
        <f t="shared" ca="1" si="10"/>
        <v>-66</v>
      </c>
    </row>
    <row r="22" spans="1:22" s="716" customFormat="1" ht="12" customHeight="1">
      <c r="A22" s="696">
        <v>21</v>
      </c>
      <c r="B22" s="708">
        <f t="shared" ca="1" si="0"/>
        <v>2</v>
      </c>
      <c r="C22" s="709">
        <f t="shared" ca="1" si="1"/>
        <v>4</v>
      </c>
      <c r="D22" s="710">
        <f t="shared" ca="1" si="2"/>
        <v>0</v>
      </c>
      <c r="E22" s="711">
        <f t="shared" ref="E22:F41" ca="1" si="12">ROUNDUP(RAND()*10,0)</f>
        <v>5</v>
      </c>
      <c r="F22" s="709">
        <f t="shared" ca="1" si="12"/>
        <v>7</v>
      </c>
      <c r="G22" s="710">
        <f t="shared" ca="1" si="4"/>
        <v>-1</v>
      </c>
      <c r="H22" s="711">
        <f t="shared" ca="1" si="5"/>
        <v>2</v>
      </c>
      <c r="I22" s="709">
        <f t="shared" ca="1" si="6"/>
        <v>2</v>
      </c>
      <c r="J22" s="712">
        <f t="shared" ca="1" si="7"/>
        <v>0</v>
      </c>
      <c r="K22" s="713">
        <f t="shared" ca="1" si="8"/>
        <v>20</v>
      </c>
      <c r="L22" s="717">
        <f t="shared" ref="L22:U31" ca="1" si="13">ROUNDUP(RAND()*100,0)</f>
        <v>67</v>
      </c>
      <c r="M22" s="718">
        <f t="shared" ca="1" si="13"/>
        <v>78</v>
      </c>
      <c r="N22" s="718">
        <f t="shared" ca="1" si="13"/>
        <v>10</v>
      </c>
      <c r="O22" s="718">
        <f t="shared" ca="1" si="13"/>
        <v>33</v>
      </c>
      <c r="P22" s="718">
        <f t="shared" ca="1" si="13"/>
        <v>41</v>
      </c>
      <c r="Q22" s="718">
        <f t="shared" ca="1" si="13"/>
        <v>87</v>
      </c>
      <c r="R22" s="718">
        <f t="shared" ca="1" si="13"/>
        <v>30</v>
      </c>
      <c r="S22" s="718">
        <f t="shared" ca="1" si="13"/>
        <v>70</v>
      </c>
      <c r="T22" s="718">
        <f t="shared" ca="1" si="13"/>
        <v>82</v>
      </c>
      <c r="U22" s="718">
        <f t="shared" ca="1" si="13"/>
        <v>54</v>
      </c>
      <c r="V22" s="710">
        <f t="shared" ca="1" si="10"/>
        <v>-20</v>
      </c>
    </row>
    <row r="23" spans="1:22" s="716" customFormat="1" ht="12" customHeight="1">
      <c r="A23" s="696">
        <v>22</v>
      </c>
      <c r="B23" s="708">
        <f t="shared" ca="1" si="0"/>
        <v>1</v>
      </c>
      <c r="C23" s="709">
        <f t="shared" ca="1" si="1"/>
        <v>5</v>
      </c>
      <c r="D23" s="710">
        <f t="shared" ca="1" si="2"/>
        <v>-1</v>
      </c>
      <c r="E23" s="711">
        <f t="shared" ca="1" si="12"/>
        <v>8</v>
      </c>
      <c r="F23" s="709">
        <f t="shared" ca="1" si="12"/>
        <v>3</v>
      </c>
      <c r="G23" s="710">
        <f t="shared" ca="1" si="4"/>
        <v>1</v>
      </c>
      <c r="H23" s="711">
        <f t="shared" ca="1" si="5"/>
        <v>3</v>
      </c>
      <c r="I23" s="709">
        <f t="shared" ca="1" si="6"/>
        <v>1</v>
      </c>
      <c r="J23" s="712">
        <f t="shared" ca="1" si="7"/>
        <v>2</v>
      </c>
      <c r="K23" s="713">
        <f t="shared" ca="1" si="8"/>
        <v>12</v>
      </c>
      <c r="L23" s="717">
        <f t="shared" ca="1" si="13"/>
        <v>34</v>
      </c>
      <c r="M23" s="718">
        <f t="shared" ca="1" si="13"/>
        <v>58</v>
      </c>
      <c r="N23" s="718">
        <f t="shared" ca="1" si="13"/>
        <v>20</v>
      </c>
      <c r="O23" s="718">
        <f t="shared" ca="1" si="13"/>
        <v>40</v>
      </c>
      <c r="P23" s="718">
        <f t="shared" ca="1" si="13"/>
        <v>60</v>
      </c>
      <c r="Q23" s="718">
        <f t="shared" ca="1" si="13"/>
        <v>79</v>
      </c>
      <c r="R23" s="718">
        <f t="shared" ca="1" si="13"/>
        <v>45</v>
      </c>
      <c r="S23" s="718">
        <f t="shared" ca="1" si="13"/>
        <v>30</v>
      </c>
      <c r="T23" s="718">
        <f t="shared" ca="1" si="13"/>
        <v>14</v>
      </c>
      <c r="U23" s="718">
        <f t="shared" ca="1" si="13"/>
        <v>5</v>
      </c>
      <c r="V23" s="710">
        <f t="shared" ca="1" si="10"/>
        <v>12</v>
      </c>
    </row>
    <row r="24" spans="1:22" s="716" customFormat="1" ht="12" customHeight="1">
      <c r="A24" s="696">
        <v>23</v>
      </c>
      <c r="B24" s="708">
        <f t="shared" ca="1" si="0"/>
        <v>2</v>
      </c>
      <c r="C24" s="709">
        <f t="shared" ca="1" si="1"/>
        <v>4</v>
      </c>
      <c r="D24" s="710">
        <f t="shared" ca="1" si="2"/>
        <v>-2</v>
      </c>
      <c r="E24" s="711">
        <f t="shared" ca="1" si="12"/>
        <v>5</v>
      </c>
      <c r="F24" s="709">
        <f t="shared" ca="1" si="12"/>
        <v>10</v>
      </c>
      <c r="G24" s="710">
        <f t="shared" ca="1" si="4"/>
        <v>7</v>
      </c>
      <c r="H24" s="711">
        <f t="shared" ca="1" si="5"/>
        <v>2</v>
      </c>
      <c r="I24" s="709">
        <f t="shared" ca="1" si="6"/>
        <v>4</v>
      </c>
      <c r="J24" s="712">
        <f t="shared" ca="1" si="7"/>
        <v>-2</v>
      </c>
      <c r="K24" s="713">
        <f t="shared" ca="1" si="8"/>
        <v>5</v>
      </c>
      <c r="L24" s="717">
        <f t="shared" ca="1" si="13"/>
        <v>53</v>
      </c>
      <c r="M24" s="718">
        <f t="shared" ca="1" si="13"/>
        <v>7</v>
      </c>
      <c r="N24" s="718">
        <f t="shared" ca="1" si="13"/>
        <v>64</v>
      </c>
      <c r="O24" s="718">
        <f t="shared" ca="1" si="13"/>
        <v>18</v>
      </c>
      <c r="P24" s="718">
        <f t="shared" ca="1" si="13"/>
        <v>70</v>
      </c>
      <c r="Q24" s="718">
        <f t="shared" ca="1" si="13"/>
        <v>84</v>
      </c>
      <c r="R24" s="718">
        <f t="shared" ca="1" si="13"/>
        <v>23</v>
      </c>
      <c r="S24" s="718">
        <f t="shared" ca="1" si="13"/>
        <v>37</v>
      </c>
      <c r="T24" s="718">
        <f t="shared" ca="1" si="13"/>
        <v>92</v>
      </c>
      <c r="U24" s="718">
        <f t="shared" ca="1" si="13"/>
        <v>6</v>
      </c>
      <c r="V24" s="710">
        <f t="shared" ca="1" si="10"/>
        <v>42</v>
      </c>
    </row>
    <row r="25" spans="1:22" s="716" customFormat="1" ht="12" customHeight="1">
      <c r="A25" s="696">
        <v>24</v>
      </c>
      <c r="B25" s="708">
        <f t="shared" ca="1" si="0"/>
        <v>2</v>
      </c>
      <c r="C25" s="709">
        <f t="shared" ca="1" si="1"/>
        <v>4</v>
      </c>
      <c r="D25" s="710">
        <f t="shared" ca="1" si="2"/>
        <v>-2</v>
      </c>
      <c r="E25" s="711">
        <f t="shared" ca="1" si="12"/>
        <v>10</v>
      </c>
      <c r="F25" s="709">
        <f t="shared" ca="1" si="12"/>
        <v>9</v>
      </c>
      <c r="G25" s="710">
        <f t="shared" ca="1" si="4"/>
        <v>-4</v>
      </c>
      <c r="H25" s="711">
        <f t="shared" ca="1" si="5"/>
        <v>4</v>
      </c>
      <c r="I25" s="709">
        <f t="shared" ca="1" si="6"/>
        <v>3</v>
      </c>
      <c r="J25" s="712">
        <f t="shared" ca="1" si="7"/>
        <v>1</v>
      </c>
      <c r="K25" s="713">
        <f t="shared" ca="1" si="8"/>
        <v>19</v>
      </c>
      <c r="L25" s="717">
        <f t="shared" ca="1" si="13"/>
        <v>13</v>
      </c>
      <c r="M25" s="718">
        <f t="shared" ca="1" si="13"/>
        <v>18</v>
      </c>
      <c r="N25" s="718">
        <f t="shared" ca="1" si="13"/>
        <v>54</v>
      </c>
      <c r="O25" s="718">
        <f t="shared" ca="1" si="13"/>
        <v>63</v>
      </c>
      <c r="P25" s="718">
        <f t="shared" ca="1" si="13"/>
        <v>89</v>
      </c>
      <c r="Q25" s="718">
        <f t="shared" ca="1" si="13"/>
        <v>56</v>
      </c>
      <c r="R25" s="718">
        <f t="shared" ca="1" si="13"/>
        <v>36</v>
      </c>
      <c r="S25" s="718">
        <f t="shared" ca="1" si="13"/>
        <v>66</v>
      </c>
      <c r="T25" s="718">
        <f t="shared" ca="1" si="13"/>
        <v>100</v>
      </c>
      <c r="U25" s="718">
        <f t="shared" ca="1" si="13"/>
        <v>14</v>
      </c>
      <c r="V25" s="710">
        <f t="shared" ca="1" si="10"/>
        <v>64</v>
      </c>
    </row>
    <row r="26" spans="1:22" s="727" customFormat="1" ht="12" customHeight="1">
      <c r="A26" s="719">
        <v>25</v>
      </c>
      <c r="B26" s="720">
        <f t="shared" ca="1" si="0"/>
        <v>3</v>
      </c>
      <c r="C26" s="721">
        <f t="shared" ca="1" si="1"/>
        <v>3</v>
      </c>
      <c r="D26" s="722">
        <f t="shared" ca="1" si="2"/>
        <v>-1</v>
      </c>
      <c r="E26" s="723">
        <f t="shared" ca="1" si="12"/>
        <v>9</v>
      </c>
      <c r="F26" s="721">
        <f t="shared" ca="1" si="12"/>
        <v>4</v>
      </c>
      <c r="G26" s="722">
        <f t="shared" ca="1" si="4"/>
        <v>-2</v>
      </c>
      <c r="H26" s="723">
        <f t="shared" ca="1" si="5"/>
        <v>3</v>
      </c>
      <c r="I26" s="721">
        <f t="shared" ca="1" si="6"/>
        <v>1</v>
      </c>
      <c r="J26" s="724">
        <f t="shared" ca="1" si="7"/>
        <v>2</v>
      </c>
      <c r="K26" s="723">
        <f t="shared" ca="1" si="8"/>
        <v>10</v>
      </c>
      <c r="L26" s="725">
        <f t="shared" ca="1" si="13"/>
        <v>88</v>
      </c>
      <c r="M26" s="726">
        <f t="shared" ca="1" si="13"/>
        <v>66</v>
      </c>
      <c r="N26" s="726">
        <f t="shared" ca="1" si="13"/>
        <v>100</v>
      </c>
      <c r="O26" s="726">
        <f t="shared" ca="1" si="13"/>
        <v>99</v>
      </c>
      <c r="P26" s="726">
        <f t="shared" ca="1" si="13"/>
        <v>37</v>
      </c>
      <c r="Q26" s="726">
        <f t="shared" ca="1" si="13"/>
        <v>66</v>
      </c>
      <c r="R26" s="726">
        <f t="shared" ca="1" si="13"/>
        <v>58</v>
      </c>
      <c r="S26" s="726">
        <f t="shared" ca="1" si="13"/>
        <v>4</v>
      </c>
      <c r="T26" s="726">
        <f t="shared" ca="1" si="13"/>
        <v>8</v>
      </c>
      <c r="U26" s="726">
        <f t="shared" ca="1" si="13"/>
        <v>31</v>
      </c>
      <c r="V26" s="722">
        <f t="shared" ca="1" si="10"/>
        <v>-26</v>
      </c>
    </row>
    <row r="27" spans="1:22" s="716" customFormat="1" ht="12" customHeight="1">
      <c r="A27" s="696">
        <v>26</v>
      </c>
      <c r="B27" s="708">
        <f t="shared" ca="1" si="0"/>
        <v>2</v>
      </c>
      <c r="C27" s="709">
        <f t="shared" ca="1" si="1"/>
        <v>1</v>
      </c>
      <c r="D27" s="710">
        <f t="shared" ca="1" si="2"/>
        <v>1</v>
      </c>
      <c r="E27" s="711">
        <f t="shared" ca="1" si="12"/>
        <v>10</v>
      </c>
      <c r="F27" s="709">
        <f t="shared" ca="1" si="12"/>
        <v>2</v>
      </c>
      <c r="G27" s="710">
        <f t="shared" ca="1" si="4"/>
        <v>2</v>
      </c>
      <c r="H27" s="711">
        <f t="shared" ca="1" si="5"/>
        <v>4</v>
      </c>
      <c r="I27" s="709">
        <f t="shared" ca="1" si="6"/>
        <v>1</v>
      </c>
      <c r="J27" s="712">
        <f t="shared" ca="1" si="7"/>
        <v>3</v>
      </c>
      <c r="K27" s="713">
        <f t="shared" ca="1" si="8"/>
        <v>17</v>
      </c>
      <c r="L27" s="717">
        <f t="shared" ca="1" si="13"/>
        <v>4</v>
      </c>
      <c r="M27" s="718">
        <f t="shared" ca="1" si="13"/>
        <v>69</v>
      </c>
      <c r="N27" s="718">
        <f t="shared" ca="1" si="13"/>
        <v>88</v>
      </c>
      <c r="O27" s="718">
        <f t="shared" ca="1" si="13"/>
        <v>77</v>
      </c>
      <c r="P27" s="718">
        <f t="shared" ca="1" si="13"/>
        <v>87</v>
      </c>
      <c r="Q27" s="718">
        <f t="shared" ca="1" si="13"/>
        <v>53</v>
      </c>
      <c r="R27" s="718">
        <f t="shared" ca="1" si="13"/>
        <v>56</v>
      </c>
      <c r="S27" s="718">
        <f t="shared" ca="1" si="13"/>
        <v>9</v>
      </c>
      <c r="T27" s="718">
        <f t="shared" ca="1" si="13"/>
        <v>3</v>
      </c>
      <c r="U27" s="718">
        <f t="shared" ca="1" si="13"/>
        <v>82</v>
      </c>
      <c r="V27" s="710">
        <f t="shared" ca="1" si="10"/>
        <v>35</v>
      </c>
    </row>
    <row r="28" spans="1:22" s="716" customFormat="1" ht="12" customHeight="1">
      <c r="A28" s="696">
        <v>27</v>
      </c>
      <c r="B28" s="708">
        <f t="shared" ca="1" si="0"/>
        <v>3</v>
      </c>
      <c r="C28" s="709">
        <f t="shared" ca="1" si="1"/>
        <v>6</v>
      </c>
      <c r="D28" s="710">
        <f t="shared" ca="1" si="2"/>
        <v>-1</v>
      </c>
      <c r="E28" s="711">
        <f t="shared" ca="1" si="12"/>
        <v>4</v>
      </c>
      <c r="F28" s="709">
        <f t="shared" ca="1" si="12"/>
        <v>7</v>
      </c>
      <c r="G28" s="710">
        <f t="shared" ca="1" si="4"/>
        <v>-7</v>
      </c>
      <c r="H28" s="711">
        <f t="shared" ca="1" si="5"/>
        <v>1</v>
      </c>
      <c r="I28" s="709">
        <f t="shared" ca="1" si="6"/>
        <v>2</v>
      </c>
      <c r="J28" s="712">
        <f t="shared" ca="1" si="7"/>
        <v>-1</v>
      </c>
      <c r="K28" s="713">
        <f t="shared" ca="1" si="8"/>
        <v>5</v>
      </c>
      <c r="L28" s="717">
        <f t="shared" ca="1" si="13"/>
        <v>50</v>
      </c>
      <c r="M28" s="718">
        <f t="shared" ca="1" si="13"/>
        <v>80</v>
      </c>
      <c r="N28" s="718">
        <f t="shared" ca="1" si="13"/>
        <v>6</v>
      </c>
      <c r="O28" s="718">
        <f t="shared" ca="1" si="13"/>
        <v>1</v>
      </c>
      <c r="P28" s="718">
        <f t="shared" ca="1" si="13"/>
        <v>27</v>
      </c>
      <c r="Q28" s="718">
        <f t="shared" ca="1" si="13"/>
        <v>49</v>
      </c>
      <c r="R28" s="718">
        <f t="shared" ca="1" si="13"/>
        <v>2</v>
      </c>
      <c r="S28" s="718">
        <f t="shared" ca="1" si="13"/>
        <v>42</v>
      </c>
      <c r="T28" s="718">
        <f t="shared" ca="1" si="13"/>
        <v>91</v>
      </c>
      <c r="U28" s="718">
        <f t="shared" ca="1" si="13"/>
        <v>1</v>
      </c>
      <c r="V28" s="710">
        <f t="shared" ca="1" si="10"/>
        <v>65</v>
      </c>
    </row>
    <row r="29" spans="1:22" s="716" customFormat="1" ht="12" customHeight="1">
      <c r="A29" s="696">
        <v>28</v>
      </c>
      <c r="B29" s="708">
        <f t="shared" ca="1" si="0"/>
        <v>1</v>
      </c>
      <c r="C29" s="709">
        <f t="shared" ca="1" si="1"/>
        <v>2</v>
      </c>
      <c r="D29" s="710">
        <f t="shared" ca="1" si="2"/>
        <v>-3</v>
      </c>
      <c r="E29" s="711">
        <f t="shared" ca="1" si="12"/>
        <v>8</v>
      </c>
      <c r="F29" s="709">
        <f t="shared" ca="1" si="12"/>
        <v>9</v>
      </c>
      <c r="G29" s="710">
        <f t="shared" ca="1" si="4"/>
        <v>-2</v>
      </c>
      <c r="H29" s="711">
        <f t="shared" ca="1" si="5"/>
        <v>3</v>
      </c>
      <c r="I29" s="709">
        <f t="shared" ca="1" si="6"/>
        <v>3</v>
      </c>
      <c r="J29" s="712">
        <f t="shared" ca="1" si="7"/>
        <v>0</v>
      </c>
      <c r="K29" s="713">
        <f t="shared" ca="1" si="8"/>
        <v>17</v>
      </c>
      <c r="L29" s="717">
        <f t="shared" ca="1" si="13"/>
        <v>74</v>
      </c>
      <c r="M29" s="718">
        <f t="shared" ca="1" si="13"/>
        <v>60</v>
      </c>
      <c r="N29" s="718">
        <f t="shared" ca="1" si="13"/>
        <v>100</v>
      </c>
      <c r="O29" s="718">
        <f t="shared" ca="1" si="13"/>
        <v>69</v>
      </c>
      <c r="P29" s="718">
        <f t="shared" ca="1" si="13"/>
        <v>43</v>
      </c>
      <c r="Q29" s="718">
        <f t="shared" ca="1" si="13"/>
        <v>53</v>
      </c>
      <c r="R29" s="718">
        <f t="shared" ca="1" si="13"/>
        <v>56</v>
      </c>
      <c r="S29" s="718">
        <f t="shared" ca="1" si="13"/>
        <v>29</v>
      </c>
      <c r="T29" s="718">
        <f t="shared" ca="1" si="13"/>
        <v>3</v>
      </c>
      <c r="U29" s="718">
        <f t="shared" ca="1" si="13"/>
        <v>21</v>
      </c>
      <c r="V29" s="710">
        <f t="shared" ca="1" si="10"/>
        <v>-11</v>
      </c>
    </row>
    <row r="30" spans="1:22" s="716" customFormat="1" ht="12" customHeight="1">
      <c r="A30" s="696">
        <v>29</v>
      </c>
      <c r="B30" s="708">
        <f t="shared" ca="1" si="0"/>
        <v>3</v>
      </c>
      <c r="C30" s="709">
        <f t="shared" ca="1" si="1"/>
        <v>3</v>
      </c>
      <c r="D30" s="710">
        <f t="shared" ca="1" si="2"/>
        <v>-1</v>
      </c>
      <c r="E30" s="711">
        <f t="shared" ca="1" si="12"/>
        <v>1</v>
      </c>
      <c r="F30" s="709">
        <f t="shared" ca="1" si="12"/>
        <v>1</v>
      </c>
      <c r="G30" s="710">
        <f t="shared" ca="1" si="4"/>
        <v>0</v>
      </c>
      <c r="H30" s="711">
        <f t="shared" ca="1" si="5"/>
        <v>1</v>
      </c>
      <c r="I30" s="709">
        <f t="shared" ca="1" si="6"/>
        <v>1</v>
      </c>
      <c r="J30" s="712">
        <f t="shared" ca="1" si="7"/>
        <v>0</v>
      </c>
      <c r="K30" s="713">
        <f t="shared" ca="1" si="8"/>
        <v>15</v>
      </c>
      <c r="L30" s="717">
        <f t="shared" ca="1" si="13"/>
        <v>98</v>
      </c>
      <c r="M30" s="718">
        <f t="shared" ca="1" si="13"/>
        <v>73</v>
      </c>
      <c r="N30" s="718">
        <f t="shared" ca="1" si="13"/>
        <v>84</v>
      </c>
      <c r="O30" s="718">
        <f t="shared" ca="1" si="13"/>
        <v>68</v>
      </c>
      <c r="P30" s="718">
        <f t="shared" ca="1" si="13"/>
        <v>40</v>
      </c>
      <c r="Q30" s="718">
        <f t="shared" ca="1" si="13"/>
        <v>6</v>
      </c>
      <c r="R30" s="718">
        <f t="shared" ca="1" si="13"/>
        <v>86</v>
      </c>
      <c r="S30" s="718">
        <f t="shared" ca="1" si="13"/>
        <v>18</v>
      </c>
      <c r="T30" s="718">
        <f t="shared" ca="1" si="13"/>
        <v>76</v>
      </c>
      <c r="U30" s="718">
        <f t="shared" ca="1" si="13"/>
        <v>89</v>
      </c>
      <c r="V30" s="710">
        <f t="shared" ca="1" si="10"/>
        <v>25</v>
      </c>
    </row>
    <row r="31" spans="1:22" s="727" customFormat="1" ht="12" customHeight="1">
      <c r="A31" s="719">
        <v>30</v>
      </c>
      <c r="B31" s="720">
        <f t="shared" ca="1" si="0"/>
        <v>3</v>
      </c>
      <c r="C31" s="721">
        <f t="shared" ca="1" si="1"/>
        <v>6</v>
      </c>
      <c r="D31" s="722">
        <f t="shared" ca="1" si="2"/>
        <v>-2</v>
      </c>
      <c r="E31" s="723">
        <f t="shared" ca="1" si="12"/>
        <v>10</v>
      </c>
      <c r="F31" s="721">
        <f t="shared" ca="1" si="12"/>
        <v>5</v>
      </c>
      <c r="G31" s="722">
        <f t="shared" ca="1" si="4"/>
        <v>-6</v>
      </c>
      <c r="H31" s="723">
        <f t="shared" ca="1" si="5"/>
        <v>4</v>
      </c>
      <c r="I31" s="721">
        <f t="shared" ca="1" si="6"/>
        <v>2</v>
      </c>
      <c r="J31" s="724">
        <f t="shared" ca="1" si="7"/>
        <v>2</v>
      </c>
      <c r="K31" s="723">
        <f t="shared" ca="1" si="8"/>
        <v>19</v>
      </c>
      <c r="L31" s="725">
        <f t="shared" ca="1" si="13"/>
        <v>50</v>
      </c>
      <c r="M31" s="726">
        <f t="shared" ca="1" si="13"/>
        <v>98</v>
      </c>
      <c r="N31" s="726">
        <f t="shared" ca="1" si="13"/>
        <v>18</v>
      </c>
      <c r="O31" s="726">
        <f t="shared" ca="1" si="13"/>
        <v>76</v>
      </c>
      <c r="P31" s="726">
        <f t="shared" ca="1" si="13"/>
        <v>43</v>
      </c>
      <c r="Q31" s="726">
        <f t="shared" ca="1" si="13"/>
        <v>29</v>
      </c>
      <c r="R31" s="726">
        <f t="shared" ca="1" si="13"/>
        <v>93</v>
      </c>
      <c r="S31" s="726">
        <f t="shared" ca="1" si="13"/>
        <v>56</v>
      </c>
      <c r="T31" s="726">
        <f t="shared" ca="1" si="13"/>
        <v>20</v>
      </c>
      <c r="U31" s="726">
        <f t="shared" ca="1" si="13"/>
        <v>71</v>
      </c>
      <c r="V31" s="722">
        <f t="shared" ca="1" si="10"/>
        <v>-37</v>
      </c>
    </row>
    <row r="32" spans="1:22" s="716" customFormat="1" ht="12" customHeight="1">
      <c r="A32" s="696">
        <v>31</v>
      </c>
      <c r="B32" s="708">
        <f t="shared" ca="1" si="0"/>
        <v>3</v>
      </c>
      <c r="C32" s="709">
        <f t="shared" ca="1" si="1"/>
        <v>4</v>
      </c>
      <c r="D32" s="710">
        <f t="shared" ca="1" si="2"/>
        <v>-1</v>
      </c>
      <c r="E32" s="711">
        <f t="shared" ca="1" si="12"/>
        <v>1</v>
      </c>
      <c r="F32" s="709">
        <f t="shared" ca="1" si="12"/>
        <v>5</v>
      </c>
      <c r="G32" s="710">
        <f t="shared" ca="1" si="4"/>
        <v>1</v>
      </c>
      <c r="H32" s="711">
        <f t="shared" ca="1" si="5"/>
        <v>1</v>
      </c>
      <c r="I32" s="709">
        <f t="shared" ca="1" si="6"/>
        <v>2</v>
      </c>
      <c r="J32" s="712">
        <f t="shared" ca="1" si="7"/>
        <v>-1</v>
      </c>
      <c r="K32" s="713">
        <f t="shared" ca="1" si="8"/>
        <v>3</v>
      </c>
      <c r="L32" s="717">
        <f t="shared" ref="L32:U41" ca="1" si="14">ROUNDUP(RAND()*100,0)</f>
        <v>9</v>
      </c>
      <c r="M32" s="718">
        <f t="shared" ca="1" si="14"/>
        <v>3</v>
      </c>
      <c r="N32" s="718">
        <f t="shared" ca="1" si="14"/>
        <v>79</v>
      </c>
      <c r="O32" s="718">
        <f t="shared" ca="1" si="14"/>
        <v>72</v>
      </c>
      <c r="P32" s="718">
        <f t="shared" ca="1" si="14"/>
        <v>100</v>
      </c>
      <c r="Q32" s="718">
        <f t="shared" ca="1" si="14"/>
        <v>16</v>
      </c>
      <c r="R32" s="718">
        <f t="shared" ca="1" si="14"/>
        <v>50</v>
      </c>
      <c r="S32" s="718">
        <f t="shared" ca="1" si="14"/>
        <v>28</v>
      </c>
      <c r="T32" s="718">
        <f t="shared" ca="1" si="14"/>
        <v>4</v>
      </c>
      <c r="U32" s="718">
        <f t="shared" ca="1" si="14"/>
        <v>22</v>
      </c>
      <c r="V32" s="710">
        <f t="shared" ca="1" si="10"/>
        <v>9</v>
      </c>
    </row>
    <row r="33" spans="1:22" s="716" customFormat="1" ht="12" customHeight="1">
      <c r="A33" s="696">
        <v>32</v>
      </c>
      <c r="B33" s="708">
        <f t="shared" ca="1" si="0"/>
        <v>3</v>
      </c>
      <c r="C33" s="709">
        <f t="shared" ca="1" si="1"/>
        <v>2</v>
      </c>
      <c r="D33" s="710">
        <f t="shared" ca="1" si="2"/>
        <v>-4</v>
      </c>
      <c r="E33" s="711">
        <f t="shared" ca="1" si="12"/>
        <v>10</v>
      </c>
      <c r="F33" s="709">
        <f t="shared" ca="1" si="12"/>
        <v>7</v>
      </c>
      <c r="G33" s="710">
        <f t="shared" ca="1" si="4"/>
        <v>-4</v>
      </c>
      <c r="H33" s="711">
        <f t="shared" ca="1" si="5"/>
        <v>4</v>
      </c>
      <c r="I33" s="709">
        <f t="shared" ca="1" si="6"/>
        <v>2</v>
      </c>
      <c r="J33" s="712">
        <f t="shared" ca="1" si="7"/>
        <v>2</v>
      </c>
      <c r="K33" s="713">
        <f t="shared" ca="1" si="8"/>
        <v>12</v>
      </c>
      <c r="L33" s="717">
        <f t="shared" ca="1" si="14"/>
        <v>42</v>
      </c>
      <c r="M33" s="718">
        <f t="shared" ca="1" si="14"/>
        <v>75</v>
      </c>
      <c r="N33" s="718">
        <f t="shared" ca="1" si="14"/>
        <v>93</v>
      </c>
      <c r="O33" s="718">
        <f t="shared" ca="1" si="14"/>
        <v>75</v>
      </c>
      <c r="P33" s="718">
        <f t="shared" ca="1" si="14"/>
        <v>100</v>
      </c>
      <c r="Q33" s="718">
        <f t="shared" ca="1" si="14"/>
        <v>88</v>
      </c>
      <c r="R33" s="718">
        <f t="shared" ca="1" si="14"/>
        <v>87</v>
      </c>
      <c r="S33" s="718">
        <f t="shared" ca="1" si="14"/>
        <v>2</v>
      </c>
      <c r="T33" s="718">
        <f t="shared" ca="1" si="14"/>
        <v>42</v>
      </c>
      <c r="U33" s="718">
        <f t="shared" ca="1" si="14"/>
        <v>51</v>
      </c>
      <c r="V33" s="710">
        <f t="shared" ca="1" si="10"/>
        <v>77</v>
      </c>
    </row>
    <row r="34" spans="1:22" s="716" customFormat="1" ht="12" customHeight="1">
      <c r="A34" s="696">
        <v>33</v>
      </c>
      <c r="B34" s="708">
        <f t="shared" ref="B34:B61" ca="1" si="15">ROUNDUP(RAND()*3,0)</f>
        <v>2</v>
      </c>
      <c r="C34" s="709">
        <f t="shared" ref="C34:C61" ca="1" si="16">ROUNDUP(RAND()*6,0)</f>
        <v>5</v>
      </c>
      <c r="D34" s="710">
        <f t="shared" ref="D34:D61" ca="1" si="17">ROUNDUP(RAND()*6,0)-ROUNDUP(RAND()*6,0)</f>
        <v>-3</v>
      </c>
      <c r="E34" s="711">
        <f t="shared" ca="1" si="12"/>
        <v>5</v>
      </c>
      <c r="F34" s="709">
        <f t="shared" ca="1" si="12"/>
        <v>1</v>
      </c>
      <c r="G34" s="710">
        <f t="shared" ref="G34:G61" ca="1" si="18">ROUNDUP(RAND()*10,0)-ROUNDUP(RAND()*10,0)</f>
        <v>-5</v>
      </c>
      <c r="H34" s="711">
        <f t="shared" ref="H34:H61" ca="1" si="19">IF(E34&gt;9,4,IF(E34&gt;7,3,IF(E34&gt;4,2,1)))</f>
        <v>2</v>
      </c>
      <c r="I34" s="709">
        <f t="shared" ref="I34:I61" ca="1" si="20">IF(F34&gt;9,4,IF(F34&gt;7,3,IF(F34&gt;4,2,1)))</f>
        <v>1</v>
      </c>
      <c r="J34" s="712">
        <f t="shared" ref="J34:J61" ca="1" si="21">H34-I34</f>
        <v>1</v>
      </c>
      <c r="K34" s="713">
        <f t="shared" ref="K34:K61" ca="1" si="22">ROUNDUP(RAND()*20,0)</f>
        <v>6</v>
      </c>
      <c r="L34" s="717">
        <f t="shared" ca="1" si="14"/>
        <v>58</v>
      </c>
      <c r="M34" s="718">
        <f t="shared" ca="1" si="14"/>
        <v>50</v>
      </c>
      <c r="N34" s="718">
        <f t="shared" ca="1" si="14"/>
        <v>13</v>
      </c>
      <c r="O34" s="718">
        <f t="shared" ca="1" si="14"/>
        <v>53</v>
      </c>
      <c r="P34" s="718">
        <f t="shared" ca="1" si="14"/>
        <v>72</v>
      </c>
      <c r="Q34" s="718">
        <f t="shared" ca="1" si="14"/>
        <v>23</v>
      </c>
      <c r="R34" s="718">
        <f t="shared" ca="1" si="14"/>
        <v>10</v>
      </c>
      <c r="S34" s="718">
        <f t="shared" ca="1" si="14"/>
        <v>87</v>
      </c>
      <c r="T34" s="718">
        <f t="shared" ca="1" si="14"/>
        <v>43</v>
      </c>
      <c r="U34" s="718">
        <f t="shared" ca="1" si="14"/>
        <v>58</v>
      </c>
      <c r="V34" s="710">
        <f t="shared" ref="V34:V61" ca="1" si="23">ROUNDUP(RAND()*100,0)-ROUNDUP(RAND()*100,0)</f>
        <v>-30</v>
      </c>
    </row>
    <row r="35" spans="1:22" s="716" customFormat="1" ht="12" customHeight="1">
      <c r="A35" s="696">
        <v>34</v>
      </c>
      <c r="B35" s="708">
        <f t="shared" ca="1" si="15"/>
        <v>3</v>
      </c>
      <c r="C35" s="709">
        <f t="shared" ca="1" si="16"/>
        <v>1</v>
      </c>
      <c r="D35" s="710">
        <f t="shared" ca="1" si="17"/>
        <v>-3</v>
      </c>
      <c r="E35" s="711">
        <f t="shared" ca="1" si="12"/>
        <v>8</v>
      </c>
      <c r="F35" s="709">
        <f t="shared" ca="1" si="12"/>
        <v>3</v>
      </c>
      <c r="G35" s="710">
        <f t="shared" ca="1" si="18"/>
        <v>-4</v>
      </c>
      <c r="H35" s="711">
        <f t="shared" ca="1" si="19"/>
        <v>3</v>
      </c>
      <c r="I35" s="709">
        <f t="shared" ca="1" si="20"/>
        <v>1</v>
      </c>
      <c r="J35" s="712">
        <f t="shared" ca="1" si="21"/>
        <v>2</v>
      </c>
      <c r="K35" s="713">
        <f t="shared" ca="1" si="22"/>
        <v>14</v>
      </c>
      <c r="L35" s="717">
        <f t="shared" ca="1" si="14"/>
        <v>6</v>
      </c>
      <c r="M35" s="718">
        <f t="shared" ca="1" si="14"/>
        <v>76</v>
      </c>
      <c r="N35" s="718">
        <f t="shared" ca="1" si="14"/>
        <v>34</v>
      </c>
      <c r="O35" s="718">
        <f t="shared" ca="1" si="14"/>
        <v>38</v>
      </c>
      <c r="P35" s="718">
        <f t="shared" ca="1" si="14"/>
        <v>10</v>
      </c>
      <c r="Q35" s="718">
        <f t="shared" ca="1" si="14"/>
        <v>85</v>
      </c>
      <c r="R35" s="718">
        <f t="shared" ca="1" si="14"/>
        <v>24</v>
      </c>
      <c r="S35" s="718">
        <f t="shared" ca="1" si="14"/>
        <v>13</v>
      </c>
      <c r="T35" s="718">
        <f t="shared" ca="1" si="14"/>
        <v>32</v>
      </c>
      <c r="U35" s="718">
        <f t="shared" ca="1" si="14"/>
        <v>90</v>
      </c>
      <c r="V35" s="710">
        <f t="shared" ca="1" si="23"/>
        <v>41</v>
      </c>
    </row>
    <row r="36" spans="1:22" s="727" customFormat="1" ht="12" customHeight="1">
      <c r="A36" s="719">
        <v>35</v>
      </c>
      <c r="B36" s="720">
        <f t="shared" ca="1" si="15"/>
        <v>1</v>
      </c>
      <c r="C36" s="721">
        <f t="shared" ca="1" si="16"/>
        <v>6</v>
      </c>
      <c r="D36" s="722">
        <f t="shared" ca="1" si="17"/>
        <v>-1</v>
      </c>
      <c r="E36" s="723">
        <f t="shared" ca="1" si="12"/>
        <v>5</v>
      </c>
      <c r="F36" s="721">
        <f t="shared" ca="1" si="12"/>
        <v>7</v>
      </c>
      <c r="G36" s="722">
        <f t="shared" ca="1" si="18"/>
        <v>-3</v>
      </c>
      <c r="H36" s="723">
        <f t="shared" ca="1" si="19"/>
        <v>2</v>
      </c>
      <c r="I36" s="721">
        <f t="shared" ca="1" si="20"/>
        <v>2</v>
      </c>
      <c r="J36" s="724">
        <f t="shared" ca="1" si="21"/>
        <v>0</v>
      </c>
      <c r="K36" s="723">
        <f t="shared" ca="1" si="22"/>
        <v>3</v>
      </c>
      <c r="L36" s="725">
        <f t="shared" ca="1" si="14"/>
        <v>35</v>
      </c>
      <c r="M36" s="726">
        <f t="shared" ca="1" si="14"/>
        <v>82</v>
      </c>
      <c r="N36" s="726">
        <f t="shared" ca="1" si="14"/>
        <v>45</v>
      </c>
      <c r="O36" s="726">
        <f t="shared" ca="1" si="14"/>
        <v>88</v>
      </c>
      <c r="P36" s="726">
        <f t="shared" ca="1" si="14"/>
        <v>1</v>
      </c>
      <c r="Q36" s="726">
        <f t="shared" ca="1" si="14"/>
        <v>4</v>
      </c>
      <c r="R36" s="726">
        <f t="shared" ca="1" si="14"/>
        <v>8</v>
      </c>
      <c r="S36" s="726">
        <f t="shared" ca="1" si="14"/>
        <v>83</v>
      </c>
      <c r="T36" s="726">
        <f t="shared" ca="1" si="14"/>
        <v>50</v>
      </c>
      <c r="U36" s="726">
        <f t="shared" ca="1" si="14"/>
        <v>73</v>
      </c>
      <c r="V36" s="722">
        <f t="shared" ca="1" si="23"/>
        <v>49</v>
      </c>
    </row>
    <row r="37" spans="1:22" s="716" customFormat="1" ht="12" customHeight="1">
      <c r="A37" s="696">
        <v>36</v>
      </c>
      <c r="B37" s="708">
        <f t="shared" ca="1" si="15"/>
        <v>2</v>
      </c>
      <c r="C37" s="709">
        <f t="shared" ca="1" si="16"/>
        <v>5</v>
      </c>
      <c r="D37" s="710">
        <f t="shared" ca="1" si="17"/>
        <v>0</v>
      </c>
      <c r="E37" s="711">
        <f t="shared" ca="1" si="12"/>
        <v>10</v>
      </c>
      <c r="F37" s="709">
        <f t="shared" ca="1" si="12"/>
        <v>4</v>
      </c>
      <c r="G37" s="710">
        <f t="shared" ca="1" si="18"/>
        <v>2</v>
      </c>
      <c r="H37" s="711">
        <f t="shared" ca="1" si="19"/>
        <v>4</v>
      </c>
      <c r="I37" s="709">
        <f t="shared" ca="1" si="20"/>
        <v>1</v>
      </c>
      <c r="J37" s="712">
        <f t="shared" ca="1" si="21"/>
        <v>3</v>
      </c>
      <c r="K37" s="713">
        <f t="shared" ca="1" si="22"/>
        <v>17</v>
      </c>
      <c r="L37" s="717">
        <f t="shared" ca="1" si="14"/>
        <v>75</v>
      </c>
      <c r="M37" s="718">
        <f t="shared" ca="1" si="14"/>
        <v>86</v>
      </c>
      <c r="N37" s="718">
        <f t="shared" ca="1" si="14"/>
        <v>10</v>
      </c>
      <c r="O37" s="718">
        <f t="shared" ca="1" si="14"/>
        <v>87</v>
      </c>
      <c r="P37" s="718">
        <f t="shared" ca="1" si="14"/>
        <v>65</v>
      </c>
      <c r="Q37" s="718">
        <f t="shared" ca="1" si="14"/>
        <v>94</v>
      </c>
      <c r="R37" s="718">
        <f t="shared" ca="1" si="14"/>
        <v>91</v>
      </c>
      <c r="S37" s="718">
        <f t="shared" ca="1" si="14"/>
        <v>89</v>
      </c>
      <c r="T37" s="718">
        <f t="shared" ca="1" si="14"/>
        <v>19</v>
      </c>
      <c r="U37" s="718">
        <f t="shared" ca="1" si="14"/>
        <v>7</v>
      </c>
      <c r="V37" s="710">
        <f t="shared" ca="1" si="23"/>
        <v>-32</v>
      </c>
    </row>
    <row r="38" spans="1:22" s="716" customFormat="1" ht="12" customHeight="1">
      <c r="A38" s="696">
        <v>37</v>
      </c>
      <c r="B38" s="708">
        <f t="shared" ca="1" si="15"/>
        <v>3</v>
      </c>
      <c r="C38" s="709">
        <f t="shared" ca="1" si="16"/>
        <v>1</v>
      </c>
      <c r="D38" s="710">
        <f t="shared" ca="1" si="17"/>
        <v>3</v>
      </c>
      <c r="E38" s="711">
        <f t="shared" ca="1" si="12"/>
        <v>2</v>
      </c>
      <c r="F38" s="709">
        <f t="shared" ca="1" si="12"/>
        <v>1</v>
      </c>
      <c r="G38" s="710">
        <f t="shared" ca="1" si="18"/>
        <v>-1</v>
      </c>
      <c r="H38" s="711">
        <f t="shared" ca="1" si="19"/>
        <v>1</v>
      </c>
      <c r="I38" s="709">
        <f t="shared" ca="1" si="20"/>
        <v>1</v>
      </c>
      <c r="J38" s="712">
        <f t="shared" ca="1" si="21"/>
        <v>0</v>
      </c>
      <c r="K38" s="713">
        <f t="shared" ca="1" si="22"/>
        <v>15</v>
      </c>
      <c r="L38" s="717">
        <f t="shared" ca="1" si="14"/>
        <v>59</v>
      </c>
      <c r="M38" s="718">
        <f t="shared" ca="1" si="14"/>
        <v>59</v>
      </c>
      <c r="N38" s="718">
        <f t="shared" ca="1" si="14"/>
        <v>68</v>
      </c>
      <c r="O38" s="718">
        <f t="shared" ca="1" si="14"/>
        <v>18</v>
      </c>
      <c r="P38" s="718">
        <f t="shared" ca="1" si="14"/>
        <v>16</v>
      </c>
      <c r="Q38" s="718">
        <f t="shared" ca="1" si="14"/>
        <v>72</v>
      </c>
      <c r="R38" s="718">
        <f t="shared" ca="1" si="14"/>
        <v>96</v>
      </c>
      <c r="S38" s="718">
        <f t="shared" ca="1" si="14"/>
        <v>64</v>
      </c>
      <c r="T38" s="718">
        <f t="shared" ca="1" si="14"/>
        <v>41</v>
      </c>
      <c r="U38" s="718">
        <f t="shared" ca="1" si="14"/>
        <v>99</v>
      </c>
      <c r="V38" s="710">
        <f t="shared" ca="1" si="23"/>
        <v>7</v>
      </c>
    </row>
    <row r="39" spans="1:22" s="716" customFormat="1" ht="12" customHeight="1">
      <c r="A39" s="696">
        <v>38</v>
      </c>
      <c r="B39" s="708">
        <f t="shared" ca="1" si="15"/>
        <v>3</v>
      </c>
      <c r="C39" s="709">
        <f t="shared" ca="1" si="16"/>
        <v>3</v>
      </c>
      <c r="D39" s="710">
        <f t="shared" ca="1" si="17"/>
        <v>0</v>
      </c>
      <c r="E39" s="711">
        <f t="shared" ca="1" si="12"/>
        <v>5</v>
      </c>
      <c r="F39" s="709">
        <f t="shared" ca="1" si="12"/>
        <v>2</v>
      </c>
      <c r="G39" s="710">
        <f t="shared" ca="1" si="18"/>
        <v>1</v>
      </c>
      <c r="H39" s="711">
        <f t="shared" ca="1" si="19"/>
        <v>2</v>
      </c>
      <c r="I39" s="709">
        <f t="shared" ca="1" si="20"/>
        <v>1</v>
      </c>
      <c r="J39" s="712">
        <f t="shared" ca="1" si="21"/>
        <v>1</v>
      </c>
      <c r="K39" s="713">
        <f t="shared" ca="1" si="22"/>
        <v>17</v>
      </c>
      <c r="L39" s="717">
        <f t="shared" ca="1" si="14"/>
        <v>18</v>
      </c>
      <c r="M39" s="718">
        <f t="shared" ca="1" si="14"/>
        <v>87</v>
      </c>
      <c r="N39" s="718">
        <f t="shared" ca="1" si="14"/>
        <v>29</v>
      </c>
      <c r="O39" s="718">
        <f t="shared" ca="1" si="14"/>
        <v>55</v>
      </c>
      <c r="P39" s="718">
        <f t="shared" ca="1" si="14"/>
        <v>44</v>
      </c>
      <c r="Q39" s="718">
        <f t="shared" ca="1" si="14"/>
        <v>41</v>
      </c>
      <c r="R39" s="718">
        <f t="shared" ca="1" si="14"/>
        <v>90</v>
      </c>
      <c r="S39" s="718">
        <f t="shared" ca="1" si="14"/>
        <v>25</v>
      </c>
      <c r="T39" s="718">
        <f t="shared" ca="1" si="14"/>
        <v>47</v>
      </c>
      <c r="U39" s="718">
        <f t="shared" ca="1" si="14"/>
        <v>77</v>
      </c>
      <c r="V39" s="710">
        <f t="shared" ca="1" si="23"/>
        <v>-75</v>
      </c>
    </row>
    <row r="40" spans="1:22" s="716" customFormat="1" ht="12" customHeight="1">
      <c r="A40" s="696">
        <v>39</v>
      </c>
      <c r="B40" s="708">
        <f t="shared" ca="1" si="15"/>
        <v>3</v>
      </c>
      <c r="C40" s="709">
        <f t="shared" ca="1" si="16"/>
        <v>6</v>
      </c>
      <c r="D40" s="710">
        <f t="shared" ca="1" si="17"/>
        <v>-2</v>
      </c>
      <c r="E40" s="711">
        <f t="shared" ca="1" si="12"/>
        <v>5</v>
      </c>
      <c r="F40" s="709">
        <f t="shared" ca="1" si="12"/>
        <v>6</v>
      </c>
      <c r="G40" s="710">
        <f t="shared" ca="1" si="18"/>
        <v>4</v>
      </c>
      <c r="H40" s="711">
        <f t="shared" ca="1" si="19"/>
        <v>2</v>
      </c>
      <c r="I40" s="709">
        <f t="shared" ca="1" si="20"/>
        <v>2</v>
      </c>
      <c r="J40" s="712">
        <f t="shared" ca="1" si="21"/>
        <v>0</v>
      </c>
      <c r="K40" s="713">
        <f t="shared" ca="1" si="22"/>
        <v>6</v>
      </c>
      <c r="L40" s="717">
        <f t="shared" ca="1" si="14"/>
        <v>13</v>
      </c>
      <c r="M40" s="718">
        <f t="shared" ca="1" si="14"/>
        <v>38</v>
      </c>
      <c r="N40" s="718">
        <f t="shared" ca="1" si="14"/>
        <v>83</v>
      </c>
      <c r="O40" s="718">
        <f t="shared" ca="1" si="14"/>
        <v>92</v>
      </c>
      <c r="P40" s="718">
        <f t="shared" ca="1" si="14"/>
        <v>49</v>
      </c>
      <c r="Q40" s="718">
        <f t="shared" ca="1" si="14"/>
        <v>6</v>
      </c>
      <c r="R40" s="718">
        <f t="shared" ca="1" si="14"/>
        <v>29</v>
      </c>
      <c r="S40" s="718">
        <f t="shared" ca="1" si="14"/>
        <v>36</v>
      </c>
      <c r="T40" s="718">
        <f t="shared" ca="1" si="14"/>
        <v>47</v>
      </c>
      <c r="U40" s="718">
        <f t="shared" ca="1" si="14"/>
        <v>73</v>
      </c>
      <c r="V40" s="710">
        <f t="shared" ca="1" si="23"/>
        <v>-7</v>
      </c>
    </row>
    <row r="41" spans="1:22" s="727" customFormat="1" ht="12" customHeight="1">
      <c r="A41" s="719">
        <v>40</v>
      </c>
      <c r="B41" s="720">
        <f t="shared" ca="1" si="15"/>
        <v>2</v>
      </c>
      <c r="C41" s="721">
        <f t="shared" ca="1" si="16"/>
        <v>3</v>
      </c>
      <c r="D41" s="722">
        <f t="shared" ca="1" si="17"/>
        <v>3</v>
      </c>
      <c r="E41" s="723">
        <f t="shared" ca="1" si="12"/>
        <v>6</v>
      </c>
      <c r="F41" s="721">
        <f t="shared" ca="1" si="12"/>
        <v>7</v>
      </c>
      <c r="G41" s="722">
        <f t="shared" ca="1" si="18"/>
        <v>7</v>
      </c>
      <c r="H41" s="723">
        <f t="shared" ca="1" si="19"/>
        <v>2</v>
      </c>
      <c r="I41" s="721">
        <f t="shared" ca="1" si="20"/>
        <v>2</v>
      </c>
      <c r="J41" s="724">
        <f t="shared" ca="1" si="21"/>
        <v>0</v>
      </c>
      <c r="K41" s="723">
        <f t="shared" ca="1" si="22"/>
        <v>13</v>
      </c>
      <c r="L41" s="725">
        <f t="shared" ca="1" si="14"/>
        <v>57</v>
      </c>
      <c r="M41" s="726">
        <f t="shared" ca="1" si="14"/>
        <v>16</v>
      </c>
      <c r="N41" s="726">
        <f t="shared" ca="1" si="14"/>
        <v>10</v>
      </c>
      <c r="O41" s="726">
        <f t="shared" ca="1" si="14"/>
        <v>65</v>
      </c>
      <c r="P41" s="726">
        <f t="shared" ca="1" si="14"/>
        <v>67</v>
      </c>
      <c r="Q41" s="726">
        <f t="shared" ca="1" si="14"/>
        <v>15</v>
      </c>
      <c r="R41" s="726">
        <f t="shared" ca="1" si="14"/>
        <v>71</v>
      </c>
      <c r="S41" s="726">
        <f t="shared" ca="1" si="14"/>
        <v>51</v>
      </c>
      <c r="T41" s="726">
        <f t="shared" ca="1" si="14"/>
        <v>32</v>
      </c>
      <c r="U41" s="726">
        <f t="shared" ca="1" si="14"/>
        <v>61</v>
      </c>
      <c r="V41" s="722">
        <f t="shared" ca="1" si="23"/>
        <v>-3</v>
      </c>
    </row>
    <row r="42" spans="1:22" s="716" customFormat="1" ht="12" customHeight="1">
      <c r="A42" s="696">
        <v>41</v>
      </c>
      <c r="B42" s="708">
        <f t="shared" ca="1" si="15"/>
        <v>3</v>
      </c>
      <c r="C42" s="709">
        <f t="shared" ca="1" si="16"/>
        <v>1</v>
      </c>
      <c r="D42" s="710">
        <f t="shared" ca="1" si="17"/>
        <v>-1</v>
      </c>
      <c r="E42" s="711">
        <f t="shared" ref="E42:F61" ca="1" si="24">ROUNDUP(RAND()*10,0)</f>
        <v>3</v>
      </c>
      <c r="F42" s="709">
        <f t="shared" ca="1" si="24"/>
        <v>3</v>
      </c>
      <c r="G42" s="710">
        <f t="shared" ca="1" si="18"/>
        <v>-1</v>
      </c>
      <c r="H42" s="711">
        <f t="shared" ca="1" si="19"/>
        <v>1</v>
      </c>
      <c r="I42" s="709">
        <f t="shared" ca="1" si="20"/>
        <v>1</v>
      </c>
      <c r="J42" s="712">
        <f t="shared" ca="1" si="21"/>
        <v>0</v>
      </c>
      <c r="K42" s="713">
        <f t="shared" ca="1" si="22"/>
        <v>17</v>
      </c>
      <c r="L42" s="717">
        <f t="shared" ref="L42:U51" ca="1" si="25">ROUNDUP(RAND()*100,0)</f>
        <v>89</v>
      </c>
      <c r="M42" s="718">
        <f t="shared" ca="1" si="25"/>
        <v>41</v>
      </c>
      <c r="N42" s="718">
        <f t="shared" ca="1" si="25"/>
        <v>35</v>
      </c>
      <c r="O42" s="718">
        <f t="shared" ca="1" si="25"/>
        <v>20</v>
      </c>
      <c r="P42" s="718">
        <f t="shared" ca="1" si="25"/>
        <v>26</v>
      </c>
      <c r="Q42" s="718">
        <f t="shared" ca="1" si="25"/>
        <v>21</v>
      </c>
      <c r="R42" s="718">
        <f t="shared" ca="1" si="25"/>
        <v>44</v>
      </c>
      <c r="S42" s="718">
        <f t="shared" ca="1" si="25"/>
        <v>35</v>
      </c>
      <c r="T42" s="718">
        <f t="shared" ca="1" si="25"/>
        <v>64</v>
      </c>
      <c r="U42" s="718">
        <f t="shared" ca="1" si="25"/>
        <v>2</v>
      </c>
      <c r="V42" s="710">
        <f t="shared" ca="1" si="23"/>
        <v>-86</v>
      </c>
    </row>
    <row r="43" spans="1:22" s="716" customFormat="1" ht="12" customHeight="1">
      <c r="A43" s="696">
        <v>42</v>
      </c>
      <c r="B43" s="708">
        <f t="shared" ca="1" si="15"/>
        <v>1</v>
      </c>
      <c r="C43" s="709">
        <f t="shared" ca="1" si="16"/>
        <v>6</v>
      </c>
      <c r="D43" s="710">
        <f t="shared" ca="1" si="17"/>
        <v>-1</v>
      </c>
      <c r="E43" s="711">
        <f t="shared" ca="1" si="24"/>
        <v>5</v>
      </c>
      <c r="F43" s="709">
        <f t="shared" ca="1" si="24"/>
        <v>10</v>
      </c>
      <c r="G43" s="710">
        <f t="shared" ca="1" si="18"/>
        <v>6</v>
      </c>
      <c r="H43" s="711">
        <f t="shared" ca="1" si="19"/>
        <v>2</v>
      </c>
      <c r="I43" s="709">
        <f t="shared" ca="1" si="20"/>
        <v>4</v>
      </c>
      <c r="J43" s="712">
        <f t="shared" ca="1" si="21"/>
        <v>-2</v>
      </c>
      <c r="K43" s="713">
        <f t="shared" ca="1" si="22"/>
        <v>8</v>
      </c>
      <c r="L43" s="717">
        <f t="shared" ca="1" si="25"/>
        <v>55</v>
      </c>
      <c r="M43" s="718">
        <f t="shared" ca="1" si="25"/>
        <v>72</v>
      </c>
      <c r="N43" s="718">
        <f t="shared" ca="1" si="25"/>
        <v>91</v>
      </c>
      <c r="O43" s="718">
        <f t="shared" ca="1" si="25"/>
        <v>7</v>
      </c>
      <c r="P43" s="718">
        <f t="shared" ca="1" si="25"/>
        <v>23</v>
      </c>
      <c r="Q43" s="718">
        <f t="shared" ca="1" si="25"/>
        <v>96</v>
      </c>
      <c r="R43" s="718">
        <f t="shared" ca="1" si="25"/>
        <v>61</v>
      </c>
      <c r="S43" s="718">
        <f t="shared" ca="1" si="25"/>
        <v>81</v>
      </c>
      <c r="T43" s="718">
        <f t="shared" ca="1" si="25"/>
        <v>51</v>
      </c>
      <c r="U43" s="718">
        <f t="shared" ca="1" si="25"/>
        <v>10</v>
      </c>
      <c r="V43" s="710">
        <f t="shared" ca="1" si="23"/>
        <v>57</v>
      </c>
    </row>
    <row r="44" spans="1:22" s="716" customFormat="1" ht="12" customHeight="1">
      <c r="A44" s="696">
        <v>43</v>
      </c>
      <c r="B44" s="708">
        <f t="shared" ca="1" si="15"/>
        <v>3</v>
      </c>
      <c r="C44" s="709">
        <f t="shared" ca="1" si="16"/>
        <v>6</v>
      </c>
      <c r="D44" s="710">
        <f t="shared" ca="1" si="17"/>
        <v>-4</v>
      </c>
      <c r="E44" s="711">
        <f t="shared" ca="1" si="24"/>
        <v>5</v>
      </c>
      <c r="F44" s="709">
        <f t="shared" ca="1" si="24"/>
        <v>7</v>
      </c>
      <c r="G44" s="710">
        <f t="shared" ca="1" si="18"/>
        <v>-3</v>
      </c>
      <c r="H44" s="711">
        <f t="shared" ca="1" si="19"/>
        <v>2</v>
      </c>
      <c r="I44" s="709">
        <f t="shared" ca="1" si="20"/>
        <v>2</v>
      </c>
      <c r="J44" s="712">
        <f t="shared" ca="1" si="21"/>
        <v>0</v>
      </c>
      <c r="K44" s="713">
        <f t="shared" ca="1" si="22"/>
        <v>14</v>
      </c>
      <c r="L44" s="717">
        <f t="shared" ca="1" si="25"/>
        <v>58</v>
      </c>
      <c r="M44" s="718">
        <f t="shared" ca="1" si="25"/>
        <v>16</v>
      </c>
      <c r="N44" s="718">
        <f t="shared" ca="1" si="25"/>
        <v>84</v>
      </c>
      <c r="O44" s="718">
        <f t="shared" ca="1" si="25"/>
        <v>33</v>
      </c>
      <c r="P44" s="718">
        <f t="shared" ca="1" si="25"/>
        <v>62</v>
      </c>
      <c r="Q44" s="718">
        <f t="shared" ca="1" si="25"/>
        <v>58</v>
      </c>
      <c r="R44" s="718">
        <f t="shared" ca="1" si="25"/>
        <v>10</v>
      </c>
      <c r="S44" s="718">
        <f t="shared" ca="1" si="25"/>
        <v>100</v>
      </c>
      <c r="T44" s="718">
        <f t="shared" ca="1" si="25"/>
        <v>48</v>
      </c>
      <c r="U44" s="718">
        <f t="shared" ca="1" si="25"/>
        <v>52</v>
      </c>
      <c r="V44" s="710">
        <f t="shared" ca="1" si="23"/>
        <v>-50</v>
      </c>
    </row>
    <row r="45" spans="1:22" s="716" customFormat="1" ht="12" customHeight="1">
      <c r="A45" s="696">
        <v>44</v>
      </c>
      <c r="B45" s="708">
        <f t="shared" ca="1" si="15"/>
        <v>1</v>
      </c>
      <c r="C45" s="709">
        <f t="shared" ca="1" si="16"/>
        <v>4</v>
      </c>
      <c r="D45" s="710">
        <f t="shared" ca="1" si="17"/>
        <v>3</v>
      </c>
      <c r="E45" s="711">
        <f t="shared" ca="1" si="24"/>
        <v>2</v>
      </c>
      <c r="F45" s="709">
        <f t="shared" ca="1" si="24"/>
        <v>7</v>
      </c>
      <c r="G45" s="710">
        <f t="shared" ca="1" si="18"/>
        <v>-1</v>
      </c>
      <c r="H45" s="711">
        <f t="shared" ca="1" si="19"/>
        <v>1</v>
      </c>
      <c r="I45" s="709">
        <f t="shared" ca="1" si="20"/>
        <v>2</v>
      </c>
      <c r="J45" s="712">
        <f t="shared" ca="1" si="21"/>
        <v>-1</v>
      </c>
      <c r="K45" s="713">
        <f t="shared" ca="1" si="22"/>
        <v>14</v>
      </c>
      <c r="L45" s="717">
        <f t="shared" ca="1" si="25"/>
        <v>40</v>
      </c>
      <c r="M45" s="718">
        <f t="shared" ca="1" si="25"/>
        <v>45</v>
      </c>
      <c r="N45" s="718">
        <f t="shared" ca="1" si="25"/>
        <v>85</v>
      </c>
      <c r="O45" s="718">
        <f t="shared" ca="1" si="25"/>
        <v>68</v>
      </c>
      <c r="P45" s="718">
        <f t="shared" ca="1" si="25"/>
        <v>87</v>
      </c>
      <c r="Q45" s="718">
        <f t="shared" ca="1" si="25"/>
        <v>74</v>
      </c>
      <c r="R45" s="718">
        <f t="shared" ca="1" si="25"/>
        <v>83</v>
      </c>
      <c r="S45" s="718">
        <f t="shared" ca="1" si="25"/>
        <v>90</v>
      </c>
      <c r="T45" s="718">
        <f t="shared" ca="1" si="25"/>
        <v>81</v>
      </c>
      <c r="U45" s="718">
        <f t="shared" ca="1" si="25"/>
        <v>49</v>
      </c>
      <c r="V45" s="710">
        <f t="shared" ca="1" si="23"/>
        <v>-41</v>
      </c>
    </row>
    <row r="46" spans="1:22" s="727" customFormat="1" ht="12" customHeight="1">
      <c r="A46" s="719">
        <v>45</v>
      </c>
      <c r="B46" s="720">
        <f t="shared" ca="1" si="15"/>
        <v>2</v>
      </c>
      <c r="C46" s="721">
        <f t="shared" ca="1" si="16"/>
        <v>2</v>
      </c>
      <c r="D46" s="722">
        <f t="shared" ca="1" si="17"/>
        <v>-4</v>
      </c>
      <c r="E46" s="723">
        <f t="shared" ca="1" si="24"/>
        <v>8</v>
      </c>
      <c r="F46" s="721">
        <f t="shared" ca="1" si="24"/>
        <v>4</v>
      </c>
      <c r="G46" s="722">
        <f t="shared" ca="1" si="18"/>
        <v>-7</v>
      </c>
      <c r="H46" s="723">
        <f t="shared" ca="1" si="19"/>
        <v>3</v>
      </c>
      <c r="I46" s="721">
        <f t="shared" ca="1" si="20"/>
        <v>1</v>
      </c>
      <c r="J46" s="724">
        <f t="shared" ca="1" si="21"/>
        <v>2</v>
      </c>
      <c r="K46" s="723">
        <f t="shared" ca="1" si="22"/>
        <v>1</v>
      </c>
      <c r="L46" s="725">
        <f t="shared" ca="1" si="25"/>
        <v>54</v>
      </c>
      <c r="M46" s="726">
        <f t="shared" ca="1" si="25"/>
        <v>94</v>
      </c>
      <c r="N46" s="726">
        <f t="shared" ca="1" si="25"/>
        <v>44</v>
      </c>
      <c r="O46" s="726">
        <f t="shared" ca="1" si="25"/>
        <v>80</v>
      </c>
      <c r="P46" s="726">
        <f t="shared" ca="1" si="25"/>
        <v>12</v>
      </c>
      <c r="Q46" s="726">
        <f t="shared" ca="1" si="25"/>
        <v>68</v>
      </c>
      <c r="R46" s="726">
        <f t="shared" ca="1" si="25"/>
        <v>69</v>
      </c>
      <c r="S46" s="726">
        <f t="shared" ca="1" si="25"/>
        <v>27</v>
      </c>
      <c r="T46" s="726">
        <f t="shared" ca="1" si="25"/>
        <v>77</v>
      </c>
      <c r="U46" s="726">
        <f t="shared" ca="1" si="25"/>
        <v>92</v>
      </c>
      <c r="V46" s="722">
        <f t="shared" ca="1" si="23"/>
        <v>67</v>
      </c>
    </row>
    <row r="47" spans="1:22" s="716" customFormat="1" ht="12" customHeight="1">
      <c r="A47" s="696">
        <v>46</v>
      </c>
      <c r="B47" s="708">
        <f t="shared" ca="1" si="15"/>
        <v>2</v>
      </c>
      <c r="C47" s="709">
        <f t="shared" ca="1" si="16"/>
        <v>2</v>
      </c>
      <c r="D47" s="710">
        <f t="shared" ca="1" si="17"/>
        <v>3</v>
      </c>
      <c r="E47" s="711">
        <f t="shared" ca="1" si="24"/>
        <v>6</v>
      </c>
      <c r="F47" s="709">
        <f t="shared" ca="1" si="24"/>
        <v>6</v>
      </c>
      <c r="G47" s="710">
        <f t="shared" ca="1" si="18"/>
        <v>-6</v>
      </c>
      <c r="H47" s="711">
        <f t="shared" ca="1" si="19"/>
        <v>2</v>
      </c>
      <c r="I47" s="709">
        <f t="shared" ca="1" si="20"/>
        <v>2</v>
      </c>
      <c r="J47" s="712">
        <f t="shared" ca="1" si="21"/>
        <v>0</v>
      </c>
      <c r="K47" s="713">
        <f t="shared" ca="1" si="22"/>
        <v>6</v>
      </c>
      <c r="L47" s="717">
        <f t="shared" ca="1" si="25"/>
        <v>11</v>
      </c>
      <c r="M47" s="718">
        <f t="shared" ca="1" si="25"/>
        <v>28</v>
      </c>
      <c r="N47" s="718">
        <f t="shared" ca="1" si="25"/>
        <v>1</v>
      </c>
      <c r="O47" s="718">
        <f t="shared" ca="1" si="25"/>
        <v>33</v>
      </c>
      <c r="P47" s="718">
        <f t="shared" ca="1" si="25"/>
        <v>75</v>
      </c>
      <c r="Q47" s="718">
        <f t="shared" ca="1" si="25"/>
        <v>77</v>
      </c>
      <c r="R47" s="718">
        <f t="shared" ca="1" si="25"/>
        <v>41</v>
      </c>
      <c r="S47" s="718">
        <f t="shared" ca="1" si="25"/>
        <v>57</v>
      </c>
      <c r="T47" s="718">
        <f t="shared" ca="1" si="25"/>
        <v>40</v>
      </c>
      <c r="U47" s="718">
        <f t="shared" ca="1" si="25"/>
        <v>45</v>
      </c>
      <c r="V47" s="710">
        <f t="shared" ca="1" si="23"/>
        <v>-45</v>
      </c>
    </row>
    <row r="48" spans="1:22" s="716" customFormat="1" ht="12" customHeight="1">
      <c r="A48" s="696">
        <v>47</v>
      </c>
      <c r="B48" s="708">
        <f t="shared" ca="1" si="15"/>
        <v>1</v>
      </c>
      <c r="C48" s="709">
        <f t="shared" ca="1" si="16"/>
        <v>6</v>
      </c>
      <c r="D48" s="710">
        <f t="shared" ca="1" si="17"/>
        <v>-1</v>
      </c>
      <c r="E48" s="711">
        <f t="shared" ca="1" si="24"/>
        <v>6</v>
      </c>
      <c r="F48" s="709">
        <f t="shared" ca="1" si="24"/>
        <v>1</v>
      </c>
      <c r="G48" s="710">
        <f t="shared" ca="1" si="18"/>
        <v>-6</v>
      </c>
      <c r="H48" s="711">
        <f t="shared" ca="1" si="19"/>
        <v>2</v>
      </c>
      <c r="I48" s="709">
        <f t="shared" ca="1" si="20"/>
        <v>1</v>
      </c>
      <c r="J48" s="712">
        <f t="shared" ca="1" si="21"/>
        <v>1</v>
      </c>
      <c r="K48" s="713">
        <f t="shared" ca="1" si="22"/>
        <v>2</v>
      </c>
      <c r="L48" s="717">
        <f t="shared" ca="1" si="25"/>
        <v>14</v>
      </c>
      <c r="M48" s="718">
        <f t="shared" ca="1" si="25"/>
        <v>11</v>
      </c>
      <c r="N48" s="718">
        <f t="shared" ca="1" si="25"/>
        <v>32</v>
      </c>
      <c r="O48" s="718">
        <f t="shared" ca="1" si="25"/>
        <v>26</v>
      </c>
      <c r="P48" s="718">
        <f t="shared" ca="1" si="25"/>
        <v>47</v>
      </c>
      <c r="Q48" s="718">
        <f t="shared" ca="1" si="25"/>
        <v>78</v>
      </c>
      <c r="R48" s="718">
        <f t="shared" ca="1" si="25"/>
        <v>74</v>
      </c>
      <c r="S48" s="718">
        <f t="shared" ca="1" si="25"/>
        <v>46</v>
      </c>
      <c r="T48" s="718">
        <f t="shared" ca="1" si="25"/>
        <v>23</v>
      </c>
      <c r="U48" s="718">
        <f t="shared" ca="1" si="25"/>
        <v>12</v>
      </c>
      <c r="V48" s="710">
        <f t="shared" ca="1" si="23"/>
        <v>36</v>
      </c>
    </row>
    <row r="49" spans="1:22" s="716" customFormat="1" ht="12" customHeight="1">
      <c r="A49" s="696">
        <v>48</v>
      </c>
      <c r="B49" s="708">
        <f t="shared" ca="1" si="15"/>
        <v>3</v>
      </c>
      <c r="C49" s="709">
        <f t="shared" ca="1" si="16"/>
        <v>6</v>
      </c>
      <c r="D49" s="710">
        <f t="shared" ca="1" si="17"/>
        <v>-2</v>
      </c>
      <c r="E49" s="711">
        <f t="shared" ca="1" si="24"/>
        <v>9</v>
      </c>
      <c r="F49" s="709">
        <f t="shared" ca="1" si="24"/>
        <v>10</v>
      </c>
      <c r="G49" s="710">
        <f t="shared" ca="1" si="18"/>
        <v>-5</v>
      </c>
      <c r="H49" s="711">
        <f t="shared" ca="1" si="19"/>
        <v>3</v>
      </c>
      <c r="I49" s="709">
        <f t="shared" ca="1" si="20"/>
        <v>4</v>
      </c>
      <c r="J49" s="712">
        <f t="shared" ca="1" si="21"/>
        <v>-1</v>
      </c>
      <c r="K49" s="713">
        <f t="shared" ca="1" si="22"/>
        <v>20</v>
      </c>
      <c r="L49" s="717">
        <f t="shared" ca="1" si="25"/>
        <v>16</v>
      </c>
      <c r="M49" s="718">
        <f t="shared" ca="1" si="25"/>
        <v>70</v>
      </c>
      <c r="N49" s="718">
        <f t="shared" ca="1" si="25"/>
        <v>92</v>
      </c>
      <c r="O49" s="718">
        <f t="shared" ca="1" si="25"/>
        <v>98</v>
      </c>
      <c r="P49" s="718">
        <f t="shared" ca="1" si="25"/>
        <v>72</v>
      </c>
      <c r="Q49" s="718">
        <f t="shared" ca="1" si="25"/>
        <v>79</v>
      </c>
      <c r="R49" s="718">
        <f t="shared" ca="1" si="25"/>
        <v>62</v>
      </c>
      <c r="S49" s="718">
        <f t="shared" ca="1" si="25"/>
        <v>30</v>
      </c>
      <c r="T49" s="718">
        <f t="shared" ca="1" si="25"/>
        <v>88</v>
      </c>
      <c r="U49" s="718">
        <f t="shared" ca="1" si="25"/>
        <v>22</v>
      </c>
      <c r="V49" s="710">
        <f t="shared" ca="1" si="23"/>
        <v>7</v>
      </c>
    </row>
    <row r="50" spans="1:22" s="716" customFormat="1" ht="12" customHeight="1">
      <c r="A50" s="696">
        <v>49</v>
      </c>
      <c r="B50" s="708">
        <f t="shared" ca="1" si="15"/>
        <v>1</v>
      </c>
      <c r="C50" s="709">
        <f t="shared" ca="1" si="16"/>
        <v>2</v>
      </c>
      <c r="D50" s="710">
        <f t="shared" ca="1" si="17"/>
        <v>1</v>
      </c>
      <c r="E50" s="711">
        <f t="shared" ca="1" si="24"/>
        <v>5</v>
      </c>
      <c r="F50" s="709">
        <f t="shared" ca="1" si="24"/>
        <v>8</v>
      </c>
      <c r="G50" s="710">
        <f t="shared" ca="1" si="18"/>
        <v>1</v>
      </c>
      <c r="H50" s="711">
        <f t="shared" ca="1" si="19"/>
        <v>2</v>
      </c>
      <c r="I50" s="709">
        <f t="shared" ca="1" si="20"/>
        <v>3</v>
      </c>
      <c r="J50" s="712">
        <f t="shared" ca="1" si="21"/>
        <v>-1</v>
      </c>
      <c r="K50" s="713">
        <f t="shared" ca="1" si="22"/>
        <v>11</v>
      </c>
      <c r="L50" s="717">
        <f t="shared" ca="1" si="25"/>
        <v>92</v>
      </c>
      <c r="M50" s="718">
        <f t="shared" ca="1" si="25"/>
        <v>81</v>
      </c>
      <c r="N50" s="718">
        <f t="shared" ca="1" si="25"/>
        <v>59</v>
      </c>
      <c r="O50" s="718">
        <f t="shared" ca="1" si="25"/>
        <v>44</v>
      </c>
      <c r="P50" s="718">
        <f t="shared" ca="1" si="25"/>
        <v>41</v>
      </c>
      <c r="Q50" s="718">
        <f t="shared" ca="1" si="25"/>
        <v>18</v>
      </c>
      <c r="R50" s="718">
        <f t="shared" ca="1" si="25"/>
        <v>86</v>
      </c>
      <c r="S50" s="718">
        <f t="shared" ca="1" si="25"/>
        <v>53</v>
      </c>
      <c r="T50" s="718">
        <f t="shared" ca="1" si="25"/>
        <v>66</v>
      </c>
      <c r="U50" s="718">
        <f t="shared" ca="1" si="25"/>
        <v>75</v>
      </c>
      <c r="V50" s="710">
        <f t="shared" ca="1" si="23"/>
        <v>-17</v>
      </c>
    </row>
    <row r="51" spans="1:22" s="727" customFormat="1" ht="12" customHeight="1">
      <c r="A51" s="719">
        <v>50</v>
      </c>
      <c r="B51" s="720">
        <f t="shared" ca="1" si="15"/>
        <v>3</v>
      </c>
      <c r="C51" s="721">
        <f t="shared" ca="1" si="16"/>
        <v>1</v>
      </c>
      <c r="D51" s="722">
        <f t="shared" ca="1" si="17"/>
        <v>4</v>
      </c>
      <c r="E51" s="723">
        <f t="shared" ca="1" si="24"/>
        <v>7</v>
      </c>
      <c r="F51" s="721">
        <f t="shared" ca="1" si="24"/>
        <v>5</v>
      </c>
      <c r="G51" s="722">
        <f t="shared" ca="1" si="18"/>
        <v>-5</v>
      </c>
      <c r="H51" s="723">
        <f t="shared" ca="1" si="19"/>
        <v>2</v>
      </c>
      <c r="I51" s="721">
        <f t="shared" ca="1" si="20"/>
        <v>2</v>
      </c>
      <c r="J51" s="724">
        <f t="shared" ca="1" si="21"/>
        <v>0</v>
      </c>
      <c r="K51" s="723">
        <f t="shared" ca="1" si="22"/>
        <v>13</v>
      </c>
      <c r="L51" s="725">
        <f t="shared" ca="1" si="25"/>
        <v>36</v>
      </c>
      <c r="M51" s="726">
        <f t="shared" ca="1" si="25"/>
        <v>20</v>
      </c>
      <c r="N51" s="726">
        <f t="shared" ca="1" si="25"/>
        <v>87</v>
      </c>
      <c r="O51" s="726">
        <f t="shared" ca="1" si="25"/>
        <v>2</v>
      </c>
      <c r="P51" s="726">
        <f t="shared" ca="1" si="25"/>
        <v>57</v>
      </c>
      <c r="Q51" s="726">
        <f t="shared" ca="1" si="25"/>
        <v>66</v>
      </c>
      <c r="R51" s="726">
        <f t="shared" ca="1" si="25"/>
        <v>6</v>
      </c>
      <c r="S51" s="726">
        <f t="shared" ca="1" si="25"/>
        <v>12</v>
      </c>
      <c r="T51" s="726">
        <f t="shared" ca="1" si="25"/>
        <v>2</v>
      </c>
      <c r="U51" s="726">
        <f t="shared" ca="1" si="25"/>
        <v>45</v>
      </c>
      <c r="V51" s="722">
        <f t="shared" ca="1" si="23"/>
        <v>24</v>
      </c>
    </row>
    <row r="52" spans="1:22" s="716" customFormat="1" ht="12" customHeight="1">
      <c r="A52" s="696">
        <v>51</v>
      </c>
      <c r="B52" s="708">
        <f t="shared" ca="1" si="15"/>
        <v>3</v>
      </c>
      <c r="C52" s="709">
        <f t="shared" ca="1" si="16"/>
        <v>5</v>
      </c>
      <c r="D52" s="710">
        <f t="shared" ca="1" si="17"/>
        <v>-1</v>
      </c>
      <c r="E52" s="711">
        <f t="shared" ca="1" si="24"/>
        <v>1</v>
      </c>
      <c r="F52" s="709">
        <f t="shared" ca="1" si="24"/>
        <v>8</v>
      </c>
      <c r="G52" s="710">
        <f t="shared" ca="1" si="18"/>
        <v>-5</v>
      </c>
      <c r="H52" s="711">
        <f t="shared" ca="1" si="19"/>
        <v>1</v>
      </c>
      <c r="I52" s="709">
        <f t="shared" ca="1" si="20"/>
        <v>3</v>
      </c>
      <c r="J52" s="712">
        <f t="shared" ca="1" si="21"/>
        <v>-2</v>
      </c>
      <c r="K52" s="713">
        <f t="shared" ca="1" si="22"/>
        <v>11</v>
      </c>
      <c r="L52" s="717">
        <f t="shared" ref="L52:U61" ca="1" si="26">ROUNDUP(RAND()*100,0)</f>
        <v>30</v>
      </c>
      <c r="M52" s="718">
        <f t="shared" ca="1" si="26"/>
        <v>76</v>
      </c>
      <c r="N52" s="718">
        <f t="shared" ca="1" si="26"/>
        <v>100</v>
      </c>
      <c r="O52" s="718">
        <f t="shared" ca="1" si="26"/>
        <v>34</v>
      </c>
      <c r="P52" s="718">
        <f t="shared" ca="1" si="26"/>
        <v>81</v>
      </c>
      <c r="Q52" s="718">
        <f t="shared" ca="1" si="26"/>
        <v>11</v>
      </c>
      <c r="R52" s="718">
        <f t="shared" ca="1" si="26"/>
        <v>27</v>
      </c>
      <c r="S52" s="718">
        <f t="shared" ca="1" si="26"/>
        <v>65</v>
      </c>
      <c r="T52" s="718">
        <f t="shared" ca="1" si="26"/>
        <v>11</v>
      </c>
      <c r="U52" s="718">
        <f t="shared" ca="1" si="26"/>
        <v>77</v>
      </c>
      <c r="V52" s="710">
        <f t="shared" ca="1" si="23"/>
        <v>9</v>
      </c>
    </row>
    <row r="53" spans="1:22" s="716" customFormat="1" ht="12" customHeight="1">
      <c r="A53" s="696">
        <v>52</v>
      </c>
      <c r="B53" s="708">
        <f t="shared" ca="1" si="15"/>
        <v>2</v>
      </c>
      <c r="C53" s="709">
        <f t="shared" ca="1" si="16"/>
        <v>1</v>
      </c>
      <c r="D53" s="710">
        <f t="shared" ca="1" si="17"/>
        <v>1</v>
      </c>
      <c r="E53" s="711">
        <f t="shared" ca="1" si="24"/>
        <v>5</v>
      </c>
      <c r="F53" s="709">
        <f t="shared" ca="1" si="24"/>
        <v>4</v>
      </c>
      <c r="G53" s="710">
        <f t="shared" ca="1" si="18"/>
        <v>2</v>
      </c>
      <c r="H53" s="711">
        <f t="shared" ca="1" si="19"/>
        <v>2</v>
      </c>
      <c r="I53" s="709">
        <f t="shared" ca="1" si="20"/>
        <v>1</v>
      </c>
      <c r="J53" s="712">
        <f t="shared" ca="1" si="21"/>
        <v>1</v>
      </c>
      <c r="K53" s="713">
        <f t="shared" ca="1" si="22"/>
        <v>12</v>
      </c>
      <c r="L53" s="717">
        <f t="shared" ca="1" si="26"/>
        <v>65</v>
      </c>
      <c r="M53" s="718">
        <f t="shared" ca="1" si="26"/>
        <v>81</v>
      </c>
      <c r="N53" s="718">
        <f t="shared" ca="1" si="26"/>
        <v>26</v>
      </c>
      <c r="O53" s="718">
        <f t="shared" ca="1" si="26"/>
        <v>48</v>
      </c>
      <c r="P53" s="718">
        <f t="shared" ca="1" si="26"/>
        <v>79</v>
      </c>
      <c r="Q53" s="718">
        <f t="shared" ca="1" si="26"/>
        <v>40</v>
      </c>
      <c r="R53" s="718">
        <f t="shared" ca="1" si="26"/>
        <v>100</v>
      </c>
      <c r="S53" s="718">
        <f t="shared" ca="1" si="26"/>
        <v>7</v>
      </c>
      <c r="T53" s="718">
        <f t="shared" ca="1" si="26"/>
        <v>17</v>
      </c>
      <c r="U53" s="718">
        <f t="shared" ca="1" si="26"/>
        <v>49</v>
      </c>
      <c r="V53" s="710">
        <f t="shared" ca="1" si="23"/>
        <v>-59</v>
      </c>
    </row>
    <row r="54" spans="1:22" s="716" customFormat="1" ht="12" customHeight="1">
      <c r="A54" s="696">
        <v>53</v>
      </c>
      <c r="B54" s="708">
        <f t="shared" ca="1" si="15"/>
        <v>3</v>
      </c>
      <c r="C54" s="709">
        <f t="shared" ca="1" si="16"/>
        <v>4</v>
      </c>
      <c r="D54" s="710">
        <f t="shared" ca="1" si="17"/>
        <v>-2</v>
      </c>
      <c r="E54" s="711">
        <f t="shared" ca="1" si="24"/>
        <v>7</v>
      </c>
      <c r="F54" s="709">
        <f t="shared" ca="1" si="24"/>
        <v>5</v>
      </c>
      <c r="G54" s="710">
        <f t="shared" ca="1" si="18"/>
        <v>2</v>
      </c>
      <c r="H54" s="711">
        <f t="shared" ca="1" si="19"/>
        <v>2</v>
      </c>
      <c r="I54" s="709">
        <f t="shared" ca="1" si="20"/>
        <v>2</v>
      </c>
      <c r="J54" s="712">
        <f t="shared" ca="1" si="21"/>
        <v>0</v>
      </c>
      <c r="K54" s="713">
        <f t="shared" ca="1" si="22"/>
        <v>16</v>
      </c>
      <c r="L54" s="717">
        <f t="shared" ca="1" si="26"/>
        <v>83</v>
      </c>
      <c r="M54" s="718">
        <f t="shared" ca="1" si="26"/>
        <v>67</v>
      </c>
      <c r="N54" s="718">
        <f t="shared" ca="1" si="26"/>
        <v>4</v>
      </c>
      <c r="O54" s="718">
        <f t="shared" ca="1" si="26"/>
        <v>11</v>
      </c>
      <c r="P54" s="718">
        <f t="shared" ca="1" si="26"/>
        <v>67</v>
      </c>
      <c r="Q54" s="718">
        <f t="shared" ca="1" si="26"/>
        <v>62</v>
      </c>
      <c r="R54" s="718">
        <f t="shared" ca="1" si="26"/>
        <v>33</v>
      </c>
      <c r="S54" s="718">
        <f t="shared" ca="1" si="26"/>
        <v>66</v>
      </c>
      <c r="T54" s="718">
        <f t="shared" ca="1" si="26"/>
        <v>46</v>
      </c>
      <c r="U54" s="718">
        <f t="shared" ca="1" si="26"/>
        <v>37</v>
      </c>
      <c r="V54" s="710">
        <f t="shared" ca="1" si="23"/>
        <v>-43</v>
      </c>
    </row>
    <row r="55" spans="1:22" s="716" customFormat="1" ht="12" customHeight="1">
      <c r="A55" s="696">
        <v>54</v>
      </c>
      <c r="B55" s="708">
        <f t="shared" ca="1" si="15"/>
        <v>1</v>
      </c>
      <c r="C55" s="709">
        <f t="shared" ca="1" si="16"/>
        <v>1</v>
      </c>
      <c r="D55" s="710">
        <f t="shared" ca="1" si="17"/>
        <v>-2</v>
      </c>
      <c r="E55" s="711">
        <f t="shared" ca="1" si="24"/>
        <v>10</v>
      </c>
      <c r="F55" s="709">
        <f t="shared" ca="1" si="24"/>
        <v>1</v>
      </c>
      <c r="G55" s="710">
        <f t="shared" ca="1" si="18"/>
        <v>0</v>
      </c>
      <c r="H55" s="711">
        <f t="shared" ca="1" si="19"/>
        <v>4</v>
      </c>
      <c r="I55" s="709">
        <f t="shared" ca="1" si="20"/>
        <v>1</v>
      </c>
      <c r="J55" s="712">
        <f t="shared" ca="1" si="21"/>
        <v>3</v>
      </c>
      <c r="K55" s="713">
        <f t="shared" ca="1" si="22"/>
        <v>18</v>
      </c>
      <c r="L55" s="717">
        <f t="shared" ca="1" si="26"/>
        <v>45</v>
      </c>
      <c r="M55" s="718">
        <f t="shared" ca="1" si="26"/>
        <v>12</v>
      </c>
      <c r="N55" s="718">
        <f t="shared" ca="1" si="26"/>
        <v>20</v>
      </c>
      <c r="O55" s="718">
        <f t="shared" ca="1" si="26"/>
        <v>54</v>
      </c>
      <c r="P55" s="718">
        <f t="shared" ca="1" si="26"/>
        <v>60</v>
      </c>
      <c r="Q55" s="718">
        <f t="shared" ca="1" si="26"/>
        <v>46</v>
      </c>
      <c r="R55" s="718">
        <f t="shared" ca="1" si="26"/>
        <v>79</v>
      </c>
      <c r="S55" s="718">
        <f t="shared" ca="1" si="26"/>
        <v>59</v>
      </c>
      <c r="T55" s="718">
        <f t="shared" ca="1" si="26"/>
        <v>73</v>
      </c>
      <c r="U55" s="718">
        <f t="shared" ca="1" si="26"/>
        <v>40</v>
      </c>
      <c r="V55" s="710">
        <f t="shared" ca="1" si="23"/>
        <v>93</v>
      </c>
    </row>
    <row r="56" spans="1:22" s="727" customFormat="1" ht="12" customHeight="1">
      <c r="A56" s="719">
        <v>55</v>
      </c>
      <c r="B56" s="720">
        <f t="shared" ca="1" si="15"/>
        <v>3</v>
      </c>
      <c r="C56" s="721">
        <f t="shared" ca="1" si="16"/>
        <v>4</v>
      </c>
      <c r="D56" s="722">
        <f t="shared" ca="1" si="17"/>
        <v>-2</v>
      </c>
      <c r="E56" s="723">
        <f t="shared" ca="1" si="24"/>
        <v>2</v>
      </c>
      <c r="F56" s="721">
        <f t="shared" ca="1" si="24"/>
        <v>4</v>
      </c>
      <c r="G56" s="722">
        <f t="shared" ca="1" si="18"/>
        <v>-5</v>
      </c>
      <c r="H56" s="723">
        <f t="shared" ca="1" si="19"/>
        <v>1</v>
      </c>
      <c r="I56" s="721">
        <f t="shared" ca="1" si="20"/>
        <v>1</v>
      </c>
      <c r="J56" s="724">
        <f t="shared" ca="1" si="21"/>
        <v>0</v>
      </c>
      <c r="K56" s="723">
        <f t="shared" ca="1" si="22"/>
        <v>10</v>
      </c>
      <c r="L56" s="725">
        <f t="shared" ca="1" si="26"/>
        <v>84</v>
      </c>
      <c r="M56" s="726">
        <f t="shared" ca="1" si="26"/>
        <v>64</v>
      </c>
      <c r="N56" s="726">
        <f t="shared" ca="1" si="26"/>
        <v>20</v>
      </c>
      <c r="O56" s="726">
        <f t="shared" ca="1" si="26"/>
        <v>58</v>
      </c>
      <c r="P56" s="726">
        <f t="shared" ca="1" si="26"/>
        <v>26</v>
      </c>
      <c r="Q56" s="726">
        <f t="shared" ca="1" si="26"/>
        <v>33</v>
      </c>
      <c r="R56" s="726">
        <f t="shared" ca="1" si="26"/>
        <v>52</v>
      </c>
      <c r="S56" s="726">
        <f t="shared" ca="1" si="26"/>
        <v>43</v>
      </c>
      <c r="T56" s="726">
        <f t="shared" ca="1" si="26"/>
        <v>30</v>
      </c>
      <c r="U56" s="726">
        <f t="shared" ca="1" si="26"/>
        <v>14</v>
      </c>
      <c r="V56" s="722">
        <f t="shared" ca="1" si="23"/>
        <v>-23</v>
      </c>
    </row>
    <row r="57" spans="1:22" s="716" customFormat="1" ht="12" customHeight="1">
      <c r="A57" s="696">
        <v>56</v>
      </c>
      <c r="B57" s="708">
        <f t="shared" ca="1" si="15"/>
        <v>1</v>
      </c>
      <c r="C57" s="709">
        <f t="shared" ca="1" si="16"/>
        <v>4</v>
      </c>
      <c r="D57" s="710">
        <f t="shared" ca="1" si="17"/>
        <v>-1</v>
      </c>
      <c r="E57" s="711">
        <f t="shared" ca="1" si="24"/>
        <v>6</v>
      </c>
      <c r="F57" s="709">
        <f t="shared" ca="1" si="24"/>
        <v>10</v>
      </c>
      <c r="G57" s="710">
        <f t="shared" ca="1" si="18"/>
        <v>-1</v>
      </c>
      <c r="H57" s="711">
        <f t="shared" ca="1" si="19"/>
        <v>2</v>
      </c>
      <c r="I57" s="709">
        <f t="shared" ca="1" si="20"/>
        <v>4</v>
      </c>
      <c r="J57" s="712">
        <f t="shared" ca="1" si="21"/>
        <v>-2</v>
      </c>
      <c r="K57" s="713">
        <f t="shared" ca="1" si="22"/>
        <v>17</v>
      </c>
      <c r="L57" s="717">
        <f t="shared" ca="1" si="26"/>
        <v>2</v>
      </c>
      <c r="M57" s="718">
        <f t="shared" ca="1" si="26"/>
        <v>18</v>
      </c>
      <c r="N57" s="718">
        <f t="shared" ca="1" si="26"/>
        <v>98</v>
      </c>
      <c r="O57" s="718">
        <f t="shared" ca="1" si="26"/>
        <v>29</v>
      </c>
      <c r="P57" s="718">
        <f t="shared" ca="1" si="26"/>
        <v>13</v>
      </c>
      <c r="Q57" s="718">
        <f t="shared" ca="1" si="26"/>
        <v>32</v>
      </c>
      <c r="R57" s="718">
        <f t="shared" ca="1" si="26"/>
        <v>78</v>
      </c>
      <c r="S57" s="718">
        <f t="shared" ca="1" si="26"/>
        <v>19</v>
      </c>
      <c r="T57" s="718">
        <f t="shared" ca="1" si="26"/>
        <v>24</v>
      </c>
      <c r="U57" s="718">
        <f t="shared" ca="1" si="26"/>
        <v>1</v>
      </c>
      <c r="V57" s="710">
        <f t="shared" ca="1" si="23"/>
        <v>36</v>
      </c>
    </row>
    <row r="58" spans="1:22" s="716" customFormat="1" ht="12" customHeight="1">
      <c r="A58" s="696">
        <v>57</v>
      </c>
      <c r="B58" s="708">
        <f t="shared" ca="1" si="15"/>
        <v>3</v>
      </c>
      <c r="C58" s="709">
        <f t="shared" ca="1" si="16"/>
        <v>2</v>
      </c>
      <c r="D58" s="710">
        <f t="shared" ca="1" si="17"/>
        <v>-2</v>
      </c>
      <c r="E58" s="711">
        <f t="shared" ca="1" si="24"/>
        <v>4</v>
      </c>
      <c r="F58" s="709">
        <f t="shared" ca="1" si="24"/>
        <v>10</v>
      </c>
      <c r="G58" s="710">
        <f t="shared" ca="1" si="18"/>
        <v>6</v>
      </c>
      <c r="H58" s="711">
        <f t="shared" ca="1" si="19"/>
        <v>1</v>
      </c>
      <c r="I58" s="709">
        <f t="shared" ca="1" si="20"/>
        <v>4</v>
      </c>
      <c r="J58" s="712">
        <f t="shared" ca="1" si="21"/>
        <v>-3</v>
      </c>
      <c r="K58" s="713">
        <f t="shared" ca="1" si="22"/>
        <v>20</v>
      </c>
      <c r="L58" s="717">
        <f t="shared" ca="1" si="26"/>
        <v>71</v>
      </c>
      <c r="M58" s="718">
        <f t="shared" ca="1" si="26"/>
        <v>9</v>
      </c>
      <c r="N58" s="718">
        <f t="shared" ca="1" si="26"/>
        <v>86</v>
      </c>
      <c r="O58" s="718">
        <f t="shared" ca="1" si="26"/>
        <v>50</v>
      </c>
      <c r="P58" s="718">
        <f t="shared" ca="1" si="26"/>
        <v>6</v>
      </c>
      <c r="Q58" s="718">
        <f t="shared" ca="1" si="26"/>
        <v>34</v>
      </c>
      <c r="R58" s="718">
        <f t="shared" ca="1" si="26"/>
        <v>46</v>
      </c>
      <c r="S58" s="718">
        <f t="shared" ca="1" si="26"/>
        <v>1</v>
      </c>
      <c r="T58" s="718">
        <f t="shared" ca="1" si="26"/>
        <v>79</v>
      </c>
      <c r="U58" s="718">
        <f t="shared" ca="1" si="26"/>
        <v>56</v>
      </c>
      <c r="V58" s="710">
        <f t="shared" ca="1" si="23"/>
        <v>-52</v>
      </c>
    </row>
    <row r="59" spans="1:22" s="716" customFormat="1" ht="12" customHeight="1">
      <c r="A59" s="696">
        <v>58</v>
      </c>
      <c r="B59" s="708">
        <f t="shared" ca="1" si="15"/>
        <v>1</v>
      </c>
      <c r="C59" s="709">
        <f t="shared" ca="1" si="16"/>
        <v>3</v>
      </c>
      <c r="D59" s="710">
        <f t="shared" ca="1" si="17"/>
        <v>0</v>
      </c>
      <c r="E59" s="711">
        <f t="shared" ca="1" si="24"/>
        <v>4</v>
      </c>
      <c r="F59" s="709">
        <f t="shared" ca="1" si="24"/>
        <v>3</v>
      </c>
      <c r="G59" s="710">
        <f t="shared" ca="1" si="18"/>
        <v>1</v>
      </c>
      <c r="H59" s="711">
        <f t="shared" ca="1" si="19"/>
        <v>1</v>
      </c>
      <c r="I59" s="709">
        <f t="shared" ca="1" si="20"/>
        <v>1</v>
      </c>
      <c r="J59" s="712">
        <f t="shared" ca="1" si="21"/>
        <v>0</v>
      </c>
      <c r="K59" s="713">
        <f t="shared" ca="1" si="22"/>
        <v>4</v>
      </c>
      <c r="L59" s="717">
        <f t="shared" ca="1" si="26"/>
        <v>55</v>
      </c>
      <c r="M59" s="718">
        <f t="shared" ca="1" si="26"/>
        <v>3</v>
      </c>
      <c r="N59" s="718">
        <f t="shared" ca="1" si="26"/>
        <v>77</v>
      </c>
      <c r="O59" s="718">
        <f t="shared" ca="1" si="26"/>
        <v>14</v>
      </c>
      <c r="P59" s="718">
        <f t="shared" ca="1" si="26"/>
        <v>15</v>
      </c>
      <c r="Q59" s="718">
        <f t="shared" ca="1" si="26"/>
        <v>13</v>
      </c>
      <c r="R59" s="718">
        <f t="shared" ca="1" si="26"/>
        <v>99</v>
      </c>
      <c r="S59" s="718">
        <f t="shared" ca="1" si="26"/>
        <v>74</v>
      </c>
      <c r="T59" s="718">
        <f t="shared" ca="1" si="26"/>
        <v>84</v>
      </c>
      <c r="U59" s="718">
        <f t="shared" ca="1" si="26"/>
        <v>61</v>
      </c>
      <c r="V59" s="710">
        <f t="shared" ca="1" si="23"/>
        <v>17</v>
      </c>
    </row>
    <row r="60" spans="1:22" s="716" customFormat="1" ht="12" customHeight="1">
      <c r="A60" s="696">
        <v>59</v>
      </c>
      <c r="B60" s="708">
        <f t="shared" ca="1" si="15"/>
        <v>1</v>
      </c>
      <c r="C60" s="709">
        <f t="shared" ca="1" si="16"/>
        <v>4</v>
      </c>
      <c r="D60" s="710">
        <f t="shared" ca="1" si="17"/>
        <v>1</v>
      </c>
      <c r="E60" s="711">
        <f t="shared" ca="1" si="24"/>
        <v>3</v>
      </c>
      <c r="F60" s="709">
        <f t="shared" ca="1" si="24"/>
        <v>7</v>
      </c>
      <c r="G60" s="710">
        <f t="shared" ca="1" si="18"/>
        <v>1</v>
      </c>
      <c r="H60" s="711">
        <f t="shared" ca="1" si="19"/>
        <v>1</v>
      </c>
      <c r="I60" s="709">
        <f t="shared" ca="1" si="20"/>
        <v>2</v>
      </c>
      <c r="J60" s="712">
        <f t="shared" ca="1" si="21"/>
        <v>-1</v>
      </c>
      <c r="K60" s="713">
        <f t="shared" ca="1" si="22"/>
        <v>8</v>
      </c>
      <c r="L60" s="717">
        <f t="shared" ca="1" si="26"/>
        <v>21</v>
      </c>
      <c r="M60" s="718">
        <f t="shared" ca="1" si="26"/>
        <v>65</v>
      </c>
      <c r="N60" s="718">
        <f t="shared" ca="1" si="26"/>
        <v>77</v>
      </c>
      <c r="O60" s="718">
        <f t="shared" ca="1" si="26"/>
        <v>1</v>
      </c>
      <c r="P60" s="718">
        <f t="shared" ca="1" si="26"/>
        <v>63</v>
      </c>
      <c r="Q60" s="718">
        <f t="shared" ca="1" si="26"/>
        <v>38</v>
      </c>
      <c r="R60" s="718">
        <f t="shared" ca="1" si="26"/>
        <v>35</v>
      </c>
      <c r="S60" s="718">
        <f t="shared" ca="1" si="26"/>
        <v>30</v>
      </c>
      <c r="T60" s="718">
        <f t="shared" ca="1" si="26"/>
        <v>15</v>
      </c>
      <c r="U60" s="718">
        <f t="shared" ca="1" si="26"/>
        <v>86</v>
      </c>
      <c r="V60" s="710">
        <f t="shared" ca="1" si="23"/>
        <v>22</v>
      </c>
    </row>
    <row r="61" spans="1:22" s="727" customFormat="1" ht="12" customHeight="1" thickBot="1">
      <c r="A61" s="719">
        <v>60</v>
      </c>
      <c r="B61" s="728">
        <f t="shared" ca="1" si="15"/>
        <v>1</v>
      </c>
      <c r="C61" s="729">
        <f t="shared" ca="1" si="16"/>
        <v>1</v>
      </c>
      <c r="D61" s="730">
        <f t="shared" ca="1" si="17"/>
        <v>2</v>
      </c>
      <c r="E61" s="731">
        <f t="shared" ca="1" si="24"/>
        <v>2</v>
      </c>
      <c r="F61" s="729">
        <f t="shared" ca="1" si="24"/>
        <v>5</v>
      </c>
      <c r="G61" s="730">
        <f t="shared" ca="1" si="18"/>
        <v>-4</v>
      </c>
      <c r="H61" s="731">
        <f t="shared" ca="1" si="19"/>
        <v>1</v>
      </c>
      <c r="I61" s="729">
        <f t="shared" ca="1" si="20"/>
        <v>2</v>
      </c>
      <c r="J61" s="732">
        <f t="shared" ca="1" si="21"/>
        <v>-1</v>
      </c>
      <c r="K61" s="731">
        <f t="shared" ca="1" si="22"/>
        <v>16</v>
      </c>
      <c r="L61" s="725">
        <f t="shared" ca="1" si="26"/>
        <v>57</v>
      </c>
      <c r="M61" s="726">
        <f t="shared" ca="1" si="26"/>
        <v>71</v>
      </c>
      <c r="N61" s="726">
        <f t="shared" ca="1" si="26"/>
        <v>78</v>
      </c>
      <c r="O61" s="726">
        <f t="shared" ca="1" si="26"/>
        <v>94</v>
      </c>
      <c r="P61" s="726">
        <f t="shared" ca="1" si="26"/>
        <v>60</v>
      </c>
      <c r="Q61" s="726">
        <f t="shared" ca="1" si="26"/>
        <v>39</v>
      </c>
      <c r="R61" s="726">
        <f t="shared" ca="1" si="26"/>
        <v>68</v>
      </c>
      <c r="S61" s="726">
        <f t="shared" ca="1" si="26"/>
        <v>55</v>
      </c>
      <c r="T61" s="726">
        <f t="shared" ca="1" si="26"/>
        <v>79</v>
      </c>
      <c r="U61" s="726">
        <f t="shared" ca="1" si="26"/>
        <v>20</v>
      </c>
      <c r="V61" s="730">
        <f t="shared" ca="1" si="23"/>
        <v>54</v>
      </c>
    </row>
  </sheetData>
  <pageMargins left="0.23622047244094491" right="0.23622047244094491" top="0.15748031496062992" bottom="0.15748031496062992" header="0.31496062992125984" footer="0.31496062992125984"/>
  <pageSetup paperSize="9" orientation="portrait" r:id="rId1"/>
  <headerFooter alignWithMargins="0">
    <oddFooter>&amp;C_x000D_&amp;1#&amp;"Arial"&amp;9&amp;K000000 Internal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D1" sqref="D1"/>
    </sheetView>
  </sheetViews>
  <sheetFormatPr baseColWidth="10" defaultColWidth="9.109375" defaultRowHeight="14.4"/>
  <cols>
    <col min="1" max="1" width="12.5546875" bestFit="1" customWidth="1"/>
    <col min="2" max="10" width="10.88671875" customWidth="1"/>
  </cols>
  <sheetData>
    <row r="1" spans="1:10" ht="15" thickBot="1">
      <c r="C1" s="130" t="str">
        <f ca="1">"m-"&amp;LOOKUP(RANDBETWEEN(1,100),dé100,déNOM)</f>
        <v>m-B</v>
      </c>
      <c r="D1" s="509">
        <f ca="1">LOOKUP(RANDBETWEEN(1,100),dé100,déAGE)</f>
        <v>40</v>
      </c>
      <c r="E1" s="508" t="str">
        <f ca="1">IF(RANDBETWEEN(1,100)&lt;D1/2,"+"&amp;LOOKUP(RANDBETWEEN(1,10),dé10,déMort)," ")</f>
        <v xml:space="preserve"> </v>
      </c>
      <c r="F1" s="125" t="str">
        <f ca="1">"f-"&amp;LOOKUP(RANDBETWEEN(1,100),dé100,déNOM)</f>
        <v>f-L</v>
      </c>
      <c r="G1" s="120">
        <f ca="1">D1+RANDBETWEEN(0,10)-RANDBETWEEN(0,10)</f>
        <v>31</v>
      </c>
      <c r="H1" s="507" t="str">
        <f ca="1">IF(RANDBETWEEN(1,100)&lt;G1/2,"+"&amp;LOOKUP(RANDBETWEEN(1,10),dé10,déMort)," ")</f>
        <v>+acc voyage</v>
      </c>
      <c r="I1" s="506" t="s">
        <v>1134</v>
      </c>
      <c r="J1" s="505">
        <f ca="1">LOOKUP(RANDBETWEEN(1,100),dé100,déNS)</f>
        <v>7</v>
      </c>
    </row>
    <row r="2" spans="1:10" ht="15" hidden="1" thickBot="1"/>
    <row r="3" spans="1:10" ht="15" hidden="1" thickBot="1"/>
    <row r="4" spans="1:10">
      <c r="A4" s="261" t="s">
        <v>1898</v>
      </c>
      <c r="B4" s="504">
        <f ca="1">IF(MIN(ageX:ageY)&gt;15,ROUND(MIN(LOOKUP(RANDBETWEEN(1,100),dé100,déEnfant)-1,(D1-15)/4),0),0)</f>
        <v>4</v>
      </c>
      <c r="C4" s="503">
        <f ca="1">IF(C7&lt;=nEnfants,RANDBETWEEN(0,MIN(ageX:ageY)-15)," ")</f>
        <v>16</v>
      </c>
      <c r="D4" s="503">
        <f ca="1">IF(D7&lt;=nEnfants,RANDBETWEEN(0,MIN(ageX:ageY)-15)," ")</f>
        <v>5</v>
      </c>
      <c r="E4" s="503">
        <f ca="1">IF(E7&lt;=nEnfants,RANDBETWEEN(0,MIN(ageX:ageY)-15)," ")</f>
        <v>3</v>
      </c>
      <c r="F4" s="503">
        <f ca="1">IF(F7&lt;=nEnfants,RANDBETWEEN(0,MIN(ageX:ageY)-15)," ")</f>
        <v>5</v>
      </c>
      <c r="G4" s="503" t="str">
        <f ca="1">IF(G7&lt;=nEnfants,RANDBETWEEN(0,MIN(ageX:ageY)-15)," ")</f>
        <v xml:space="preserve"> </v>
      </c>
      <c r="H4" s="503" t="str">
        <f ca="1">IF(H7&lt;=nEnfants,RANDBETWEEN(0,MIN(ageX:ageY)-15)," ")</f>
        <v xml:space="preserve"> </v>
      </c>
      <c r="I4" s="503" t="str">
        <f ca="1">IF(I7&lt;=nEnfants,RANDBETWEEN(0,MIN(ageX:ageY)-15)," ")</f>
        <v xml:space="preserve"> </v>
      </c>
      <c r="J4" s="503" t="str">
        <f ca="1">IF(J7&lt;=nEnfants,RANDBETWEEN(0,MIN(ageX:ageY)-15)," ")</f>
        <v xml:space="preserve"> </v>
      </c>
    </row>
    <row r="5" spans="1:10">
      <c r="B5" s="110" t="s">
        <v>1892</v>
      </c>
      <c r="C5" s="128" t="str">
        <f t="shared" ref="C5:J5" ca="1" si="0">IF(C4&lt;&gt;" ",IF(RANDBETWEEN(1,2)=1,"m-","f-")&amp;LOOKUP(RANDBETWEEN(1,100),dé100,déNOM)," ")</f>
        <v>m-G</v>
      </c>
      <c r="D5" t="str">
        <f t="shared" ca="1" si="0"/>
        <v>f-H</v>
      </c>
      <c r="E5" t="str">
        <f t="shared" ca="1" si="0"/>
        <v>f-N</v>
      </c>
      <c r="F5" t="str">
        <f t="shared" ca="1" si="0"/>
        <v>m-N</v>
      </c>
      <c r="G5" t="str">
        <f t="shared" ca="1" si="0"/>
        <v xml:space="preserve"> </v>
      </c>
      <c r="H5" t="str">
        <f t="shared" ca="1" si="0"/>
        <v xml:space="preserve"> </v>
      </c>
      <c r="I5" t="str">
        <f t="shared" ca="1" si="0"/>
        <v xml:space="preserve"> </v>
      </c>
      <c r="J5" s="127" t="str">
        <f t="shared" ca="1" si="0"/>
        <v xml:space="preserve"> </v>
      </c>
    </row>
    <row r="6" spans="1:10" ht="15" thickBot="1">
      <c r="B6" s="110" t="s">
        <v>1891</v>
      </c>
      <c r="C6" s="125" t="str">
        <f t="shared" ref="C6:J6" ca="1" si="1">IF(C4&lt;&gt;" ",     IF(RANDBETWEEN(1,100)&lt;C4,"parti", IF(RANDBETWEEN(1,100)&lt;C4/2,"+"&amp;LOOKUP(RANDBETWEEN(1,10),dé10,déMort)," "))," ")</f>
        <v xml:space="preserve"> </v>
      </c>
      <c r="D6" s="121" t="str">
        <f t="shared" ca="1" si="1"/>
        <v xml:space="preserve"> </v>
      </c>
      <c r="E6" s="121" t="str">
        <f t="shared" ca="1" si="1"/>
        <v xml:space="preserve"> </v>
      </c>
      <c r="F6" s="121" t="str">
        <f t="shared" ca="1" si="1"/>
        <v xml:space="preserve"> </v>
      </c>
      <c r="G6" s="121" t="str">
        <f t="shared" ca="1" si="1"/>
        <v xml:space="preserve"> </v>
      </c>
      <c r="H6" s="121" t="str">
        <f t="shared" ca="1" si="1"/>
        <v xml:space="preserve"> </v>
      </c>
      <c r="I6" s="121" t="str">
        <f t="shared" ca="1" si="1"/>
        <v xml:space="preserve"> </v>
      </c>
      <c r="J6" s="124" t="str">
        <f t="shared" ca="1" si="1"/>
        <v xml:space="preserve"> </v>
      </c>
    </row>
    <row r="7" spans="1:10" ht="15" hidden="1" thickBot="1">
      <c r="C7" s="110">
        <v>1</v>
      </c>
      <c r="D7" s="110">
        <v>2</v>
      </c>
      <c r="E7" s="110">
        <v>3</v>
      </c>
      <c r="F7" s="110">
        <v>4</v>
      </c>
      <c r="G7" s="110">
        <v>5</v>
      </c>
      <c r="H7" s="110">
        <v>6</v>
      </c>
      <c r="I7" s="110">
        <v>7</v>
      </c>
      <c r="J7" s="110">
        <v>8</v>
      </c>
    </row>
    <row r="8" spans="1:10" ht="15" thickBot="1">
      <c r="B8" s="502" t="s">
        <v>1897</v>
      </c>
      <c r="C8" s="501" t="str">
        <f t="shared" ref="C8:J8" ca="1" si="2">IF(AND(C6=" ",C4&lt;&gt;" ",C4&gt;15),IF(RANDBETWEEN(1,100)&lt;(C4-15),"petits"," ")," ")</f>
        <v xml:space="preserve"> </v>
      </c>
      <c r="D8" s="500" t="str">
        <f t="shared" ca="1" si="2"/>
        <v xml:space="preserve"> </v>
      </c>
      <c r="E8" s="500" t="str">
        <f t="shared" ca="1" si="2"/>
        <v xml:space="preserve"> </v>
      </c>
      <c r="F8" s="500" t="str">
        <f t="shared" ca="1" si="2"/>
        <v xml:space="preserve"> </v>
      </c>
      <c r="G8" s="500" t="str">
        <f t="shared" ca="1" si="2"/>
        <v xml:space="preserve"> </v>
      </c>
      <c r="H8" s="500" t="str">
        <f t="shared" ca="1" si="2"/>
        <v xml:space="preserve"> </v>
      </c>
      <c r="I8" s="500" t="str">
        <f t="shared" ca="1" si="2"/>
        <v xml:space="preserve"> </v>
      </c>
      <c r="J8" s="499" t="str">
        <f t="shared" ca="1" si="2"/>
        <v xml:space="preserve"> </v>
      </c>
    </row>
    <row r="9" spans="1:10" ht="15" thickBot="1">
      <c r="B9" s="498" t="s">
        <v>1896</v>
      </c>
      <c r="C9" s="497" t="s">
        <v>1895</v>
      </c>
      <c r="D9" s="496">
        <f ca="1">D1+15+RANDBETWEEN(1,15)</f>
        <v>70</v>
      </c>
      <c r="E9" s="495" t="str">
        <f ca="1">IF(RANDBETWEEN(1,100)&lt;D9,"+"&amp;LOOKUP(RANDBETWEEN(1,10),dé10,déMort)," ")</f>
        <v xml:space="preserve"> </v>
      </c>
      <c r="F9" s="497" t="s">
        <v>1894</v>
      </c>
      <c r="G9" s="496">
        <f ca="1">D1+15+RANDBETWEEN(1,15)</f>
        <v>66</v>
      </c>
      <c r="H9" s="495" t="str">
        <f ca="1">IF(RANDBETWEEN(1,100)&lt;G9,"+"&amp;LOOKUP(RANDBETWEEN(1,10),dé10,déMort)," ")</f>
        <v>+acc maison</v>
      </c>
      <c r="I9" s="494"/>
      <c r="J9" s="494"/>
    </row>
    <row r="10" spans="1:10">
      <c r="A10" t="s">
        <v>1893</v>
      </c>
      <c r="B10" s="110">
        <f ca="1">ROUND(MIN(LOOKUP(RANDBETWEEN(1,100),dé100,déEnfant)-1,(D1-15)/4)/2,0)</f>
        <v>1</v>
      </c>
      <c r="C10" s="493">
        <f ca="1">IF(C7&lt;=nbTanteOncle,ROUND(RANDBETWEEN(0,10)-RANDBETWEEN(0,10)+AVERAGE(agePx:ageMx),0)," ")</f>
        <v>69</v>
      </c>
      <c r="D10" s="493" t="str">
        <f ca="1">IF(D7&lt;=nbTanteOncle,ROUND(RANDBETWEEN(0,10)-RANDBETWEEN(0,10)+AVERAGE(agePx:ageMx),0)," ")</f>
        <v xml:space="preserve"> </v>
      </c>
      <c r="E10" s="493" t="str">
        <f ca="1">IF(E7&lt;=nbTanteOncle,ROUND(RANDBETWEEN(0,10)-RANDBETWEEN(0,10)+AVERAGE(agePx:ageMx),0)," ")</f>
        <v xml:space="preserve"> </v>
      </c>
      <c r="F10" s="493" t="str">
        <f ca="1">IF(F7&lt;=nbTanteOncle,ROUND(RANDBETWEEN(0,10)-RANDBETWEEN(0,10)+AVERAGE(agePx:ageMx),0)," ")</f>
        <v xml:space="preserve"> </v>
      </c>
      <c r="G10" s="493" t="str">
        <f ca="1">IF(G7&lt;=nbTanteOncle,ROUND(RANDBETWEEN(0,10)-RANDBETWEEN(0,10)+AVERAGE(agePx:ageMx),0)," ")</f>
        <v xml:space="preserve"> </v>
      </c>
      <c r="H10" s="493" t="str">
        <f ca="1">IF(H7&lt;=nbTanteOncle,ROUND(RANDBETWEEN(0,10)-RANDBETWEEN(0,10)+AVERAGE(agePx:ageMx),0)," ")</f>
        <v xml:space="preserve"> </v>
      </c>
      <c r="I10" s="493" t="str">
        <f ca="1">IF(I7&lt;=nbTanteOncle,ROUND(RANDBETWEEN(0,10)-RANDBETWEEN(0,10)+AVERAGE(agePx:ageMx),0)," ")</f>
        <v xml:space="preserve"> </v>
      </c>
      <c r="J10" s="493" t="str">
        <f ca="1">IF(J7&lt;=nbTanteOncle,ROUND(RANDBETWEEN(0,10)-RANDBETWEEN(0,10)+AVERAGE(agePx:ageMx),0)," ")</f>
        <v xml:space="preserve"> </v>
      </c>
    </row>
    <row r="11" spans="1:10">
      <c r="B11" s="110" t="s">
        <v>1892</v>
      </c>
      <c r="C11" s="128" t="str">
        <f t="shared" ref="C11:J11" ca="1" si="3">IF(C10&lt;&gt;" ",IF(RANDBETWEEN(1,2)=1,"m-","f-")&amp;LOOKUP(RANDBETWEEN(1,100),dé100,déNOM)," ")</f>
        <v>f-T</v>
      </c>
      <c r="D11" t="str">
        <f t="shared" ca="1" si="3"/>
        <v xml:space="preserve"> </v>
      </c>
      <c r="E11" t="str">
        <f t="shared" ca="1" si="3"/>
        <v xml:space="preserve"> </v>
      </c>
      <c r="F11" t="str">
        <f t="shared" ca="1" si="3"/>
        <v xml:space="preserve"> </v>
      </c>
      <c r="G11" t="str">
        <f t="shared" ca="1" si="3"/>
        <v xml:space="preserve"> </v>
      </c>
      <c r="H11" t="str">
        <f t="shared" ca="1" si="3"/>
        <v xml:space="preserve"> </v>
      </c>
      <c r="I11" t="str">
        <f t="shared" ca="1" si="3"/>
        <v xml:space="preserve"> </v>
      </c>
      <c r="J11" s="127" t="str">
        <f t="shared" ca="1" si="3"/>
        <v xml:space="preserve"> </v>
      </c>
    </row>
    <row r="12" spans="1:10" ht="15" thickBot="1">
      <c r="B12" s="110" t="s">
        <v>1891</v>
      </c>
      <c r="C12" s="125" t="str">
        <f t="shared" ref="C12:J12" ca="1" si="4">IF(C10&lt;&gt;" ",     IF(RANDBETWEEN(1,100)&lt;C10,"parti", IF(RANDBETWEEN(1,100)&lt;C10/2,"+"&amp;LOOKUP(RANDBETWEEN(1,10),dé10,déMort)," "))," ")</f>
        <v>parti</v>
      </c>
      <c r="D12" s="125" t="str">
        <f t="shared" ca="1" si="4"/>
        <v xml:space="preserve"> </v>
      </c>
      <c r="E12" s="125" t="str">
        <f t="shared" ca="1" si="4"/>
        <v xml:space="preserve"> </v>
      </c>
      <c r="F12" s="125" t="str">
        <f t="shared" ca="1" si="4"/>
        <v xml:space="preserve"> </v>
      </c>
      <c r="G12" s="125" t="str">
        <f t="shared" ca="1" si="4"/>
        <v xml:space="preserve"> </v>
      </c>
      <c r="H12" s="125" t="str">
        <f t="shared" ca="1" si="4"/>
        <v xml:space="preserve"> </v>
      </c>
      <c r="I12" s="125" t="str">
        <f t="shared" ca="1" si="4"/>
        <v xml:space="preserve"> </v>
      </c>
      <c r="J12" s="125" t="str">
        <f t="shared" ca="1" si="4"/>
        <v xml:space="preserve"> </v>
      </c>
    </row>
    <row r="13" spans="1:10" ht="15" thickBot="1">
      <c r="B13" s="492" t="s">
        <v>1890</v>
      </c>
      <c r="C13" s="491" t="str">
        <f ca="1">"m-"&amp;LOOKUP(RANDBETWEEN(1,100),dé100,déNOM)</f>
        <v>m-C</v>
      </c>
      <c r="D13" s="490">
        <f ca="1">D9+15+RANDBETWEEN(1,15)</f>
        <v>94</v>
      </c>
      <c r="E13" s="489" t="str">
        <f ca="1">IF(RANDBETWEEN(1,100)&lt;D13,"+"&amp;LOOKUP(RANDBETWEEN(1,10),dé10,déMort)," ")</f>
        <v xml:space="preserve"> </v>
      </c>
      <c r="F13" s="488" t="str">
        <f ca="1">"f-"&amp;LOOKUP(RANDBETWEEN(1,100),dé100,déNOM)</f>
        <v>f-R</v>
      </c>
      <c r="G13" s="487">
        <f ca="1">D9+15+RANDBETWEEN(1,15)</f>
        <v>94</v>
      </c>
      <c r="H13" s="486" t="str">
        <f ca="1">IF(RANDBETWEEN(1,100)&lt;G13,"+"&amp;LOOKUP(RANDBETWEEN(1,10),dé10,déMort)," ")</f>
        <v>+acc voyage</v>
      </c>
    </row>
    <row r="16" spans="1:10">
      <c r="B16" s="110"/>
    </row>
  </sheetData>
  <pageMargins left="0.7" right="0.7" top="0.75" bottom="0.75" header="0.3" footer="0.3"/>
  <pageSetup paperSize="9" orientation="portrait" horizontalDpi="300" verticalDpi="300" r:id="rId1"/>
  <headerFooter>
    <oddFooter>&amp;C_x000D_&amp;1#&amp;"Arial"&amp;9&amp;K000000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50"/>
  <sheetViews>
    <sheetView topLeftCell="A102" zoomScale="130" zoomScaleNormal="130" workbookViewId="0">
      <selection activeCell="B106" sqref="B106"/>
    </sheetView>
  </sheetViews>
  <sheetFormatPr baseColWidth="10" defaultColWidth="9.109375" defaultRowHeight="10.199999999999999"/>
  <cols>
    <col min="1" max="1" width="9.109375" style="78"/>
    <col min="2" max="2" width="12.6640625" style="78" customWidth="1"/>
    <col min="3" max="3" width="12.33203125" style="78" customWidth="1"/>
    <col min="4" max="13" width="11.109375" style="78" customWidth="1"/>
    <col min="14" max="16384" width="9.109375" style="78"/>
  </cols>
  <sheetData>
    <row r="1" spans="1:17" ht="10.8" hidden="1" thickBot="1">
      <c r="A1" s="187">
        <v>1</v>
      </c>
      <c r="B1" s="187">
        <v>15</v>
      </c>
      <c r="C1" s="187" t="s">
        <v>677</v>
      </c>
      <c r="D1" s="187">
        <v>1</v>
      </c>
      <c r="E1" s="187">
        <v>0</v>
      </c>
      <c r="F1" s="187" t="s">
        <v>1886</v>
      </c>
      <c r="G1" s="187" t="s">
        <v>604</v>
      </c>
      <c r="H1" s="187" t="s">
        <v>1889</v>
      </c>
      <c r="I1" s="187" t="s">
        <v>1691</v>
      </c>
      <c r="J1" s="480" t="s">
        <v>1823</v>
      </c>
      <c r="K1" s="187" t="s">
        <v>1828</v>
      </c>
      <c r="L1" s="187">
        <v>0</v>
      </c>
      <c r="M1" s="485" t="s">
        <v>1876</v>
      </c>
      <c r="N1" s="78" t="s">
        <v>1864</v>
      </c>
      <c r="O1" s="475" t="s">
        <v>1863</v>
      </c>
      <c r="P1" s="475" t="s">
        <v>1862</v>
      </c>
      <c r="Q1" s="78">
        <v>0</v>
      </c>
    </row>
    <row r="2" spans="1:17" ht="10.8" hidden="1" thickBot="1">
      <c r="A2" s="187">
        <v>2</v>
      </c>
      <c r="B2" s="187">
        <v>20</v>
      </c>
      <c r="C2" s="187" t="s">
        <v>718</v>
      </c>
      <c r="D2" s="187">
        <v>1</v>
      </c>
      <c r="E2" s="187">
        <v>1</v>
      </c>
      <c r="F2" s="187" t="s">
        <v>1886</v>
      </c>
      <c r="G2" s="187" t="s">
        <v>28</v>
      </c>
      <c r="H2" s="187" t="s">
        <v>68</v>
      </c>
      <c r="I2" s="187" t="s">
        <v>1844</v>
      </c>
      <c r="J2" s="480" t="s">
        <v>1821</v>
      </c>
      <c r="K2" s="187" t="s">
        <v>1828</v>
      </c>
      <c r="L2" s="187">
        <v>0</v>
      </c>
      <c r="M2" s="485" t="s">
        <v>1872</v>
      </c>
      <c r="N2" s="78" t="s">
        <v>1864</v>
      </c>
      <c r="O2" s="482" t="s">
        <v>1861</v>
      </c>
      <c r="P2" s="475" t="s">
        <v>1860</v>
      </c>
      <c r="Q2" s="78">
        <v>0</v>
      </c>
    </row>
    <row r="3" spans="1:17" ht="10.8" hidden="1" thickBot="1">
      <c r="A3" s="187">
        <v>3</v>
      </c>
      <c r="B3" s="187">
        <v>20</v>
      </c>
      <c r="C3" s="187" t="s">
        <v>703</v>
      </c>
      <c r="D3" s="187">
        <v>1</v>
      </c>
      <c r="E3" s="187">
        <v>1</v>
      </c>
      <c r="F3" s="187" t="s">
        <v>1886</v>
      </c>
      <c r="G3" s="187" t="s">
        <v>1888</v>
      </c>
      <c r="H3" s="187" t="s">
        <v>68</v>
      </c>
      <c r="I3" s="187" t="s">
        <v>1866</v>
      </c>
      <c r="J3" s="480" t="s">
        <v>1819</v>
      </c>
      <c r="K3" s="187" t="s">
        <v>1828</v>
      </c>
      <c r="L3" s="187">
        <v>0</v>
      </c>
      <c r="M3" s="485" t="s">
        <v>1887</v>
      </c>
      <c r="N3" s="78" t="s">
        <v>1864</v>
      </c>
      <c r="O3" s="483" t="s">
        <v>1859</v>
      </c>
      <c r="P3" s="475" t="s">
        <v>1858</v>
      </c>
      <c r="Q3" s="78">
        <v>0</v>
      </c>
    </row>
    <row r="4" spans="1:17" ht="10.8" hidden="1" thickBot="1">
      <c r="A4" s="187">
        <v>4</v>
      </c>
      <c r="B4" s="187">
        <v>25</v>
      </c>
      <c r="C4" s="187" t="s">
        <v>705</v>
      </c>
      <c r="D4" s="187">
        <v>1</v>
      </c>
      <c r="E4" s="187">
        <v>2</v>
      </c>
      <c r="F4" s="187" t="s">
        <v>1886</v>
      </c>
      <c r="G4" s="187" t="s">
        <v>1874</v>
      </c>
      <c r="H4" s="187" t="s">
        <v>68</v>
      </c>
      <c r="I4" s="187" t="s">
        <v>1865</v>
      </c>
      <c r="J4" s="480" t="s">
        <v>1817</v>
      </c>
      <c r="K4" s="187" t="s">
        <v>1828</v>
      </c>
      <c r="L4" s="187">
        <v>0</v>
      </c>
      <c r="M4" s="187" t="s">
        <v>1885</v>
      </c>
      <c r="N4" s="78" t="s">
        <v>1864</v>
      </c>
      <c r="O4" s="482" t="s">
        <v>1857</v>
      </c>
      <c r="P4" s="475" t="s">
        <v>1856</v>
      </c>
      <c r="Q4" s="78">
        <v>0</v>
      </c>
    </row>
    <row r="5" spans="1:17" ht="10.8" hidden="1" thickBot="1">
      <c r="A5" s="187">
        <v>5</v>
      </c>
      <c r="B5" s="187">
        <v>25</v>
      </c>
      <c r="C5" s="187" t="s">
        <v>681</v>
      </c>
      <c r="D5" s="187">
        <v>1</v>
      </c>
      <c r="E5" s="187">
        <v>2</v>
      </c>
      <c r="F5" s="187" t="s">
        <v>1880</v>
      </c>
      <c r="G5" s="187" t="s">
        <v>1884</v>
      </c>
      <c r="H5" s="187" t="s">
        <v>68</v>
      </c>
      <c r="I5" s="187" t="s">
        <v>1696</v>
      </c>
      <c r="J5" s="480" t="s">
        <v>1815</v>
      </c>
      <c r="K5" s="187" t="s">
        <v>1828</v>
      </c>
      <c r="L5" s="187">
        <v>0</v>
      </c>
      <c r="M5" s="187" t="s">
        <v>1870</v>
      </c>
      <c r="N5" s="78" t="s">
        <v>1864</v>
      </c>
      <c r="O5" s="483" t="s">
        <v>1855</v>
      </c>
      <c r="P5" s="475" t="s">
        <v>1854</v>
      </c>
      <c r="Q5" s="78">
        <v>1</v>
      </c>
    </row>
    <row r="6" spans="1:17" ht="21" hidden="1" thickBot="1">
      <c r="A6" s="187">
        <v>6</v>
      </c>
      <c r="B6" s="187">
        <v>25</v>
      </c>
      <c r="C6" s="187" t="s">
        <v>707</v>
      </c>
      <c r="D6" s="187">
        <v>1</v>
      </c>
      <c r="E6" s="187">
        <v>2</v>
      </c>
      <c r="F6" s="187" t="s">
        <v>1880</v>
      </c>
      <c r="G6" s="187" t="s">
        <v>1883</v>
      </c>
      <c r="H6" s="187" t="s">
        <v>68</v>
      </c>
      <c r="I6" s="187" t="s">
        <v>1882</v>
      </c>
      <c r="J6" s="480" t="s">
        <v>1812</v>
      </c>
      <c r="K6" s="187" t="s">
        <v>1828</v>
      </c>
      <c r="L6" s="187">
        <v>1</v>
      </c>
      <c r="M6" s="485" t="s">
        <v>1881</v>
      </c>
      <c r="N6" s="78" t="s">
        <v>1864</v>
      </c>
      <c r="O6" s="482" t="s">
        <v>1853</v>
      </c>
      <c r="P6" s="475" t="s">
        <v>1852</v>
      </c>
      <c r="Q6" s="78">
        <v>1</v>
      </c>
    </row>
    <row r="7" spans="1:17" ht="10.8" hidden="1" thickBot="1">
      <c r="A7" s="187">
        <v>7</v>
      </c>
      <c r="B7" s="187">
        <v>30</v>
      </c>
      <c r="C7" s="187" t="s">
        <v>929</v>
      </c>
      <c r="D7" s="187">
        <v>1</v>
      </c>
      <c r="E7" s="187">
        <v>3</v>
      </c>
      <c r="F7" s="187" t="s">
        <v>1880</v>
      </c>
      <c r="G7" s="187" t="s">
        <v>1879</v>
      </c>
      <c r="H7" s="187" t="s">
        <v>68</v>
      </c>
      <c r="I7" s="187" t="s">
        <v>1715</v>
      </c>
      <c r="J7" s="480" t="s">
        <v>1810</v>
      </c>
      <c r="K7" s="187" t="s">
        <v>1828</v>
      </c>
      <c r="L7" s="187">
        <v>1</v>
      </c>
      <c r="M7" s="187" t="s">
        <v>1878</v>
      </c>
      <c r="N7" s="78" t="s">
        <v>1864</v>
      </c>
      <c r="O7" s="483" t="s">
        <v>1851</v>
      </c>
      <c r="P7" s="475" t="s">
        <v>1850</v>
      </c>
      <c r="Q7" s="78">
        <v>1</v>
      </c>
    </row>
    <row r="8" spans="1:17" ht="10.8" hidden="1" thickBot="1">
      <c r="A8" s="187">
        <v>8</v>
      </c>
      <c r="B8" s="187">
        <v>30</v>
      </c>
      <c r="C8" s="187" t="s">
        <v>935</v>
      </c>
      <c r="D8" s="187">
        <v>1</v>
      </c>
      <c r="E8" s="187">
        <v>3</v>
      </c>
      <c r="F8" s="187" t="s">
        <v>1875</v>
      </c>
      <c r="G8" s="187" t="s">
        <v>1877</v>
      </c>
      <c r="H8" s="187" t="s">
        <v>68</v>
      </c>
      <c r="I8" s="187" t="s">
        <v>1842</v>
      </c>
      <c r="J8" s="480" t="s">
        <v>1808</v>
      </c>
      <c r="K8" s="187" t="s">
        <v>1828</v>
      </c>
      <c r="L8" s="187">
        <v>1</v>
      </c>
      <c r="M8" s="485" t="s">
        <v>1876</v>
      </c>
      <c r="N8" s="78" t="s">
        <v>1864</v>
      </c>
      <c r="O8" s="482" t="s">
        <v>1848</v>
      </c>
      <c r="P8" s="475" t="s">
        <v>1849</v>
      </c>
      <c r="Q8" s="78">
        <v>2</v>
      </c>
    </row>
    <row r="9" spans="1:17" ht="10.8" hidden="1" thickBot="1">
      <c r="A9" s="187">
        <v>9</v>
      </c>
      <c r="B9" s="187">
        <v>30</v>
      </c>
      <c r="C9" s="187" t="s">
        <v>684</v>
      </c>
      <c r="D9" s="187">
        <v>1</v>
      </c>
      <c r="E9" s="187">
        <v>3</v>
      </c>
      <c r="F9" s="187" t="s">
        <v>1875</v>
      </c>
      <c r="G9" s="187" t="s">
        <v>1874</v>
      </c>
      <c r="H9" s="187" t="s">
        <v>1873</v>
      </c>
      <c r="I9" s="187" t="s">
        <v>1840</v>
      </c>
      <c r="J9" s="480" t="s">
        <v>1805</v>
      </c>
      <c r="K9" s="187" t="s">
        <v>1828</v>
      </c>
      <c r="L9" s="187">
        <v>1</v>
      </c>
      <c r="M9" s="485" t="s">
        <v>1872</v>
      </c>
      <c r="N9" s="78" t="s">
        <v>1864</v>
      </c>
      <c r="O9" s="483" t="s">
        <v>1848</v>
      </c>
      <c r="P9" s="475" t="s">
        <v>1847</v>
      </c>
      <c r="Q9" s="78">
        <v>2</v>
      </c>
    </row>
    <row r="10" spans="1:17" ht="10.8" hidden="1" thickBot="1">
      <c r="A10" s="477">
        <v>10</v>
      </c>
      <c r="B10" s="187">
        <v>30</v>
      </c>
      <c r="C10" s="187" t="s">
        <v>957</v>
      </c>
      <c r="D10" s="187">
        <v>1</v>
      </c>
      <c r="E10" s="187">
        <v>3</v>
      </c>
      <c r="F10" s="187" t="s">
        <v>649</v>
      </c>
      <c r="G10" s="187" t="s">
        <v>842</v>
      </c>
      <c r="H10" s="187" t="s">
        <v>1871</v>
      </c>
      <c r="I10" s="187" t="s">
        <v>1781</v>
      </c>
      <c r="J10" s="480" t="s">
        <v>1803</v>
      </c>
      <c r="K10" s="187" t="s">
        <v>1828</v>
      </c>
      <c r="L10" s="187">
        <v>1</v>
      </c>
      <c r="M10" s="187" t="s">
        <v>1870</v>
      </c>
      <c r="N10" s="78" t="s">
        <v>1864</v>
      </c>
      <c r="O10" s="482" t="s">
        <v>1846</v>
      </c>
      <c r="P10" s="475" t="s">
        <v>1845</v>
      </c>
      <c r="Q10" s="78">
        <v>3</v>
      </c>
    </row>
    <row r="11" spans="1:17" ht="10.8" hidden="1" thickBot="1">
      <c r="A11" s="187">
        <v>11</v>
      </c>
      <c r="B11" s="187">
        <v>30</v>
      </c>
      <c r="C11" s="187" t="s">
        <v>679</v>
      </c>
      <c r="D11" s="187">
        <v>2</v>
      </c>
      <c r="E11" s="187">
        <v>4</v>
      </c>
      <c r="F11" s="484" t="s">
        <v>1675</v>
      </c>
      <c r="G11" s="484" t="s">
        <v>1674</v>
      </c>
      <c r="H11" s="484" t="s">
        <v>1869</v>
      </c>
      <c r="I11" s="187" t="s">
        <v>1700</v>
      </c>
      <c r="J11" s="480" t="s">
        <v>1801</v>
      </c>
      <c r="K11" s="187" t="s">
        <v>1828</v>
      </c>
      <c r="L11" s="187">
        <v>1</v>
      </c>
      <c r="M11" s="206" t="s">
        <v>1868</v>
      </c>
      <c r="N11" s="78" t="s">
        <v>1864</v>
      </c>
      <c r="O11" s="475" t="s">
        <v>1863</v>
      </c>
      <c r="P11" s="475" t="s">
        <v>1862</v>
      </c>
      <c r="Q11" s="196" t="s">
        <v>1867</v>
      </c>
    </row>
    <row r="12" spans="1:17" ht="10.8" hidden="1" thickBot="1">
      <c r="A12" s="187">
        <v>12</v>
      </c>
      <c r="B12" s="187">
        <v>35</v>
      </c>
      <c r="C12" s="187" t="s">
        <v>987</v>
      </c>
      <c r="D12" s="187">
        <v>2</v>
      </c>
      <c r="E12" s="187">
        <v>4</v>
      </c>
      <c r="F12" s="187"/>
      <c r="G12" s="187"/>
      <c r="H12" s="187"/>
      <c r="I12" s="187" t="s">
        <v>1838</v>
      </c>
      <c r="J12" s="480" t="s">
        <v>1799</v>
      </c>
      <c r="K12" s="187" t="s">
        <v>1828</v>
      </c>
      <c r="L12" s="187">
        <v>1</v>
      </c>
      <c r="M12" s="187"/>
      <c r="N12" s="78" t="s">
        <v>1864</v>
      </c>
      <c r="O12" s="482" t="s">
        <v>1861</v>
      </c>
      <c r="P12" s="475" t="s">
        <v>1860</v>
      </c>
    </row>
    <row r="13" spans="1:17" ht="10.8" hidden="1" thickBot="1">
      <c r="A13" s="187">
        <v>13</v>
      </c>
      <c r="B13" s="187">
        <v>35</v>
      </c>
      <c r="C13" s="187" t="s">
        <v>995</v>
      </c>
      <c r="D13" s="187">
        <v>2</v>
      </c>
      <c r="E13" s="187">
        <v>4</v>
      </c>
      <c r="F13" s="187"/>
      <c r="G13" s="187"/>
      <c r="H13" s="187"/>
      <c r="I13" s="187" t="s">
        <v>1772</v>
      </c>
      <c r="J13" s="480" t="s">
        <v>1797</v>
      </c>
      <c r="K13" s="187" t="s">
        <v>1828</v>
      </c>
      <c r="L13" s="187">
        <v>1</v>
      </c>
      <c r="M13" s="187"/>
      <c r="N13" s="78" t="s">
        <v>1864</v>
      </c>
      <c r="O13" s="483" t="s">
        <v>1859</v>
      </c>
      <c r="P13" s="475" t="s">
        <v>1858</v>
      </c>
    </row>
    <row r="14" spans="1:17" ht="10.8" hidden="1" thickBot="1">
      <c r="A14" s="187">
        <v>14</v>
      </c>
      <c r="B14" s="187">
        <v>35</v>
      </c>
      <c r="C14" s="187" t="s">
        <v>719</v>
      </c>
      <c r="D14" s="187">
        <v>2</v>
      </c>
      <c r="E14" s="187">
        <v>4</v>
      </c>
      <c r="F14" s="187"/>
      <c r="G14" s="187"/>
      <c r="H14" s="187"/>
      <c r="I14" s="187" t="s">
        <v>1806</v>
      </c>
      <c r="J14" s="480" t="s">
        <v>1795</v>
      </c>
      <c r="K14" s="187" t="s">
        <v>1828</v>
      </c>
      <c r="L14" s="187">
        <v>1</v>
      </c>
      <c r="M14" s="187"/>
      <c r="N14" s="78" t="s">
        <v>1864</v>
      </c>
      <c r="O14" s="482" t="s">
        <v>1857</v>
      </c>
      <c r="P14" s="475" t="s">
        <v>1856</v>
      </c>
    </row>
    <row r="15" spans="1:17" ht="10.8" hidden="1" thickBot="1">
      <c r="A15" s="187">
        <v>15</v>
      </c>
      <c r="B15" s="187">
        <v>35</v>
      </c>
      <c r="C15" s="187" t="s">
        <v>680</v>
      </c>
      <c r="D15" s="187">
        <v>2</v>
      </c>
      <c r="E15" s="187">
        <v>4</v>
      </c>
      <c r="F15" s="187"/>
      <c r="G15" s="187"/>
      <c r="H15" s="187"/>
      <c r="I15" s="187" t="s">
        <v>1684</v>
      </c>
      <c r="J15" s="480" t="s">
        <v>1793</v>
      </c>
      <c r="K15" s="187" t="s">
        <v>1828</v>
      </c>
      <c r="L15" s="187">
        <v>1</v>
      </c>
      <c r="M15" s="187"/>
      <c r="N15" s="78" t="s">
        <v>1864</v>
      </c>
      <c r="O15" s="483" t="s">
        <v>1855</v>
      </c>
      <c r="P15" s="475" t="s">
        <v>1854</v>
      </c>
    </row>
    <row r="16" spans="1:17" ht="21" hidden="1" thickBot="1">
      <c r="A16" s="187">
        <v>16</v>
      </c>
      <c r="B16" s="187">
        <v>35</v>
      </c>
      <c r="C16" s="187" t="s">
        <v>1009</v>
      </c>
      <c r="D16" s="187">
        <v>2</v>
      </c>
      <c r="E16" s="187">
        <v>5</v>
      </c>
      <c r="F16" s="187"/>
      <c r="G16" s="187"/>
      <c r="H16" s="187"/>
      <c r="I16" s="187" t="s">
        <v>1691</v>
      </c>
      <c r="J16" s="480" t="s">
        <v>1790</v>
      </c>
      <c r="K16" s="187" t="s">
        <v>1828</v>
      </c>
      <c r="L16" s="187">
        <v>2</v>
      </c>
      <c r="M16" s="187"/>
      <c r="N16" s="78" t="s">
        <v>1864</v>
      </c>
      <c r="O16" s="482" t="s">
        <v>1853</v>
      </c>
      <c r="P16" s="475" t="s">
        <v>1852</v>
      </c>
    </row>
    <row r="17" spans="1:16" ht="10.8" hidden="1" thickBot="1">
      <c r="A17" s="187">
        <v>17</v>
      </c>
      <c r="B17" s="187">
        <v>40</v>
      </c>
      <c r="C17" s="187" t="s">
        <v>1014</v>
      </c>
      <c r="D17" s="187">
        <v>2</v>
      </c>
      <c r="E17" s="187">
        <v>5</v>
      </c>
      <c r="F17" s="187"/>
      <c r="G17" s="187"/>
      <c r="H17" s="187"/>
      <c r="I17" s="187" t="s">
        <v>1844</v>
      </c>
      <c r="J17" s="480" t="s">
        <v>1788</v>
      </c>
      <c r="K17" s="187" t="s">
        <v>1825</v>
      </c>
      <c r="L17" s="187">
        <v>2</v>
      </c>
      <c r="M17" s="187"/>
      <c r="N17" s="78" t="s">
        <v>1864</v>
      </c>
      <c r="O17" s="483" t="s">
        <v>1851</v>
      </c>
      <c r="P17" s="475" t="s">
        <v>1850</v>
      </c>
    </row>
    <row r="18" spans="1:16" ht="10.8" hidden="1" thickBot="1">
      <c r="A18" s="187">
        <v>18</v>
      </c>
      <c r="B18" s="187">
        <v>40</v>
      </c>
      <c r="C18" s="187" t="s">
        <v>1017</v>
      </c>
      <c r="D18" s="187">
        <v>2</v>
      </c>
      <c r="E18" s="187">
        <v>5</v>
      </c>
      <c r="F18" s="187"/>
      <c r="G18" s="187"/>
      <c r="H18" s="187"/>
      <c r="I18" s="187" t="s">
        <v>1866</v>
      </c>
      <c r="J18" s="480" t="s">
        <v>1786</v>
      </c>
      <c r="K18" s="187" t="s">
        <v>1825</v>
      </c>
      <c r="L18" s="187">
        <v>2</v>
      </c>
      <c r="M18" s="187"/>
      <c r="N18" s="78" t="s">
        <v>1864</v>
      </c>
      <c r="O18" s="482" t="s">
        <v>1848</v>
      </c>
      <c r="P18" s="475" t="s">
        <v>1849</v>
      </c>
    </row>
    <row r="19" spans="1:16" ht="10.8" hidden="1" thickBot="1">
      <c r="A19" s="187">
        <v>19</v>
      </c>
      <c r="B19" s="187">
        <v>40</v>
      </c>
      <c r="C19" s="187" t="s">
        <v>1022</v>
      </c>
      <c r="D19" s="187">
        <v>2</v>
      </c>
      <c r="E19" s="187">
        <v>5</v>
      </c>
      <c r="F19" s="187"/>
      <c r="G19" s="187"/>
      <c r="H19" s="187"/>
      <c r="I19" s="187" t="s">
        <v>1865</v>
      </c>
      <c r="J19" s="480" t="s">
        <v>1783</v>
      </c>
      <c r="K19" s="187" t="s">
        <v>1825</v>
      </c>
      <c r="L19" s="187">
        <v>2</v>
      </c>
      <c r="M19" s="187"/>
      <c r="N19" s="78" t="s">
        <v>1864</v>
      </c>
      <c r="O19" s="483" t="s">
        <v>1848</v>
      </c>
      <c r="P19" s="475" t="s">
        <v>1847</v>
      </c>
    </row>
    <row r="20" spans="1:16" s="208" customFormat="1" ht="10.8" hidden="1" thickBot="1">
      <c r="A20" s="477">
        <v>20</v>
      </c>
      <c r="B20" s="477">
        <v>40</v>
      </c>
      <c r="C20" s="477" t="s">
        <v>1027</v>
      </c>
      <c r="D20" s="477">
        <v>3</v>
      </c>
      <c r="E20" s="477">
        <v>6</v>
      </c>
      <c r="F20" s="477"/>
      <c r="G20" s="477"/>
      <c r="H20" s="477"/>
      <c r="I20" s="477" t="s">
        <v>1696</v>
      </c>
      <c r="J20" s="478" t="s">
        <v>1780</v>
      </c>
      <c r="K20" s="477" t="s">
        <v>1825</v>
      </c>
      <c r="L20" s="477">
        <v>2</v>
      </c>
      <c r="M20" s="477"/>
      <c r="N20" s="208" t="s">
        <v>1864</v>
      </c>
      <c r="O20" s="482" t="s">
        <v>1846</v>
      </c>
      <c r="P20" s="475" t="s">
        <v>1845</v>
      </c>
    </row>
    <row r="21" spans="1:16" ht="10.8" hidden="1" thickBot="1">
      <c r="A21" s="187">
        <v>21</v>
      </c>
      <c r="B21" s="187">
        <v>40</v>
      </c>
      <c r="C21" s="187" t="s">
        <v>989</v>
      </c>
      <c r="D21" s="187">
        <v>3</v>
      </c>
      <c r="E21" s="187">
        <v>6</v>
      </c>
      <c r="F21" s="187"/>
      <c r="G21" s="187"/>
      <c r="H21" s="187"/>
      <c r="I21" s="187" t="s">
        <v>1691</v>
      </c>
      <c r="J21" s="480" t="s">
        <v>1778</v>
      </c>
      <c r="K21" s="187" t="s">
        <v>1825</v>
      </c>
      <c r="L21" s="187">
        <v>2</v>
      </c>
      <c r="M21" s="187"/>
      <c r="N21" s="187" t="s">
        <v>1839</v>
      </c>
      <c r="O21" s="475" t="s">
        <v>1863</v>
      </c>
      <c r="P21" s="475" t="s">
        <v>1862</v>
      </c>
    </row>
    <row r="22" spans="1:16" ht="10.8" hidden="1" thickBot="1">
      <c r="A22" s="187">
        <v>22</v>
      </c>
      <c r="B22" s="187">
        <v>45</v>
      </c>
      <c r="C22" s="187" t="s">
        <v>685</v>
      </c>
      <c r="D22" s="187">
        <v>3</v>
      </c>
      <c r="E22" s="187">
        <v>6</v>
      </c>
      <c r="F22" s="187"/>
      <c r="G22" s="187"/>
      <c r="H22" s="187"/>
      <c r="I22" s="187" t="s">
        <v>1715</v>
      </c>
      <c r="J22" s="480" t="s">
        <v>1775</v>
      </c>
      <c r="K22" s="187" t="s">
        <v>1825</v>
      </c>
      <c r="L22" s="187">
        <v>2</v>
      </c>
      <c r="M22" s="187"/>
      <c r="N22" s="187" t="s">
        <v>1839</v>
      </c>
      <c r="O22" s="482" t="s">
        <v>1861</v>
      </c>
      <c r="P22" s="475" t="s">
        <v>1860</v>
      </c>
    </row>
    <row r="23" spans="1:16" ht="10.8" hidden="1" thickBot="1">
      <c r="A23" s="187">
        <v>23</v>
      </c>
      <c r="B23" s="187">
        <v>45</v>
      </c>
      <c r="C23" s="187" t="s">
        <v>1040</v>
      </c>
      <c r="D23" s="187">
        <v>3</v>
      </c>
      <c r="E23" s="187">
        <v>7</v>
      </c>
      <c r="F23" s="187"/>
      <c r="G23" s="187"/>
      <c r="H23" s="187"/>
      <c r="I23" s="187" t="s">
        <v>1842</v>
      </c>
      <c r="J23" s="480" t="s">
        <v>1771</v>
      </c>
      <c r="K23" s="187" t="s">
        <v>1825</v>
      </c>
      <c r="L23" s="187">
        <v>2</v>
      </c>
      <c r="M23" s="187"/>
      <c r="N23" s="187" t="s">
        <v>1839</v>
      </c>
      <c r="O23" s="483" t="s">
        <v>1859</v>
      </c>
      <c r="P23" s="475" t="s">
        <v>1858</v>
      </c>
    </row>
    <row r="24" spans="1:16" ht="10.8" hidden="1" thickBot="1">
      <c r="A24" s="187">
        <v>24</v>
      </c>
      <c r="B24" s="187">
        <v>45</v>
      </c>
      <c r="C24" s="187" t="s">
        <v>1043</v>
      </c>
      <c r="D24" s="187">
        <v>3</v>
      </c>
      <c r="E24" s="187">
        <v>7</v>
      </c>
      <c r="F24" s="187"/>
      <c r="G24" s="187"/>
      <c r="H24" s="187"/>
      <c r="I24" s="187" t="s">
        <v>1840</v>
      </c>
      <c r="J24" s="480" t="s">
        <v>1768</v>
      </c>
      <c r="K24" s="187" t="s">
        <v>1825</v>
      </c>
      <c r="L24" s="187">
        <v>2</v>
      </c>
      <c r="M24" s="187"/>
      <c r="N24" s="187" t="s">
        <v>1839</v>
      </c>
      <c r="O24" s="482" t="s">
        <v>1857</v>
      </c>
      <c r="P24" s="475" t="s">
        <v>1856</v>
      </c>
    </row>
    <row r="25" spans="1:16" ht="10.8" hidden="1" thickBot="1">
      <c r="A25" s="187">
        <v>25</v>
      </c>
      <c r="B25" s="187">
        <v>45</v>
      </c>
      <c r="C25" s="187" t="s">
        <v>999</v>
      </c>
      <c r="D25" s="187">
        <v>3</v>
      </c>
      <c r="E25" s="187">
        <v>8</v>
      </c>
      <c r="F25" s="187"/>
      <c r="G25" s="187"/>
      <c r="H25" s="187"/>
      <c r="I25" s="187" t="s">
        <v>1781</v>
      </c>
      <c r="J25" s="480" t="s">
        <v>1764</v>
      </c>
      <c r="K25" s="187" t="s">
        <v>1825</v>
      </c>
      <c r="L25" s="187">
        <v>2</v>
      </c>
      <c r="M25" s="187"/>
      <c r="N25" s="187" t="s">
        <v>1839</v>
      </c>
      <c r="O25" s="483" t="s">
        <v>1855</v>
      </c>
      <c r="P25" s="475" t="s">
        <v>1854</v>
      </c>
    </row>
    <row r="26" spans="1:16" ht="21" hidden="1" thickBot="1">
      <c r="A26" s="187">
        <v>26</v>
      </c>
      <c r="B26" s="187">
        <v>45</v>
      </c>
      <c r="C26" s="187" t="s">
        <v>1048</v>
      </c>
      <c r="D26" s="187">
        <v>3</v>
      </c>
      <c r="E26" s="187">
        <v>8</v>
      </c>
      <c r="F26" s="187"/>
      <c r="G26" s="187"/>
      <c r="H26" s="187"/>
      <c r="I26" s="187" t="s">
        <v>1700</v>
      </c>
      <c r="J26" s="480" t="s">
        <v>1761</v>
      </c>
      <c r="K26" s="187" t="s">
        <v>1825</v>
      </c>
      <c r="L26" s="187">
        <v>2</v>
      </c>
      <c r="M26" s="187"/>
      <c r="N26" s="187" t="s">
        <v>1839</v>
      </c>
      <c r="O26" s="482" t="s">
        <v>1853</v>
      </c>
      <c r="P26" s="475" t="s">
        <v>1852</v>
      </c>
    </row>
    <row r="27" spans="1:16" ht="10.8" hidden="1" thickBot="1">
      <c r="A27" s="187">
        <v>27</v>
      </c>
      <c r="B27" s="187">
        <v>50</v>
      </c>
      <c r="C27" s="187" t="s">
        <v>677</v>
      </c>
      <c r="D27" s="187">
        <v>3</v>
      </c>
      <c r="E27" s="187">
        <v>9</v>
      </c>
      <c r="F27" s="187"/>
      <c r="G27" s="187"/>
      <c r="H27" s="187"/>
      <c r="I27" s="187" t="s">
        <v>1838</v>
      </c>
      <c r="J27" s="480" t="s">
        <v>1758</v>
      </c>
      <c r="K27" s="187" t="s">
        <v>1825</v>
      </c>
      <c r="L27" s="187">
        <v>2</v>
      </c>
      <c r="M27" s="187"/>
      <c r="N27" s="187" t="s">
        <v>1839</v>
      </c>
      <c r="O27" s="483" t="s">
        <v>1851</v>
      </c>
      <c r="P27" s="475" t="s">
        <v>1850</v>
      </c>
    </row>
    <row r="28" spans="1:16" ht="10.8" hidden="1" thickBot="1">
      <c r="A28" s="187">
        <v>28</v>
      </c>
      <c r="B28" s="187">
        <v>50</v>
      </c>
      <c r="C28" s="187" t="s">
        <v>718</v>
      </c>
      <c r="D28" s="187">
        <v>4</v>
      </c>
      <c r="E28" s="187">
        <v>10</v>
      </c>
      <c r="F28" s="187"/>
      <c r="G28" s="187"/>
      <c r="H28" s="187"/>
      <c r="I28" s="187" t="s">
        <v>1772</v>
      </c>
      <c r="J28" s="480" t="s">
        <v>1755</v>
      </c>
      <c r="K28" s="187" t="s">
        <v>1825</v>
      </c>
      <c r="L28" s="187">
        <v>2</v>
      </c>
      <c r="M28" s="187"/>
      <c r="N28" s="187" t="s">
        <v>1839</v>
      </c>
      <c r="O28" s="482" t="s">
        <v>1848</v>
      </c>
      <c r="P28" s="475" t="s">
        <v>1849</v>
      </c>
    </row>
    <row r="29" spans="1:16" ht="10.8" hidden="1" thickBot="1">
      <c r="A29" s="187">
        <v>29</v>
      </c>
      <c r="B29" s="187">
        <v>50</v>
      </c>
      <c r="C29" s="187" t="s">
        <v>703</v>
      </c>
      <c r="D29" s="187">
        <v>4</v>
      </c>
      <c r="E29" s="187">
        <v>11</v>
      </c>
      <c r="F29" s="187"/>
      <c r="G29" s="187"/>
      <c r="H29" s="187"/>
      <c r="I29" s="187" t="s">
        <v>1806</v>
      </c>
      <c r="J29" s="480" t="s">
        <v>1752</v>
      </c>
      <c r="K29" s="187" t="s">
        <v>1843</v>
      </c>
      <c r="L29" s="187">
        <v>2</v>
      </c>
      <c r="M29" s="187"/>
      <c r="N29" s="187" t="s">
        <v>1839</v>
      </c>
      <c r="O29" s="483" t="s">
        <v>1848</v>
      </c>
      <c r="P29" s="475" t="s">
        <v>1847</v>
      </c>
    </row>
    <row r="30" spans="1:16" s="208" customFormat="1" ht="10.8" hidden="1" thickBot="1">
      <c r="A30" s="477">
        <v>30</v>
      </c>
      <c r="B30" s="477">
        <v>50</v>
      </c>
      <c r="C30" s="477" t="s">
        <v>705</v>
      </c>
      <c r="D30" s="477">
        <v>4</v>
      </c>
      <c r="E30" s="477">
        <v>12</v>
      </c>
      <c r="F30" s="477"/>
      <c r="G30" s="477"/>
      <c r="H30" s="477"/>
      <c r="I30" s="477" t="s">
        <v>1684</v>
      </c>
      <c r="J30" s="478" t="s">
        <v>1749</v>
      </c>
      <c r="K30" s="477" t="s">
        <v>1843</v>
      </c>
      <c r="L30" s="477">
        <v>2</v>
      </c>
      <c r="M30" s="477"/>
      <c r="N30" s="187" t="s">
        <v>1839</v>
      </c>
      <c r="O30" s="482" t="s">
        <v>1846</v>
      </c>
      <c r="P30" s="475" t="s">
        <v>1845</v>
      </c>
    </row>
    <row r="31" spans="1:16" ht="10.8" hidden="1" thickBot="1">
      <c r="A31" s="187">
        <v>31</v>
      </c>
      <c r="B31" s="187">
        <v>50</v>
      </c>
      <c r="C31" s="187" t="s">
        <v>681</v>
      </c>
      <c r="D31" s="187">
        <v>4</v>
      </c>
      <c r="E31" s="187">
        <v>1</v>
      </c>
      <c r="F31" s="187"/>
      <c r="G31" s="187"/>
      <c r="H31" s="187"/>
      <c r="I31" s="187" t="s">
        <v>1691</v>
      </c>
      <c r="J31" s="480" t="s">
        <v>1746</v>
      </c>
      <c r="K31" s="187" t="s">
        <v>1843</v>
      </c>
      <c r="L31" s="187">
        <v>3</v>
      </c>
      <c r="M31" s="187"/>
      <c r="N31" s="187" t="s">
        <v>1839</v>
      </c>
      <c r="O31" s="475" t="s">
        <v>1349</v>
      </c>
      <c r="P31" s="475" t="s">
        <v>1822</v>
      </c>
    </row>
    <row r="32" spans="1:16" ht="10.8" hidden="1" thickBot="1">
      <c r="A32" s="187">
        <v>32</v>
      </c>
      <c r="B32" s="187">
        <v>55</v>
      </c>
      <c r="C32" s="187" t="s">
        <v>707</v>
      </c>
      <c r="D32" s="187">
        <v>4</v>
      </c>
      <c r="E32" s="187">
        <v>1</v>
      </c>
      <c r="F32" s="187"/>
      <c r="G32" s="187"/>
      <c r="H32" s="187"/>
      <c r="I32" s="187" t="s">
        <v>1844</v>
      </c>
      <c r="J32" s="480" t="s">
        <v>1744</v>
      </c>
      <c r="K32" s="187" t="s">
        <v>1843</v>
      </c>
      <c r="L32" s="187">
        <v>3</v>
      </c>
      <c r="M32" s="187"/>
      <c r="N32" s="187" t="s">
        <v>1839</v>
      </c>
      <c r="O32" s="482" t="s">
        <v>1836</v>
      </c>
      <c r="P32" s="475" t="s">
        <v>1820</v>
      </c>
    </row>
    <row r="33" spans="1:16" ht="10.8" hidden="1" thickBot="1">
      <c r="A33" s="187">
        <v>33</v>
      </c>
      <c r="B33" s="187">
        <v>55</v>
      </c>
      <c r="C33" s="187" t="s">
        <v>929</v>
      </c>
      <c r="D33" s="187">
        <v>4</v>
      </c>
      <c r="E33" s="187">
        <v>2</v>
      </c>
      <c r="F33" s="187"/>
      <c r="G33" s="187"/>
      <c r="H33" s="187"/>
      <c r="I33" s="187" t="s">
        <v>1715</v>
      </c>
      <c r="J33" s="480" t="s">
        <v>1741</v>
      </c>
      <c r="K33" s="187" t="s">
        <v>1843</v>
      </c>
      <c r="L33" s="187">
        <v>3</v>
      </c>
      <c r="M33" s="187"/>
      <c r="N33" s="187" t="s">
        <v>1839</v>
      </c>
      <c r="O33" s="483" t="s">
        <v>1834</v>
      </c>
      <c r="P33" s="475" t="s">
        <v>1818</v>
      </c>
    </row>
    <row r="34" spans="1:16" ht="10.8" hidden="1" thickBot="1">
      <c r="A34" s="187">
        <v>34</v>
      </c>
      <c r="B34" s="187">
        <v>55</v>
      </c>
      <c r="C34" s="187" t="s">
        <v>935</v>
      </c>
      <c r="D34" s="187">
        <v>5</v>
      </c>
      <c r="E34" s="187">
        <v>2</v>
      </c>
      <c r="F34" s="187"/>
      <c r="G34" s="187"/>
      <c r="H34" s="187"/>
      <c r="I34" s="187" t="s">
        <v>1684</v>
      </c>
      <c r="J34" s="480" t="s">
        <v>1738</v>
      </c>
      <c r="K34" s="187" t="s">
        <v>1841</v>
      </c>
      <c r="L34" s="187">
        <v>3</v>
      </c>
      <c r="M34" s="187"/>
      <c r="N34" s="187" t="s">
        <v>1839</v>
      </c>
      <c r="O34" s="482" t="s">
        <v>1833</v>
      </c>
      <c r="P34" s="475" t="s">
        <v>1816</v>
      </c>
    </row>
    <row r="35" spans="1:16" ht="10.8" hidden="1" thickBot="1">
      <c r="A35" s="187">
        <v>35</v>
      </c>
      <c r="B35" s="187">
        <v>55</v>
      </c>
      <c r="C35" s="187" t="s">
        <v>684</v>
      </c>
      <c r="D35" s="187">
        <v>5</v>
      </c>
      <c r="E35" s="187">
        <v>2</v>
      </c>
      <c r="F35" s="187"/>
      <c r="G35" s="187"/>
      <c r="H35" s="187"/>
      <c r="I35" s="187" t="s">
        <v>1696</v>
      </c>
      <c r="J35" s="480" t="s">
        <v>1736</v>
      </c>
      <c r="K35" s="187" t="s">
        <v>1841</v>
      </c>
      <c r="L35" s="187">
        <v>3</v>
      </c>
      <c r="M35" s="187"/>
      <c r="N35" s="187" t="s">
        <v>1839</v>
      </c>
      <c r="O35" s="483" t="s">
        <v>1831</v>
      </c>
      <c r="P35" s="475" t="s">
        <v>1813</v>
      </c>
    </row>
    <row r="36" spans="1:16" ht="10.8" hidden="1" thickBot="1">
      <c r="A36" s="187">
        <v>36</v>
      </c>
      <c r="B36" s="187">
        <v>60</v>
      </c>
      <c r="C36" s="187" t="s">
        <v>957</v>
      </c>
      <c r="D36" s="187">
        <v>5</v>
      </c>
      <c r="E36" s="187">
        <v>3</v>
      </c>
      <c r="F36" s="187"/>
      <c r="G36" s="187"/>
      <c r="H36" s="187"/>
      <c r="I36" s="187" t="s">
        <v>1691</v>
      </c>
      <c r="J36" s="480" t="s">
        <v>1732</v>
      </c>
      <c r="K36" s="187" t="s">
        <v>1841</v>
      </c>
      <c r="L36" s="187">
        <v>3</v>
      </c>
      <c r="M36" s="187"/>
      <c r="N36" s="187" t="s">
        <v>1839</v>
      </c>
      <c r="O36" s="482" t="s">
        <v>1830</v>
      </c>
      <c r="P36" s="475" t="s">
        <v>1811</v>
      </c>
    </row>
    <row r="37" spans="1:16" ht="10.8" hidden="1" thickBot="1">
      <c r="A37" s="187">
        <v>37</v>
      </c>
      <c r="B37" s="187">
        <v>60</v>
      </c>
      <c r="C37" s="187" t="s">
        <v>677</v>
      </c>
      <c r="D37" s="187">
        <v>5</v>
      </c>
      <c r="E37" s="187">
        <v>3</v>
      </c>
      <c r="F37" s="187"/>
      <c r="G37" s="187"/>
      <c r="H37" s="187"/>
      <c r="I37" s="187" t="s">
        <v>1715</v>
      </c>
      <c r="J37" s="480" t="s">
        <v>1729</v>
      </c>
      <c r="K37" s="187" t="s">
        <v>1841</v>
      </c>
      <c r="L37" s="187">
        <v>3</v>
      </c>
      <c r="M37" s="187"/>
      <c r="N37" s="187" t="s">
        <v>1839</v>
      </c>
      <c r="O37" s="483" t="s">
        <v>1829</v>
      </c>
      <c r="P37" s="475" t="s">
        <v>1809</v>
      </c>
    </row>
    <row r="38" spans="1:16" ht="10.8" hidden="1" thickBot="1">
      <c r="A38" s="187">
        <v>38</v>
      </c>
      <c r="B38" s="187">
        <v>60</v>
      </c>
      <c r="C38" s="187" t="s">
        <v>987</v>
      </c>
      <c r="D38" s="187">
        <v>5</v>
      </c>
      <c r="E38" s="187">
        <v>3</v>
      </c>
      <c r="F38" s="187"/>
      <c r="G38" s="187"/>
      <c r="H38" s="187"/>
      <c r="I38" s="187" t="s">
        <v>1842</v>
      </c>
      <c r="J38" s="480" t="s">
        <v>1364</v>
      </c>
      <c r="K38" s="187" t="s">
        <v>1841</v>
      </c>
      <c r="L38" s="187">
        <v>3</v>
      </c>
      <c r="M38" s="187"/>
      <c r="N38" s="187" t="s">
        <v>1839</v>
      </c>
      <c r="O38" s="482" t="s">
        <v>1827</v>
      </c>
      <c r="P38" s="475" t="s">
        <v>1807</v>
      </c>
    </row>
    <row r="39" spans="1:16" ht="10.8" hidden="1" thickBot="1">
      <c r="A39" s="187">
        <v>39</v>
      </c>
      <c r="B39" s="187">
        <v>65</v>
      </c>
      <c r="C39" s="187" t="s">
        <v>995</v>
      </c>
      <c r="D39" s="187">
        <v>6</v>
      </c>
      <c r="E39" s="187">
        <v>3</v>
      </c>
      <c r="F39" s="187"/>
      <c r="G39" s="187"/>
      <c r="H39" s="187"/>
      <c r="I39" s="187" t="s">
        <v>1840</v>
      </c>
      <c r="J39" s="480" t="s">
        <v>1724</v>
      </c>
      <c r="K39" s="187" t="s">
        <v>1837</v>
      </c>
      <c r="L39" s="187">
        <v>3</v>
      </c>
      <c r="M39" s="187"/>
      <c r="N39" s="187" t="s">
        <v>1839</v>
      </c>
      <c r="O39" s="483" t="s">
        <v>1826</v>
      </c>
      <c r="P39" s="475" t="s">
        <v>1804</v>
      </c>
    </row>
    <row r="40" spans="1:16" s="208" customFormat="1" ht="10.8" hidden="1" thickBot="1">
      <c r="A40" s="477">
        <v>40</v>
      </c>
      <c r="B40" s="477">
        <v>70</v>
      </c>
      <c r="C40" s="477" t="s">
        <v>719</v>
      </c>
      <c r="D40" s="477">
        <v>6</v>
      </c>
      <c r="E40" s="477">
        <v>4</v>
      </c>
      <c r="F40" s="477"/>
      <c r="G40" s="477"/>
      <c r="H40" s="477"/>
      <c r="I40" s="477" t="s">
        <v>1781</v>
      </c>
      <c r="J40" s="478" t="s">
        <v>1721</v>
      </c>
      <c r="K40" s="477" t="s">
        <v>1837</v>
      </c>
      <c r="L40" s="477">
        <v>3</v>
      </c>
      <c r="M40" s="477"/>
      <c r="N40" s="187" t="s">
        <v>1839</v>
      </c>
      <c r="O40" s="482" t="s">
        <v>1824</v>
      </c>
      <c r="P40" s="475" t="s">
        <v>1759</v>
      </c>
    </row>
    <row r="41" spans="1:16" ht="21" hidden="1" thickBot="1">
      <c r="A41" s="187">
        <v>41</v>
      </c>
      <c r="B41" s="187">
        <v>75</v>
      </c>
      <c r="C41" s="187" t="s">
        <v>680</v>
      </c>
      <c r="D41" s="187">
        <v>6</v>
      </c>
      <c r="E41" s="187">
        <v>4</v>
      </c>
      <c r="F41" s="187"/>
      <c r="G41" s="187"/>
      <c r="H41" s="187"/>
      <c r="I41" s="187" t="s">
        <v>1700</v>
      </c>
      <c r="J41" s="480" t="s">
        <v>1717</v>
      </c>
      <c r="K41" s="187" t="s">
        <v>1837</v>
      </c>
      <c r="L41" s="187">
        <v>3</v>
      </c>
      <c r="M41" s="187"/>
      <c r="N41" s="187" t="s">
        <v>1832</v>
      </c>
      <c r="O41" s="475" t="s">
        <v>1349</v>
      </c>
      <c r="P41" s="475" t="s">
        <v>1822</v>
      </c>
    </row>
    <row r="42" spans="1:16" ht="10.8" hidden="1" thickBot="1">
      <c r="A42" s="187">
        <v>42</v>
      </c>
      <c r="B42" s="187">
        <v>80</v>
      </c>
      <c r="C42" s="187" t="s">
        <v>1009</v>
      </c>
      <c r="D42" s="187">
        <v>6</v>
      </c>
      <c r="E42" s="187">
        <v>4</v>
      </c>
      <c r="F42" s="187"/>
      <c r="G42" s="187"/>
      <c r="H42" s="187"/>
      <c r="I42" s="187" t="s">
        <v>1838</v>
      </c>
      <c r="J42" s="480" t="s">
        <v>1714</v>
      </c>
      <c r="K42" s="187" t="s">
        <v>1837</v>
      </c>
      <c r="L42" s="187">
        <v>3</v>
      </c>
      <c r="M42" s="187"/>
      <c r="N42" s="187" t="s">
        <v>1832</v>
      </c>
      <c r="O42" s="482" t="s">
        <v>1836</v>
      </c>
      <c r="P42" s="475" t="s">
        <v>1820</v>
      </c>
    </row>
    <row r="43" spans="1:16" ht="10.8" hidden="1" thickBot="1">
      <c r="A43" s="187">
        <v>43</v>
      </c>
      <c r="B43" s="187">
        <v>85</v>
      </c>
      <c r="C43" s="187" t="s">
        <v>1014</v>
      </c>
      <c r="D43" s="187">
        <v>7</v>
      </c>
      <c r="E43" s="187">
        <v>4</v>
      </c>
      <c r="F43" s="187"/>
      <c r="G43" s="187"/>
      <c r="H43" s="187"/>
      <c r="I43" s="187" t="s">
        <v>1772</v>
      </c>
      <c r="J43" s="480" t="s">
        <v>1710</v>
      </c>
      <c r="K43" s="187" t="s">
        <v>1835</v>
      </c>
      <c r="L43" s="187">
        <v>3</v>
      </c>
      <c r="M43" s="187"/>
      <c r="N43" s="187" t="s">
        <v>1832</v>
      </c>
      <c r="O43" s="483" t="s">
        <v>1834</v>
      </c>
      <c r="P43" s="475" t="s">
        <v>1818</v>
      </c>
    </row>
    <row r="44" spans="1:16" ht="10.8" hidden="1" thickBot="1">
      <c r="A44" s="187">
        <v>44</v>
      </c>
      <c r="B44" s="187">
        <v>90</v>
      </c>
      <c r="C44" s="187" t="s">
        <v>1017</v>
      </c>
      <c r="D44" s="187">
        <v>7</v>
      </c>
      <c r="E44" s="187">
        <v>4</v>
      </c>
      <c r="F44" s="187"/>
      <c r="G44" s="187"/>
      <c r="H44" s="187"/>
      <c r="I44" s="187" t="s">
        <v>1806</v>
      </c>
      <c r="J44" s="480" t="s">
        <v>1707</v>
      </c>
      <c r="K44" s="187" t="s">
        <v>1828</v>
      </c>
      <c r="L44" s="187">
        <v>3</v>
      </c>
      <c r="M44" s="187"/>
      <c r="N44" s="187" t="s">
        <v>1832</v>
      </c>
      <c r="O44" s="482" t="s">
        <v>1833</v>
      </c>
      <c r="P44" s="475" t="s">
        <v>1816</v>
      </c>
    </row>
    <row r="45" spans="1:16" ht="10.8" hidden="1" thickBot="1">
      <c r="A45" s="187">
        <v>45</v>
      </c>
      <c r="B45" s="187">
        <v>95</v>
      </c>
      <c r="C45" s="187" t="s">
        <v>1022</v>
      </c>
      <c r="D45" s="187">
        <v>7</v>
      </c>
      <c r="E45" s="187">
        <v>5</v>
      </c>
      <c r="F45" s="187"/>
      <c r="G45" s="187"/>
      <c r="H45" s="187"/>
      <c r="I45" s="187" t="s">
        <v>1684</v>
      </c>
      <c r="J45" s="480" t="s">
        <v>1703</v>
      </c>
      <c r="K45" s="187" t="s">
        <v>1828</v>
      </c>
      <c r="L45" s="187">
        <v>3</v>
      </c>
      <c r="M45" s="187"/>
      <c r="N45" s="187" t="s">
        <v>1832</v>
      </c>
      <c r="O45" s="483" t="s">
        <v>1831</v>
      </c>
      <c r="P45" s="475" t="s">
        <v>1813</v>
      </c>
    </row>
    <row r="46" spans="1:16" ht="10.8" hidden="1" thickBot="1">
      <c r="A46" s="187">
        <v>46</v>
      </c>
      <c r="B46" s="187">
        <v>15</v>
      </c>
      <c r="C46" s="187" t="s">
        <v>1027</v>
      </c>
      <c r="D46" s="187">
        <v>8</v>
      </c>
      <c r="E46" s="187">
        <v>5</v>
      </c>
      <c r="F46" s="187"/>
      <c r="G46" s="187"/>
      <c r="H46" s="187"/>
      <c r="I46" s="187" t="s">
        <v>1691</v>
      </c>
      <c r="J46" s="480" t="s">
        <v>1699</v>
      </c>
      <c r="K46" s="187" t="s">
        <v>1828</v>
      </c>
      <c r="L46" s="187">
        <v>3</v>
      </c>
      <c r="M46" s="187"/>
      <c r="N46" s="187" t="s">
        <v>1814</v>
      </c>
      <c r="O46" s="482" t="s">
        <v>1830</v>
      </c>
      <c r="P46" s="475" t="s">
        <v>1811</v>
      </c>
    </row>
    <row r="47" spans="1:16" ht="10.8" hidden="1" thickBot="1">
      <c r="A47" s="187">
        <v>47</v>
      </c>
      <c r="B47" s="187">
        <v>20</v>
      </c>
      <c r="C47" s="187" t="s">
        <v>1027</v>
      </c>
      <c r="D47" s="187">
        <v>8</v>
      </c>
      <c r="E47" s="187">
        <v>5</v>
      </c>
      <c r="F47" s="187"/>
      <c r="G47" s="187"/>
      <c r="H47" s="187"/>
      <c r="I47" s="187" t="s">
        <v>1691</v>
      </c>
      <c r="J47" s="480" t="s">
        <v>1695</v>
      </c>
      <c r="K47" s="187" t="s">
        <v>1828</v>
      </c>
      <c r="L47" s="187">
        <v>3</v>
      </c>
      <c r="M47" s="187"/>
      <c r="N47" s="187" t="s">
        <v>1814</v>
      </c>
      <c r="O47" s="483" t="s">
        <v>1829</v>
      </c>
      <c r="P47" s="475" t="s">
        <v>1809</v>
      </c>
    </row>
    <row r="48" spans="1:16" ht="10.8" hidden="1" thickBot="1">
      <c r="A48" s="187">
        <v>48</v>
      </c>
      <c r="B48" s="187">
        <v>20</v>
      </c>
      <c r="C48" s="187" t="s">
        <v>685</v>
      </c>
      <c r="D48" s="187">
        <v>9</v>
      </c>
      <c r="E48" s="187">
        <v>5</v>
      </c>
      <c r="F48" s="187"/>
      <c r="G48" s="187"/>
      <c r="H48" s="187"/>
      <c r="I48" s="187" t="s">
        <v>1781</v>
      </c>
      <c r="J48" s="480" t="s">
        <v>1690</v>
      </c>
      <c r="K48" s="187" t="s">
        <v>1828</v>
      </c>
      <c r="L48" s="187">
        <v>3</v>
      </c>
      <c r="M48" s="187"/>
      <c r="N48" s="187" t="s">
        <v>1814</v>
      </c>
      <c r="O48" s="482" t="s">
        <v>1827</v>
      </c>
      <c r="P48" s="475" t="s">
        <v>1807</v>
      </c>
    </row>
    <row r="49" spans="1:16" ht="10.8" hidden="1" thickBot="1">
      <c r="A49" s="187">
        <v>49</v>
      </c>
      <c r="B49" s="187">
        <v>25</v>
      </c>
      <c r="C49" s="187" t="s">
        <v>995</v>
      </c>
      <c r="D49" s="187">
        <v>10</v>
      </c>
      <c r="E49" s="187">
        <v>6</v>
      </c>
      <c r="F49" s="187"/>
      <c r="G49" s="187"/>
      <c r="H49" s="187"/>
      <c r="I49" s="187" t="s">
        <v>1684</v>
      </c>
      <c r="J49" s="480" t="s">
        <v>1687</v>
      </c>
      <c r="K49" s="187" t="s">
        <v>1825</v>
      </c>
      <c r="L49" s="187">
        <v>3</v>
      </c>
      <c r="M49" s="187"/>
      <c r="N49" s="187" t="s">
        <v>1814</v>
      </c>
      <c r="O49" s="483" t="s">
        <v>1826</v>
      </c>
      <c r="P49" s="475" t="s">
        <v>1804</v>
      </c>
    </row>
    <row r="50" spans="1:16" s="208" customFormat="1" ht="10.8" hidden="1" thickBot="1">
      <c r="A50" s="477">
        <v>50</v>
      </c>
      <c r="B50" s="477">
        <v>25</v>
      </c>
      <c r="C50" s="477" t="s">
        <v>707</v>
      </c>
      <c r="D50" s="477">
        <v>2</v>
      </c>
      <c r="E50" s="477">
        <v>6</v>
      </c>
      <c r="F50" s="477"/>
      <c r="G50" s="477"/>
      <c r="H50" s="477"/>
      <c r="I50" s="477" t="s">
        <v>1696</v>
      </c>
      <c r="J50" s="478" t="s">
        <v>1683</v>
      </c>
      <c r="K50" s="477" t="s">
        <v>1825</v>
      </c>
      <c r="L50" s="477">
        <v>3</v>
      </c>
      <c r="M50" s="477"/>
      <c r="N50" s="187" t="s">
        <v>1814</v>
      </c>
      <c r="O50" s="482" t="s">
        <v>1824</v>
      </c>
      <c r="P50" s="475" t="s">
        <v>1759</v>
      </c>
    </row>
    <row r="51" spans="1:16" ht="10.8" hidden="1" thickBot="1">
      <c r="A51" s="187">
        <v>51</v>
      </c>
      <c r="B51" s="187">
        <v>25</v>
      </c>
      <c r="C51" s="187" t="s">
        <v>999</v>
      </c>
      <c r="D51" s="187">
        <v>1</v>
      </c>
      <c r="E51" s="187">
        <v>0</v>
      </c>
      <c r="F51" s="187"/>
      <c r="G51" s="187"/>
      <c r="H51" s="187"/>
      <c r="I51" s="187" t="s">
        <v>1700</v>
      </c>
      <c r="J51" s="480" t="s">
        <v>1823</v>
      </c>
      <c r="K51" s="187"/>
      <c r="L51" s="187">
        <v>3</v>
      </c>
      <c r="M51" s="187"/>
      <c r="N51" s="187" t="s">
        <v>1814</v>
      </c>
      <c r="O51" s="475" t="s">
        <v>1800</v>
      </c>
      <c r="P51" s="475" t="s">
        <v>1822</v>
      </c>
    </row>
    <row r="52" spans="1:16" ht="10.8" hidden="1" thickBot="1">
      <c r="A52" s="187">
        <v>52</v>
      </c>
      <c r="B52" s="187">
        <v>30</v>
      </c>
      <c r="C52" s="187" t="s">
        <v>1048</v>
      </c>
      <c r="D52" s="187">
        <v>1</v>
      </c>
      <c r="E52" s="187">
        <v>-1</v>
      </c>
      <c r="F52" s="187"/>
      <c r="G52" s="187"/>
      <c r="H52" s="187"/>
      <c r="I52" s="187" t="s">
        <v>1715</v>
      </c>
      <c r="J52" s="480" t="s">
        <v>1821</v>
      </c>
      <c r="K52" s="187"/>
      <c r="L52" s="187">
        <v>3</v>
      </c>
      <c r="M52" s="187"/>
      <c r="N52" s="187" t="s">
        <v>1814</v>
      </c>
      <c r="O52" s="482" t="s">
        <v>1798</v>
      </c>
      <c r="P52" s="475" t="s">
        <v>1820</v>
      </c>
    </row>
    <row r="53" spans="1:16" ht="10.8" hidden="1" thickBot="1">
      <c r="A53" s="187">
        <v>53</v>
      </c>
      <c r="B53" s="187">
        <v>30</v>
      </c>
      <c r="C53" s="187" t="s">
        <v>677</v>
      </c>
      <c r="D53" s="187">
        <v>1</v>
      </c>
      <c r="E53" s="187">
        <v>-1</v>
      </c>
      <c r="F53" s="187"/>
      <c r="G53" s="187"/>
      <c r="H53" s="187"/>
      <c r="I53" s="187" t="s">
        <v>1781</v>
      </c>
      <c r="J53" s="480" t="s">
        <v>1819</v>
      </c>
      <c r="K53" s="187"/>
      <c r="L53" s="187">
        <v>3</v>
      </c>
      <c r="M53" s="187"/>
      <c r="N53" s="187" t="s">
        <v>1814</v>
      </c>
      <c r="O53" s="483" t="s">
        <v>1796</v>
      </c>
      <c r="P53" s="475" t="s">
        <v>1818</v>
      </c>
    </row>
    <row r="54" spans="1:16" ht="10.8" hidden="1" thickBot="1">
      <c r="A54" s="187">
        <v>54</v>
      </c>
      <c r="B54" s="187">
        <v>30</v>
      </c>
      <c r="C54" s="187" t="s">
        <v>718</v>
      </c>
      <c r="D54" s="187">
        <v>1</v>
      </c>
      <c r="E54" s="187">
        <v>-2</v>
      </c>
      <c r="F54" s="187"/>
      <c r="G54" s="187"/>
      <c r="H54" s="187"/>
      <c r="I54" s="187" t="s">
        <v>1684</v>
      </c>
      <c r="J54" s="480" t="s">
        <v>1817</v>
      </c>
      <c r="K54" s="187"/>
      <c r="L54" s="187">
        <v>3</v>
      </c>
      <c r="M54" s="187"/>
      <c r="N54" s="187" t="s">
        <v>1814</v>
      </c>
      <c r="O54" s="482" t="s">
        <v>1794</v>
      </c>
      <c r="P54" s="475" t="s">
        <v>1816</v>
      </c>
    </row>
    <row r="55" spans="1:16" ht="21" hidden="1" thickBot="1">
      <c r="A55" s="187">
        <v>55</v>
      </c>
      <c r="B55" s="187">
        <v>30</v>
      </c>
      <c r="C55" s="187" t="s">
        <v>703</v>
      </c>
      <c r="D55" s="187">
        <v>1</v>
      </c>
      <c r="E55" s="187">
        <v>-2</v>
      </c>
      <c r="F55" s="187"/>
      <c r="G55" s="187"/>
      <c r="H55" s="187"/>
      <c r="I55" s="187" t="s">
        <v>1781</v>
      </c>
      <c r="J55" s="480" t="s">
        <v>1815</v>
      </c>
      <c r="K55" s="187"/>
      <c r="L55" s="187">
        <v>3</v>
      </c>
      <c r="M55" s="187"/>
      <c r="N55" s="187" t="s">
        <v>1814</v>
      </c>
      <c r="O55" s="483" t="s">
        <v>1791</v>
      </c>
      <c r="P55" s="475" t="s">
        <v>1813</v>
      </c>
    </row>
    <row r="56" spans="1:16" ht="10.8" hidden="1" thickBot="1">
      <c r="A56" s="187">
        <v>56</v>
      </c>
      <c r="B56" s="187">
        <v>35</v>
      </c>
      <c r="C56" s="187" t="s">
        <v>705</v>
      </c>
      <c r="D56" s="187">
        <v>1</v>
      </c>
      <c r="E56" s="187">
        <v>-2</v>
      </c>
      <c r="F56" s="187"/>
      <c r="G56" s="187"/>
      <c r="H56" s="187"/>
      <c r="I56" s="187" t="s">
        <v>1700</v>
      </c>
      <c r="J56" s="480" t="s">
        <v>1812</v>
      </c>
      <c r="K56" s="187"/>
      <c r="L56" s="187">
        <v>4</v>
      </c>
      <c r="M56" s="187"/>
      <c r="N56" s="187" t="s">
        <v>1802</v>
      </c>
      <c r="O56" s="482" t="s">
        <v>1789</v>
      </c>
      <c r="P56" s="475" t="s">
        <v>1811</v>
      </c>
    </row>
    <row r="57" spans="1:16" ht="10.8" hidden="1" thickBot="1">
      <c r="A57" s="187">
        <v>57</v>
      </c>
      <c r="B57" s="187">
        <v>35</v>
      </c>
      <c r="C57" s="187" t="s">
        <v>718</v>
      </c>
      <c r="D57" s="187">
        <v>1</v>
      </c>
      <c r="E57" s="187">
        <v>-3</v>
      </c>
      <c r="F57" s="187"/>
      <c r="G57" s="187"/>
      <c r="H57" s="187"/>
      <c r="I57" s="187" t="s">
        <v>1691</v>
      </c>
      <c r="J57" s="480" t="s">
        <v>1810</v>
      </c>
      <c r="K57" s="187"/>
      <c r="L57" s="187">
        <v>4</v>
      </c>
      <c r="M57" s="187"/>
      <c r="N57" s="187" t="s">
        <v>1802</v>
      </c>
      <c r="O57" s="483" t="s">
        <v>1787</v>
      </c>
      <c r="P57" s="475" t="s">
        <v>1809</v>
      </c>
    </row>
    <row r="58" spans="1:16" ht="10.8" hidden="1" thickBot="1">
      <c r="A58" s="187">
        <v>58</v>
      </c>
      <c r="B58" s="187">
        <v>35</v>
      </c>
      <c r="C58" s="187" t="s">
        <v>707</v>
      </c>
      <c r="D58" s="187">
        <v>1</v>
      </c>
      <c r="E58" s="187">
        <v>-3</v>
      </c>
      <c r="F58" s="187"/>
      <c r="G58" s="187"/>
      <c r="H58" s="187"/>
      <c r="I58" s="187" t="s">
        <v>1772</v>
      </c>
      <c r="J58" s="480" t="s">
        <v>1808</v>
      </c>
      <c r="K58" s="187"/>
      <c r="L58" s="187">
        <v>4</v>
      </c>
      <c r="M58" s="187"/>
      <c r="N58" s="187" t="s">
        <v>1802</v>
      </c>
      <c r="O58" s="482" t="s">
        <v>1784</v>
      </c>
      <c r="P58" s="475" t="s">
        <v>1807</v>
      </c>
    </row>
    <row r="59" spans="1:16" ht="10.8" hidden="1" thickBot="1">
      <c r="A59" s="187">
        <v>59</v>
      </c>
      <c r="B59" s="187">
        <v>35</v>
      </c>
      <c r="C59" s="187" t="s">
        <v>929</v>
      </c>
      <c r="D59" s="187">
        <v>1</v>
      </c>
      <c r="E59" s="187">
        <v>-3</v>
      </c>
      <c r="F59" s="187"/>
      <c r="G59" s="187"/>
      <c r="H59" s="187"/>
      <c r="I59" s="187" t="s">
        <v>1806</v>
      </c>
      <c r="J59" s="480" t="s">
        <v>1805</v>
      </c>
      <c r="K59" s="187"/>
      <c r="L59" s="187">
        <v>4</v>
      </c>
      <c r="M59" s="187"/>
      <c r="N59" s="187" t="s">
        <v>1802</v>
      </c>
      <c r="O59" s="483" t="s">
        <v>1782</v>
      </c>
      <c r="P59" s="475" t="s">
        <v>1804</v>
      </c>
    </row>
    <row r="60" spans="1:16" s="208" customFormat="1" ht="10.8" hidden="1" thickBot="1">
      <c r="A60" s="477">
        <v>60</v>
      </c>
      <c r="B60" s="477">
        <v>35</v>
      </c>
      <c r="C60" s="477" t="s">
        <v>935</v>
      </c>
      <c r="D60" s="477">
        <v>1</v>
      </c>
      <c r="E60" s="477">
        <v>-3</v>
      </c>
      <c r="F60" s="477"/>
      <c r="G60" s="477"/>
      <c r="H60" s="477"/>
      <c r="I60" s="477" t="s">
        <v>1684</v>
      </c>
      <c r="J60" s="478" t="s">
        <v>1803</v>
      </c>
      <c r="K60" s="477"/>
      <c r="L60" s="477">
        <v>4</v>
      </c>
      <c r="M60" s="477"/>
      <c r="N60" s="187" t="s">
        <v>1802</v>
      </c>
      <c r="O60" s="482" t="s">
        <v>1779</v>
      </c>
      <c r="P60" s="475" t="s">
        <v>1759</v>
      </c>
    </row>
    <row r="61" spans="1:16" ht="10.8" hidden="1" thickBot="1">
      <c r="A61" s="187">
        <v>61</v>
      </c>
      <c r="B61" s="187">
        <v>40</v>
      </c>
      <c r="C61" s="187" t="s">
        <v>995</v>
      </c>
      <c r="D61" s="187">
        <v>2</v>
      </c>
      <c r="E61" s="187">
        <v>-4</v>
      </c>
      <c r="F61" s="187"/>
      <c r="G61" s="187"/>
      <c r="H61" s="187"/>
      <c r="I61" s="187" t="s">
        <v>1691</v>
      </c>
      <c r="J61" s="480" t="s">
        <v>1801</v>
      </c>
      <c r="K61" s="187"/>
      <c r="L61" s="187">
        <v>4</v>
      </c>
      <c r="M61" s="187"/>
      <c r="N61" s="187" t="s">
        <v>1792</v>
      </c>
      <c r="O61" s="475" t="s">
        <v>1800</v>
      </c>
      <c r="P61" s="475" t="s">
        <v>1776</v>
      </c>
    </row>
    <row r="62" spans="1:16" ht="10.8" hidden="1" thickBot="1">
      <c r="A62" s="187">
        <v>62</v>
      </c>
      <c r="B62" s="187">
        <v>40</v>
      </c>
      <c r="C62" s="187" t="s">
        <v>957</v>
      </c>
      <c r="D62" s="187">
        <v>2</v>
      </c>
      <c r="E62" s="187">
        <v>-4</v>
      </c>
      <c r="F62" s="187"/>
      <c r="G62" s="187"/>
      <c r="H62" s="187"/>
      <c r="I62" s="187" t="s">
        <v>1691</v>
      </c>
      <c r="J62" s="480" t="s">
        <v>1799</v>
      </c>
      <c r="K62" s="187"/>
      <c r="L62" s="187">
        <v>4</v>
      </c>
      <c r="M62" s="187"/>
      <c r="N62" s="187" t="s">
        <v>1792</v>
      </c>
      <c r="O62" s="482" t="s">
        <v>1798</v>
      </c>
      <c r="P62" s="475" t="s">
        <v>1773</v>
      </c>
    </row>
    <row r="63" spans="1:16" ht="10.8" hidden="1" thickBot="1">
      <c r="A63" s="187">
        <v>63</v>
      </c>
      <c r="B63" s="187">
        <v>40</v>
      </c>
      <c r="C63" s="187" t="s">
        <v>719</v>
      </c>
      <c r="D63" s="187">
        <v>2</v>
      </c>
      <c r="E63" s="187">
        <v>-4</v>
      </c>
      <c r="F63" s="187"/>
      <c r="G63" s="187"/>
      <c r="H63" s="187"/>
      <c r="I63" s="187" t="s">
        <v>1691</v>
      </c>
      <c r="J63" s="480" t="s">
        <v>1797</v>
      </c>
      <c r="K63" s="187"/>
      <c r="L63" s="187">
        <v>4</v>
      </c>
      <c r="M63" s="187"/>
      <c r="N63" s="187" t="s">
        <v>1792</v>
      </c>
      <c r="O63" s="483" t="s">
        <v>1796</v>
      </c>
      <c r="P63" s="475" t="s">
        <v>1769</v>
      </c>
    </row>
    <row r="64" spans="1:16" ht="10.8" hidden="1" thickBot="1">
      <c r="A64" s="187">
        <v>64</v>
      </c>
      <c r="B64" s="187">
        <v>40</v>
      </c>
      <c r="C64" s="187" t="s">
        <v>987</v>
      </c>
      <c r="D64" s="187">
        <v>2</v>
      </c>
      <c r="E64" s="187">
        <v>-4</v>
      </c>
      <c r="F64" s="187"/>
      <c r="G64" s="187"/>
      <c r="H64" s="187"/>
      <c r="I64" s="187" t="s">
        <v>1691</v>
      </c>
      <c r="J64" s="480" t="s">
        <v>1795</v>
      </c>
      <c r="K64" s="187"/>
      <c r="L64" s="187">
        <v>4</v>
      </c>
      <c r="M64" s="187"/>
      <c r="N64" s="187" t="s">
        <v>1792</v>
      </c>
      <c r="O64" s="482" t="s">
        <v>1794</v>
      </c>
      <c r="P64" s="475" t="s">
        <v>1765</v>
      </c>
    </row>
    <row r="65" spans="1:16" ht="21" hidden="1" thickBot="1">
      <c r="A65" s="187">
        <v>65</v>
      </c>
      <c r="B65" s="187">
        <v>40</v>
      </c>
      <c r="C65" s="187" t="s">
        <v>995</v>
      </c>
      <c r="D65" s="187">
        <v>2</v>
      </c>
      <c r="E65" s="187">
        <v>-4</v>
      </c>
      <c r="F65" s="187"/>
      <c r="G65" s="187"/>
      <c r="H65" s="187"/>
      <c r="I65" s="187" t="s">
        <v>1696</v>
      </c>
      <c r="J65" s="480" t="s">
        <v>1793</v>
      </c>
      <c r="K65" s="187"/>
      <c r="L65" s="187">
        <v>4</v>
      </c>
      <c r="M65" s="187"/>
      <c r="N65" s="187" t="s">
        <v>1792</v>
      </c>
      <c r="O65" s="483" t="s">
        <v>1791</v>
      </c>
      <c r="P65" s="475" t="s">
        <v>1762</v>
      </c>
    </row>
    <row r="66" spans="1:16" ht="10.8" hidden="1" thickBot="1">
      <c r="A66" s="187">
        <v>66</v>
      </c>
      <c r="B66" s="187">
        <v>40</v>
      </c>
      <c r="C66" s="187" t="s">
        <v>719</v>
      </c>
      <c r="D66" s="187">
        <v>2</v>
      </c>
      <c r="E66" s="187">
        <v>-5</v>
      </c>
      <c r="F66" s="187"/>
      <c r="G66" s="187"/>
      <c r="H66" s="187"/>
      <c r="I66" s="187" t="s">
        <v>1696</v>
      </c>
      <c r="J66" s="480" t="s">
        <v>1790</v>
      </c>
      <c r="K66" s="187"/>
      <c r="L66" s="187">
        <v>4</v>
      </c>
      <c r="M66" s="187"/>
      <c r="N66" s="187" t="s">
        <v>1785</v>
      </c>
      <c r="O66" s="482" t="s">
        <v>1789</v>
      </c>
      <c r="P66" s="475" t="s">
        <v>1759</v>
      </c>
    </row>
    <row r="67" spans="1:16" ht="10.8" hidden="1" thickBot="1">
      <c r="A67" s="187">
        <v>67</v>
      </c>
      <c r="B67" s="187">
        <v>45</v>
      </c>
      <c r="C67" s="187" t="s">
        <v>987</v>
      </c>
      <c r="D67" s="187">
        <v>2</v>
      </c>
      <c r="E67" s="187">
        <v>-5</v>
      </c>
      <c r="F67" s="187"/>
      <c r="G67" s="187"/>
      <c r="H67" s="187"/>
      <c r="I67" s="187" t="s">
        <v>1715</v>
      </c>
      <c r="J67" s="480" t="s">
        <v>1788</v>
      </c>
      <c r="K67" s="187"/>
      <c r="L67" s="187">
        <v>4</v>
      </c>
      <c r="M67" s="187"/>
      <c r="N67" s="187" t="s">
        <v>1785</v>
      </c>
      <c r="O67" s="483" t="s">
        <v>1787</v>
      </c>
      <c r="P67" s="475" t="s">
        <v>1756</v>
      </c>
    </row>
    <row r="68" spans="1:16" ht="10.8" hidden="1" thickBot="1">
      <c r="A68" s="187">
        <v>68</v>
      </c>
      <c r="B68" s="187">
        <v>45</v>
      </c>
      <c r="C68" s="187" t="s">
        <v>1009</v>
      </c>
      <c r="D68" s="187">
        <v>2</v>
      </c>
      <c r="E68" s="187">
        <v>-5</v>
      </c>
      <c r="F68" s="187"/>
      <c r="G68" s="187"/>
      <c r="H68" s="187"/>
      <c r="I68" s="187" t="s">
        <v>1696</v>
      </c>
      <c r="J68" s="480" t="s">
        <v>1786</v>
      </c>
      <c r="K68" s="187"/>
      <c r="L68" s="187">
        <v>4</v>
      </c>
      <c r="M68" s="187"/>
      <c r="N68" s="187" t="s">
        <v>1785</v>
      </c>
      <c r="O68" s="482" t="s">
        <v>1784</v>
      </c>
      <c r="P68" s="475" t="s">
        <v>1753</v>
      </c>
    </row>
    <row r="69" spans="1:16" ht="10.8" hidden="1" thickBot="1">
      <c r="A69" s="187">
        <v>69</v>
      </c>
      <c r="B69" s="187">
        <v>45</v>
      </c>
      <c r="C69" s="187" t="s">
        <v>1017</v>
      </c>
      <c r="D69" s="187">
        <v>2</v>
      </c>
      <c r="E69" s="187">
        <v>-5</v>
      </c>
      <c r="F69" s="187"/>
      <c r="G69" s="187"/>
      <c r="H69" s="187"/>
      <c r="I69" s="187" t="s">
        <v>1696</v>
      </c>
      <c r="J69" s="480" t="s">
        <v>1783</v>
      </c>
      <c r="K69" s="187"/>
      <c r="L69" s="187">
        <v>4</v>
      </c>
      <c r="M69" s="187"/>
      <c r="N69" s="187" t="s">
        <v>1767</v>
      </c>
      <c r="O69" s="483" t="s">
        <v>1782</v>
      </c>
      <c r="P69" s="475" t="s">
        <v>1750</v>
      </c>
    </row>
    <row r="70" spans="1:16" s="208" customFormat="1" ht="10.8" hidden="1" thickBot="1">
      <c r="A70" s="477">
        <v>70</v>
      </c>
      <c r="B70" s="477">
        <v>45</v>
      </c>
      <c r="C70" s="477" t="s">
        <v>1017</v>
      </c>
      <c r="D70" s="477">
        <v>3</v>
      </c>
      <c r="E70" s="477">
        <v>-6</v>
      </c>
      <c r="F70" s="477"/>
      <c r="G70" s="477"/>
      <c r="H70" s="477"/>
      <c r="I70" s="477" t="s">
        <v>1781</v>
      </c>
      <c r="J70" s="478" t="s">
        <v>1780</v>
      </c>
      <c r="K70" s="477"/>
      <c r="L70" s="477">
        <v>4</v>
      </c>
      <c r="M70" s="477"/>
      <c r="N70" s="187" t="s">
        <v>1767</v>
      </c>
      <c r="O70" s="482" t="s">
        <v>1779</v>
      </c>
      <c r="P70" s="475" t="s">
        <v>392</v>
      </c>
    </row>
    <row r="71" spans="1:16" ht="10.8" hidden="1" thickBot="1">
      <c r="A71" s="187">
        <v>71</v>
      </c>
      <c r="B71" s="187">
        <v>20</v>
      </c>
      <c r="C71" s="187" t="s">
        <v>1022</v>
      </c>
      <c r="D71" s="187">
        <v>3</v>
      </c>
      <c r="E71" s="187">
        <v>-6</v>
      </c>
      <c r="F71" s="187"/>
      <c r="G71" s="187"/>
      <c r="H71" s="187"/>
      <c r="I71" s="187" t="s">
        <v>1700</v>
      </c>
      <c r="J71" s="480" t="s">
        <v>1778</v>
      </c>
      <c r="K71" s="187"/>
      <c r="L71" s="187">
        <v>4</v>
      </c>
      <c r="M71" s="187"/>
      <c r="N71" s="187" t="s">
        <v>1767</v>
      </c>
      <c r="O71" s="475" t="s">
        <v>1777</v>
      </c>
      <c r="P71" s="475" t="s">
        <v>1776</v>
      </c>
    </row>
    <row r="72" spans="1:16" ht="10.8" hidden="1" thickBot="1">
      <c r="A72" s="187">
        <v>72</v>
      </c>
      <c r="B72" s="187">
        <v>25</v>
      </c>
      <c r="C72" s="187" t="s">
        <v>1027</v>
      </c>
      <c r="D72" s="187">
        <v>3</v>
      </c>
      <c r="E72" s="187">
        <v>-6</v>
      </c>
      <c r="F72" s="187"/>
      <c r="G72" s="187"/>
      <c r="H72" s="187"/>
      <c r="I72" s="187" t="s">
        <v>1696</v>
      </c>
      <c r="J72" s="480" t="s">
        <v>1775</v>
      </c>
      <c r="K72" s="187"/>
      <c r="L72" s="187">
        <v>4</v>
      </c>
      <c r="M72" s="187"/>
      <c r="N72" s="187" t="s">
        <v>1767</v>
      </c>
      <c r="O72" s="482" t="s">
        <v>1774</v>
      </c>
      <c r="P72" s="475" t="s">
        <v>1773</v>
      </c>
    </row>
    <row r="73" spans="1:16" ht="10.8" hidden="1" thickBot="1">
      <c r="A73" s="187">
        <v>73</v>
      </c>
      <c r="B73" s="187">
        <v>25</v>
      </c>
      <c r="C73" s="187" t="s">
        <v>1022</v>
      </c>
      <c r="D73" s="187">
        <v>3</v>
      </c>
      <c r="E73" s="187">
        <v>-7</v>
      </c>
      <c r="F73" s="187"/>
      <c r="G73" s="187"/>
      <c r="H73" s="187"/>
      <c r="I73" s="187" t="s">
        <v>1772</v>
      </c>
      <c r="J73" s="480" t="s">
        <v>1771</v>
      </c>
      <c r="K73" s="187"/>
      <c r="L73" s="187">
        <v>4</v>
      </c>
      <c r="M73" s="187"/>
      <c r="N73" s="187" t="s">
        <v>1767</v>
      </c>
      <c r="O73" s="483" t="s">
        <v>1770</v>
      </c>
      <c r="P73" s="475" t="s">
        <v>1769</v>
      </c>
    </row>
    <row r="74" spans="1:16" ht="10.8" hidden="1" thickBot="1">
      <c r="A74" s="187">
        <v>74</v>
      </c>
      <c r="B74" s="187">
        <v>30</v>
      </c>
      <c r="C74" s="187" t="s">
        <v>685</v>
      </c>
      <c r="D74" s="187">
        <v>3</v>
      </c>
      <c r="E74" s="187">
        <v>-7</v>
      </c>
      <c r="F74" s="187"/>
      <c r="G74" s="187"/>
      <c r="H74" s="187"/>
      <c r="I74" s="187" t="s">
        <v>1684</v>
      </c>
      <c r="J74" s="480" t="s">
        <v>1768</v>
      </c>
      <c r="K74" s="187"/>
      <c r="L74" s="187">
        <v>4</v>
      </c>
      <c r="M74" s="187"/>
      <c r="N74" s="187" t="s">
        <v>1767</v>
      </c>
      <c r="O74" s="482" t="s">
        <v>1766</v>
      </c>
      <c r="P74" s="475" t="s">
        <v>1765</v>
      </c>
    </row>
    <row r="75" spans="1:16" ht="10.8" hidden="1" thickBot="1">
      <c r="A75" s="187">
        <v>75</v>
      </c>
      <c r="B75" s="187">
        <v>30</v>
      </c>
      <c r="C75" s="187" t="s">
        <v>1027</v>
      </c>
      <c r="D75" s="187">
        <v>3</v>
      </c>
      <c r="E75" s="187">
        <v>-8</v>
      </c>
      <c r="F75" s="187"/>
      <c r="G75" s="187"/>
      <c r="H75" s="187"/>
      <c r="I75" s="187" t="s">
        <v>1684</v>
      </c>
      <c r="J75" s="480" t="s">
        <v>1764</v>
      </c>
      <c r="K75" s="187"/>
      <c r="L75" s="187">
        <v>4</v>
      </c>
      <c r="M75" s="187"/>
      <c r="N75" s="187" t="s">
        <v>1748</v>
      </c>
      <c r="O75" s="483" t="s">
        <v>1763</v>
      </c>
      <c r="P75" s="475" t="s">
        <v>1762</v>
      </c>
    </row>
    <row r="76" spans="1:16" ht="10.8" hidden="1" thickBot="1">
      <c r="A76" s="187">
        <v>76</v>
      </c>
      <c r="B76" s="187">
        <v>35</v>
      </c>
      <c r="C76" s="187" t="s">
        <v>929</v>
      </c>
      <c r="D76" s="187">
        <v>3</v>
      </c>
      <c r="E76" s="187">
        <v>-8</v>
      </c>
      <c r="F76" s="187"/>
      <c r="G76" s="187"/>
      <c r="H76" s="187"/>
      <c r="I76" s="187" t="s">
        <v>1691</v>
      </c>
      <c r="J76" s="480" t="s">
        <v>1761</v>
      </c>
      <c r="K76" s="187"/>
      <c r="L76" s="187">
        <v>5</v>
      </c>
      <c r="M76" s="187"/>
      <c r="N76" s="187" t="s">
        <v>1748</v>
      </c>
      <c r="O76" s="482" t="s">
        <v>1760</v>
      </c>
      <c r="P76" s="475" t="s">
        <v>1759</v>
      </c>
    </row>
    <row r="77" spans="1:16" ht="10.8" hidden="1" thickBot="1">
      <c r="A77" s="187">
        <v>77</v>
      </c>
      <c r="B77" s="187">
        <v>35</v>
      </c>
      <c r="C77" s="187" t="s">
        <v>995</v>
      </c>
      <c r="D77" s="187">
        <v>3</v>
      </c>
      <c r="E77" s="187">
        <v>-9</v>
      </c>
      <c r="F77" s="187"/>
      <c r="G77" s="187"/>
      <c r="H77" s="187"/>
      <c r="I77" s="187" t="s">
        <v>1691</v>
      </c>
      <c r="J77" s="480" t="s">
        <v>1758</v>
      </c>
      <c r="K77" s="187"/>
      <c r="L77" s="187">
        <v>5</v>
      </c>
      <c r="M77" s="187"/>
      <c r="N77" s="187" t="s">
        <v>1748</v>
      </c>
      <c r="O77" s="483" t="s">
        <v>1757</v>
      </c>
      <c r="P77" s="475" t="s">
        <v>1756</v>
      </c>
    </row>
    <row r="78" spans="1:16" ht="10.8" hidden="1" thickBot="1">
      <c r="A78" s="187">
        <v>78</v>
      </c>
      <c r="B78" s="187">
        <v>40</v>
      </c>
      <c r="C78" s="187" t="s">
        <v>987</v>
      </c>
      <c r="D78" s="187">
        <v>4</v>
      </c>
      <c r="E78" s="187">
        <v>-10</v>
      </c>
      <c r="F78" s="187"/>
      <c r="G78" s="187"/>
      <c r="H78" s="187"/>
      <c r="I78" s="187" t="s">
        <v>1691</v>
      </c>
      <c r="J78" s="480" t="s">
        <v>1755</v>
      </c>
      <c r="K78" s="187"/>
      <c r="L78" s="187">
        <v>5</v>
      </c>
      <c r="M78" s="187"/>
      <c r="N78" s="187" t="s">
        <v>1748</v>
      </c>
      <c r="O78" s="482" t="s">
        <v>1754</v>
      </c>
      <c r="P78" s="475" t="s">
        <v>1753</v>
      </c>
    </row>
    <row r="79" spans="1:16" ht="10.8" hidden="1" thickBot="1">
      <c r="A79" s="187">
        <v>79</v>
      </c>
      <c r="B79" s="187">
        <v>40</v>
      </c>
      <c r="C79" s="187" t="s">
        <v>677</v>
      </c>
      <c r="D79" s="187">
        <v>4</v>
      </c>
      <c r="E79" s="187">
        <v>-11</v>
      </c>
      <c r="F79" s="187"/>
      <c r="G79" s="187"/>
      <c r="H79" s="187"/>
      <c r="I79" s="187" t="s">
        <v>1691</v>
      </c>
      <c r="J79" s="480" t="s">
        <v>1752</v>
      </c>
      <c r="K79" s="187"/>
      <c r="L79" s="187">
        <v>5</v>
      </c>
      <c r="M79" s="187"/>
      <c r="N79" s="187" t="s">
        <v>1748</v>
      </c>
      <c r="O79" s="483" t="s">
        <v>1751</v>
      </c>
      <c r="P79" s="475" t="s">
        <v>1750</v>
      </c>
    </row>
    <row r="80" spans="1:16" s="208" customFormat="1" ht="10.8" hidden="1" thickBot="1">
      <c r="A80" s="477">
        <v>80</v>
      </c>
      <c r="B80" s="477">
        <v>45</v>
      </c>
      <c r="C80" s="477" t="s">
        <v>718</v>
      </c>
      <c r="D80" s="477">
        <v>4</v>
      </c>
      <c r="E80" s="477">
        <v>-12</v>
      </c>
      <c r="F80" s="477"/>
      <c r="G80" s="477"/>
      <c r="H80" s="477"/>
      <c r="I80" s="477" t="s">
        <v>1696</v>
      </c>
      <c r="J80" s="478" t="s">
        <v>1749</v>
      </c>
      <c r="K80" s="477"/>
      <c r="L80" s="477">
        <v>5</v>
      </c>
      <c r="M80" s="477"/>
      <c r="N80" s="187" t="s">
        <v>1748</v>
      </c>
      <c r="O80" s="482" t="s">
        <v>1747</v>
      </c>
      <c r="P80" s="475" t="s">
        <v>392</v>
      </c>
    </row>
    <row r="81" spans="1:16" ht="10.8" hidden="1" thickBot="1">
      <c r="A81" s="187">
        <v>81</v>
      </c>
      <c r="B81" s="187">
        <v>20</v>
      </c>
      <c r="C81" s="187" t="s">
        <v>703</v>
      </c>
      <c r="D81" s="187">
        <v>4</v>
      </c>
      <c r="E81" s="187">
        <v>-1</v>
      </c>
      <c r="F81" s="187"/>
      <c r="G81" s="187"/>
      <c r="H81" s="187"/>
      <c r="I81" s="187" t="s">
        <v>1696</v>
      </c>
      <c r="J81" s="480" t="s">
        <v>1746</v>
      </c>
      <c r="K81" s="187"/>
      <c r="L81" s="187">
        <v>5</v>
      </c>
      <c r="M81" s="187"/>
      <c r="N81" s="187" t="s">
        <v>1735</v>
      </c>
      <c r="O81" s="481" t="s">
        <v>1745</v>
      </c>
      <c r="P81" s="475" t="s">
        <v>371</v>
      </c>
    </row>
    <row r="82" spans="1:16" ht="10.8" hidden="1" thickBot="1">
      <c r="A82" s="187">
        <v>82</v>
      </c>
      <c r="B82" s="187">
        <v>25</v>
      </c>
      <c r="C82" s="187" t="s">
        <v>705</v>
      </c>
      <c r="D82" s="187">
        <v>4</v>
      </c>
      <c r="E82" s="187">
        <v>-1</v>
      </c>
      <c r="F82" s="187"/>
      <c r="G82" s="187"/>
      <c r="H82" s="187"/>
      <c r="I82" s="187" t="s">
        <v>1715</v>
      </c>
      <c r="J82" s="480" t="s">
        <v>1744</v>
      </c>
      <c r="K82" s="187"/>
      <c r="L82" s="187">
        <v>5</v>
      </c>
      <c r="M82" s="187"/>
      <c r="N82" s="187" t="s">
        <v>1735</v>
      </c>
      <c r="O82" s="476" t="s">
        <v>1743</v>
      </c>
      <c r="P82" s="475" t="s">
        <v>1742</v>
      </c>
    </row>
    <row r="83" spans="1:16" ht="10.8" hidden="1" thickBot="1">
      <c r="A83" s="187">
        <v>83</v>
      </c>
      <c r="B83" s="187">
        <v>25</v>
      </c>
      <c r="C83" s="187" t="s">
        <v>681</v>
      </c>
      <c r="D83" s="187">
        <v>4</v>
      </c>
      <c r="E83" s="187">
        <v>-2</v>
      </c>
      <c r="F83" s="187"/>
      <c r="G83" s="187"/>
      <c r="H83" s="187"/>
      <c r="I83" s="187" t="s">
        <v>1696</v>
      </c>
      <c r="J83" s="480" t="s">
        <v>1741</v>
      </c>
      <c r="K83" s="187"/>
      <c r="L83" s="187">
        <v>5</v>
      </c>
      <c r="M83" s="187"/>
      <c r="N83" s="187" t="s">
        <v>1735</v>
      </c>
      <c r="O83" s="479" t="s">
        <v>1740</v>
      </c>
      <c r="P83" s="475" t="s">
        <v>1739</v>
      </c>
    </row>
    <row r="84" spans="1:16" ht="10.8" hidden="1" thickBot="1">
      <c r="A84" s="187">
        <v>84</v>
      </c>
      <c r="B84" s="187">
        <v>30</v>
      </c>
      <c r="C84" s="187" t="s">
        <v>707</v>
      </c>
      <c r="D84" s="187">
        <v>5</v>
      </c>
      <c r="E84" s="187">
        <v>-2</v>
      </c>
      <c r="F84" s="187"/>
      <c r="G84" s="187"/>
      <c r="H84" s="187"/>
      <c r="I84" s="187" t="s">
        <v>1696</v>
      </c>
      <c r="J84" s="480" t="s">
        <v>1738</v>
      </c>
      <c r="K84" s="187"/>
      <c r="L84" s="187">
        <v>5</v>
      </c>
      <c r="M84" s="187"/>
      <c r="N84" s="187" t="s">
        <v>1735</v>
      </c>
      <c r="O84" s="476" t="s">
        <v>1737</v>
      </c>
      <c r="P84" s="475" t="s">
        <v>699</v>
      </c>
    </row>
    <row r="85" spans="1:16" ht="10.8" hidden="1" thickBot="1">
      <c r="A85" s="187">
        <v>85</v>
      </c>
      <c r="B85" s="187">
        <v>30</v>
      </c>
      <c r="C85" s="187" t="s">
        <v>929</v>
      </c>
      <c r="D85" s="187">
        <v>5</v>
      </c>
      <c r="E85" s="187">
        <v>-2</v>
      </c>
      <c r="F85" s="187"/>
      <c r="G85" s="187"/>
      <c r="H85" s="187"/>
      <c r="I85" s="187" t="s">
        <v>1696</v>
      </c>
      <c r="J85" s="480" t="s">
        <v>1736</v>
      </c>
      <c r="K85" s="187"/>
      <c r="L85" s="187">
        <v>5</v>
      </c>
      <c r="M85" s="187"/>
      <c r="N85" s="187" t="s">
        <v>1735</v>
      </c>
      <c r="O85" s="479" t="s">
        <v>1734</v>
      </c>
      <c r="P85" s="475" t="s">
        <v>1733</v>
      </c>
    </row>
    <row r="86" spans="1:16" ht="10.8" hidden="1" thickBot="1">
      <c r="A86" s="187">
        <v>86</v>
      </c>
      <c r="B86" s="187">
        <v>35</v>
      </c>
      <c r="C86" s="187" t="s">
        <v>935</v>
      </c>
      <c r="D86" s="187">
        <v>5</v>
      </c>
      <c r="E86" s="187">
        <v>-3</v>
      </c>
      <c r="F86" s="187"/>
      <c r="G86" s="187"/>
      <c r="H86" s="187"/>
      <c r="I86" s="187" t="s">
        <v>1700</v>
      </c>
      <c r="J86" s="480" t="s">
        <v>1732</v>
      </c>
      <c r="K86" s="187"/>
      <c r="L86" s="187">
        <v>5</v>
      </c>
      <c r="M86" s="187"/>
      <c r="N86" s="187" t="s">
        <v>1720</v>
      </c>
      <c r="O86" s="476" t="s">
        <v>1731</v>
      </c>
      <c r="P86" s="475" t="s">
        <v>1730</v>
      </c>
    </row>
    <row r="87" spans="1:16" ht="10.8" hidden="1" thickBot="1">
      <c r="A87" s="187">
        <v>87</v>
      </c>
      <c r="B87" s="187">
        <v>35</v>
      </c>
      <c r="C87" s="187" t="s">
        <v>684</v>
      </c>
      <c r="D87" s="187">
        <v>5</v>
      </c>
      <c r="E87" s="187">
        <v>-3</v>
      </c>
      <c r="F87" s="187"/>
      <c r="G87" s="187"/>
      <c r="H87" s="187"/>
      <c r="I87" s="187" t="s">
        <v>1696</v>
      </c>
      <c r="J87" s="480" t="s">
        <v>1729</v>
      </c>
      <c r="K87" s="187"/>
      <c r="L87" s="187">
        <v>5</v>
      </c>
      <c r="M87" s="187"/>
      <c r="N87" s="187" t="s">
        <v>1720</v>
      </c>
      <c r="O87" s="479" t="s">
        <v>1728</v>
      </c>
      <c r="P87" s="475" t="s">
        <v>1727</v>
      </c>
    </row>
    <row r="88" spans="1:16" ht="10.8" hidden="1" thickBot="1">
      <c r="A88" s="187">
        <v>88</v>
      </c>
      <c r="B88" s="187">
        <v>40</v>
      </c>
      <c r="C88" s="187" t="s">
        <v>957</v>
      </c>
      <c r="D88" s="187">
        <v>5</v>
      </c>
      <c r="E88" s="187">
        <v>-3</v>
      </c>
      <c r="F88" s="187"/>
      <c r="G88" s="187"/>
      <c r="H88" s="187"/>
      <c r="I88" s="187" t="s">
        <v>1691</v>
      </c>
      <c r="J88" s="480" t="s">
        <v>1364</v>
      </c>
      <c r="K88" s="187"/>
      <c r="L88" s="187">
        <v>5</v>
      </c>
      <c r="M88" s="187"/>
      <c r="N88" s="187" t="s">
        <v>1720</v>
      </c>
      <c r="O88" s="476" t="s">
        <v>1726</v>
      </c>
      <c r="P88" s="475" t="s">
        <v>1725</v>
      </c>
    </row>
    <row r="89" spans="1:16" ht="10.8" hidden="1" thickBot="1">
      <c r="A89" s="187">
        <v>89</v>
      </c>
      <c r="B89" s="187">
        <v>40</v>
      </c>
      <c r="C89" s="187" t="s">
        <v>705</v>
      </c>
      <c r="D89" s="187">
        <v>6</v>
      </c>
      <c r="E89" s="187">
        <v>-3</v>
      </c>
      <c r="F89" s="187"/>
      <c r="G89" s="187"/>
      <c r="H89" s="187"/>
      <c r="I89" s="187" t="s">
        <v>1684</v>
      </c>
      <c r="J89" s="480" t="s">
        <v>1724</v>
      </c>
      <c r="K89" s="187"/>
      <c r="L89" s="187">
        <v>5</v>
      </c>
      <c r="M89" s="187"/>
      <c r="N89" s="187" t="s">
        <v>1720</v>
      </c>
      <c r="O89" s="479" t="s">
        <v>1723</v>
      </c>
      <c r="P89" s="475" t="s">
        <v>1722</v>
      </c>
    </row>
    <row r="90" spans="1:16" s="208" customFormat="1" ht="21" hidden="1" thickBot="1">
      <c r="A90" s="477">
        <v>90</v>
      </c>
      <c r="B90" s="477">
        <v>40</v>
      </c>
      <c r="C90" s="477" t="s">
        <v>987</v>
      </c>
      <c r="D90" s="477">
        <v>6</v>
      </c>
      <c r="E90" s="477">
        <v>-4</v>
      </c>
      <c r="F90" s="477"/>
      <c r="G90" s="477"/>
      <c r="H90" s="477"/>
      <c r="I90" s="477" t="s">
        <v>1684</v>
      </c>
      <c r="J90" s="478" t="s">
        <v>1721</v>
      </c>
      <c r="K90" s="477"/>
      <c r="L90" s="477">
        <v>5</v>
      </c>
      <c r="M90" s="477"/>
      <c r="N90" s="187" t="s">
        <v>1720</v>
      </c>
      <c r="O90" s="476" t="s">
        <v>1719</v>
      </c>
      <c r="P90" s="475" t="s">
        <v>1718</v>
      </c>
    </row>
    <row r="91" spans="1:16" ht="21" hidden="1" thickBot="1">
      <c r="A91" s="187">
        <v>91</v>
      </c>
      <c r="B91" s="187">
        <v>20</v>
      </c>
      <c r="C91" s="187" t="s">
        <v>995</v>
      </c>
      <c r="D91" s="187">
        <v>6</v>
      </c>
      <c r="E91" s="187">
        <v>-4</v>
      </c>
      <c r="F91" s="187"/>
      <c r="G91" s="187"/>
      <c r="H91" s="187"/>
      <c r="I91" s="187" t="s">
        <v>1696</v>
      </c>
      <c r="J91" s="480" t="s">
        <v>1717</v>
      </c>
      <c r="K91" s="187"/>
      <c r="L91" s="187">
        <v>6</v>
      </c>
      <c r="M91" s="187"/>
      <c r="N91" s="187" t="s">
        <v>1713</v>
      </c>
      <c r="O91" s="481" t="s">
        <v>1716</v>
      </c>
      <c r="P91" s="475" t="s">
        <v>403</v>
      </c>
    </row>
    <row r="92" spans="1:16" ht="10.8" hidden="1" thickBot="1">
      <c r="A92" s="187">
        <v>92</v>
      </c>
      <c r="B92" s="187">
        <v>25</v>
      </c>
      <c r="C92" s="187" t="s">
        <v>719</v>
      </c>
      <c r="D92" s="187">
        <v>6</v>
      </c>
      <c r="E92" s="187">
        <v>-4</v>
      </c>
      <c r="F92" s="187"/>
      <c r="G92" s="187"/>
      <c r="H92" s="187"/>
      <c r="I92" s="187" t="s">
        <v>1715</v>
      </c>
      <c r="J92" s="480" t="s">
        <v>1714</v>
      </c>
      <c r="K92" s="187"/>
      <c r="L92" s="187">
        <v>6</v>
      </c>
      <c r="M92" s="187"/>
      <c r="N92" s="187" t="s">
        <v>1713</v>
      </c>
      <c r="O92" s="476" t="s">
        <v>1712</v>
      </c>
      <c r="P92" s="475" t="s">
        <v>1711</v>
      </c>
    </row>
    <row r="93" spans="1:16" ht="10.8" hidden="1" thickBot="1">
      <c r="A93" s="187">
        <v>93</v>
      </c>
      <c r="B93" s="187">
        <v>25</v>
      </c>
      <c r="C93" s="187" t="s">
        <v>680</v>
      </c>
      <c r="D93" s="187">
        <v>7</v>
      </c>
      <c r="E93" s="187">
        <v>-4</v>
      </c>
      <c r="F93" s="187"/>
      <c r="G93" s="187"/>
      <c r="H93" s="187"/>
      <c r="I93" s="187" t="s">
        <v>1696</v>
      </c>
      <c r="J93" s="480" t="s">
        <v>1710</v>
      </c>
      <c r="K93" s="187"/>
      <c r="L93" s="187">
        <v>6</v>
      </c>
      <c r="M93" s="187"/>
      <c r="N93" s="187" t="s">
        <v>1706</v>
      </c>
      <c r="O93" s="479" t="s">
        <v>1709</v>
      </c>
      <c r="P93" s="475" t="s">
        <v>1708</v>
      </c>
    </row>
    <row r="94" spans="1:16" ht="10.8" hidden="1" thickBot="1">
      <c r="A94" s="187">
        <v>94</v>
      </c>
      <c r="B94" s="187">
        <v>30</v>
      </c>
      <c r="C94" s="187" t="s">
        <v>1009</v>
      </c>
      <c r="D94" s="187">
        <v>7</v>
      </c>
      <c r="E94" s="187">
        <v>-4</v>
      </c>
      <c r="F94" s="187"/>
      <c r="G94" s="187"/>
      <c r="H94" s="187"/>
      <c r="I94" s="187" t="s">
        <v>1696</v>
      </c>
      <c r="J94" s="480" t="s">
        <v>1707</v>
      </c>
      <c r="K94" s="187"/>
      <c r="L94" s="187">
        <v>6</v>
      </c>
      <c r="M94" s="187"/>
      <c r="N94" s="187" t="s">
        <v>1706</v>
      </c>
      <c r="O94" s="476" t="s">
        <v>1705</v>
      </c>
      <c r="P94" s="475" t="s">
        <v>1704</v>
      </c>
    </row>
    <row r="95" spans="1:16" ht="10.8" hidden="1" thickBot="1">
      <c r="A95" s="187">
        <v>95</v>
      </c>
      <c r="B95" s="187">
        <v>30</v>
      </c>
      <c r="C95" s="187" t="s">
        <v>685</v>
      </c>
      <c r="D95" s="187">
        <v>7</v>
      </c>
      <c r="E95" s="187">
        <v>-5</v>
      </c>
      <c r="F95" s="187"/>
      <c r="G95" s="187"/>
      <c r="H95" s="187"/>
      <c r="I95" s="187" t="s">
        <v>1696</v>
      </c>
      <c r="J95" s="480" t="s">
        <v>1703</v>
      </c>
      <c r="K95" s="187"/>
      <c r="L95" s="187">
        <v>7</v>
      </c>
      <c r="M95" s="187"/>
      <c r="N95" s="187" t="s">
        <v>1694</v>
      </c>
      <c r="O95" s="479" t="s">
        <v>1702</v>
      </c>
      <c r="P95" s="475" t="s">
        <v>1701</v>
      </c>
    </row>
    <row r="96" spans="1:16" ht="10.8" hidden="1" thickBot="1">
      <c r="A96" s="187">
        <v>96</v>
      </c>
      <c r="B96" s="187">
        <v>35</v>
      </c>
      <c r="C96" s="187" t="s">
        <v>1017</v>
      </c>
      <c r="D96" s="187">
        <v>8</v>
      </c>
      <c r="E96" s="187">
        <v>-5</v>
      </c>
      <c r="F96" s="187"/>
      <c r="G96" s="187"/>
      <c r="H96" s="187"/>
      <c r="I96" s="187" t="s">
        <v>1700</v>
      </c>
      <c r="J96" s="480" t="s">
        <v>1699</v>
      </c>
      <c r="K96" s="187"/>
      <c r="L96" s="187">
        <v>7</v>
      </c>
      <c r="M96" s="187"/>
      <c r="N96" s="187" t="s">
        <v>1694</v>
      </c>
      <c r="O96" s="476" t="s">
        <v>1698</v>
      </c>
      <c r="P96" s="475" t="s">
        <v>1697</v>
      </c>
    </row>
    <row r="97" spans="1:16" ht="10.8" hidden="1" thickBot="1">
      <c r="A97" s="187">
        <v>97</v>
      </c>
      <c r="B97" s="187">
        <v>35</v>
      </c>
      <c r="C97" s="187" t="s">
        <v>1022</v>
      </c>
      <c r="D97" s="187">
        <v>8</v>
      </c>
      <c r="E97" s="187">
        <v>-5</v>
      </c>
      <c r="F97" s="187"/>
      <c r="G97" s="187"/>
      <c r="H97" s="187"/>
      <c r="I97" s="187" t="s">
        <v>1696</v>
      </c>
      <c r="J97" s="480" t="s">
        <v>1695</v>
      </c>
      <c r="K97" s="187"/>
      <c r="L97" s="187">
        <v>7</v>
      </c>
      <c r="M97" s="187"/>
      <c r="N97" s="187" t="s">
        <v>1694</v>
      </c>
      <c r="O97" s="479" t="s">
        <v>1693</v>
      </c>
      <c r="P97" s="475" t="s">
        <v>1692</v>
      </c>
    </row>
    <row r="98" spans="1:16" ht="10.8" hidden="1" thickBot="1">
      <c r="A98" s="187">
        <v>98</v>
      </c>
      <c r="B98" s="187">
        <v>40</v>
      </c>
      <c r="C98" s="187" t="s">
        <v>1027</v>
      </c>
      <c r="D98" s="187">
        <v>9</v>
      </c>
      <c r="E98" s="187">
        <v>-5</v>
      </c>
      <c r="F98" s="187"/>
      <c r="G98" s="187"/>
      <c r="H98" s="187"/>
      <c r="I98" s="187" t="s">
        <v>1691</v>
      </c>
      <c r="J98" s="480" t="s">
        <v>1690</v>
      </c>
      <c r="K98" s="187"/>
      <c r="L98" s="187">
        <v>8</v>
      </c>
      <c r="M98" s="187"/>
      <c r="N98" s="187" t="s">
        <v>1682</v>
      </c>
      <c r="O98" s="476" t="s">
        <v>1689</v>
      </c>
      <c r="P98" s="475" t="s">
        <v>1688</v>
      </c>
    </row>
    <row r="99" spans="1:16" ht="10.8" hidden="1" thickBot="1">
      <c r="A99" s="187">
        <v>99</v>
      </c>
      <c r="B99" s="187">
        <v>40</v>
      </c>
      <c r="C99" s="187" t="s">
        <v>703</v>
      </c>
      <c r="D99" s="187">
        <v>10</v>
      </c>
      <c r="E99" s="187">
        <v>-6</v>
      </c>
      <c r="F99" s="187"/>
      <c r="G99" s="187"/>
      <c r="H99" s="187"/>
      <c r="I99" s="187" t="s">
        <v>1684</v>
      </c>
      <c r="J99" s="480" t="s">
        <v>1687</v>
      </c>
      <c r="K99" s="187"/>
      <c r="L99" s="187">
        <v>8</v>
      </c>
      <c r="M99" s="187"/>
      <c r="N99" s="187" t="s">
        <v>1682</v>
      </c>
      <c r="O99" s="479" t="s">
        <v>1686</v>
      </c>
      <c r="P99" s="475" t="s">
        <v>1685</v>
      </c>
    </row>
    <row r="100" spans="1:16" s="208" customFormat="1" ht="10.8" hidden="1" thickBot="1">
      <c r="A100" s="477">
        <v>100</v>
      </c>
      <c r="B100" s="477">
        <v>45</v>
      </c>
      <c r="C100" s="477" t="s">
        <v>705</v>
      </c>
      <c r="D100" s="477">
        <v>3</v>
      </c>
      <c r="E100" s="477">
        <v>-6</v>
      </c>
      <c r="F100" s="477"/>
      <c r="G100" s="477"/>
      <c r="H100" s="477"/>
      <c r="I100" s="477" t="s">
        <v>1684</v>
      </c>
      <c r="J100" s="478" t="s">
        <v>1683</v>
      </c>
      <c r="K100" s="477"/>
      <c r="L100" s="477">
        <v>9</v>
      </c>
      <c r="M100" s="477"/>
      <c r="N100" s="187" t="s">
        <v>1682</v>
      </c>
      <c r="O100" s="476" t="s">
        <v>1681</v>
      </c>
      <c r="P100" s="475" t="s">
        <v>1680</v>
      </c>
    </row>
    <row r="101" spans="1:16" ht="10.8" hidden="1" thickBot="1">
      <c r="A101" s="187" t="s">
        <v>560</v>
      </c>
      <c r="B101" s="187" t="s">
        <v>1679</v>
      </c>
      <c r="C101" s="187" t="s">
        <v>1678</v>
      </c>
      <c r="D101" s="187" t="s">
        <v>1677</v>
      </c>
      <c r="E101" s="187" t="s">
        <v>1676</v>
      </c>
      <c r="F101" s="474" t="s">
        <v>1675</v>
      </c>
      <c r="G101" s="474" t="s">
        <v>1674</v>
      </c>
      <c r="H101" s="187"/>
      <c r="I101" s="474" t="s">
        <v>1673</v>
      </c>
      <c r="J101" s="474" t="s">
        <v>1672</v>
      </c>
      <c r="K101" s="474" t="s">
        <v>1671</v>
      </c>
      <c r="L101" s="474" t="s">
        <v>1670</v>
      </c>
      <c r="M101" s="187"/>
      <c r="N101" s="206" t="s">
        <v>1669</v>
      </c>
      <c r="O101" s="206" t="s">
        <v>1668</v>
      </c>
      <c r="P101" s="196" t="s">
        <v>1667</v>
      </c>
    </row>
    <row r="102" spans="1:16" s="433" customFormat="1" ht="3.6" customHeight="1" thickBot="1">
      <c r="B102" s="473"/>
    </row>
    <row r="103" spans="1:16" s="433" customFormat="1" ht="9.9" customHeight="1" thickBot="1">
      <c r="A103" s="440" t="s">
        <v>1666</v>
      </c>
      <c r="B103" s="472">
        <v>1100</v>
      </c>
      <c r="C103" s="440" t="s">
        <v>1665</v>
      </c>
      <c r="D103" s="466">
        <v>0.8</v>
      </c>
    </row>
    <row r="104" spans="1:16" s="433" customFormat="1" ht="9.9" customHeight="1" thickBot="1">
      <c r="A104" s="733" t="s">
        <v>1660</v>
      </c>
      <c r="B104" s="471" t="str">
        <f ca="1">LOOKUP(RANDBETWEEN(1,100),dé100,déNOM)</f>
        <v>S</v>
      </c>
      <c r="C104" s="734" t="s">
        <v>1664</v>
      </c>
      <c r="D104" s="454" t="str">
        <f ca="1">LOOKUP(RANDBETWEEN(1,100),dé100,déNOM)</f>
        <v>N</v>
      </c>
    </row>
    <row r="105" spans="1:16" s="433" customFormat="1" ht="9.9" customHeight="1">
      <c r="A105" s="440" t="s">
        <v>1656</v>
      </c>
      <c r="B105" s="442">
        <f ca="1">AN-B106</f>
        <v>52</v>
      </c>
      <c r="C105" s="453" t="str">
        <f ca="1">LOOKUP(RANDBETWEEN(1,10),dé10,déMariage)</f>
        <v>mariage</v>
      </c>
      <c r="D105" s="451">
        <f ca="1">AN-D106</f>
        <v>50</v>
      </c>
    </row>
    <row r="106" spans="1:16" s="433" customFormat="1" ht="9.9" customHeight="1">
      <c r="A106" s="440" t="s">
        <v>1654</v>
      </c>
      <c r="B106" s="442">
        <f ca="1">MIN(D114:M114)-RANDBETWEEN(0,10)-RANDBETWEEN(0,10)-14</f>
        <v>1048</v>
      </c>
      <c r="D106" s="451">
        <f ca="1">B106+RANDBETWEEN(0,10)-RANDBETWEEN(0,10)</f>
        <v>1050</v>
      </c>
    </row>
    <row r="107" spans="1:16" s="433" customFormat="1" ht="9.9" customHeight="1">
      <c r="A107" s="440" t="s">
        <v>65</v>
      </c>
      <c r="B107" s="442" t="str">
        <f ca="1">IF(RANDBETWEEN(0,100)&lt;(AN-B106)*mort,"+"&amp;LOOKUP(RANDBETWEEN(1,10),dé10,déMort)," ")</f>
        <v xml:space="preserve"> </v>
      </c>
      <c r="D107" s="451" t="str">
        <f ca="1">IF(RANDBETWEEN(0,100)&lt;(AN-D106)*mort,"+"&amp;LOOKUP(RANDBETWEEN(1,10),dé10,déMort)," ")</f>
        <v xml:space="preserve"> </v>
      </c>
    </row>
    <row r="108" spans="1:16" s="433" customFormat="1" ht="9.9" customHeight="1">
      <c r="A108" s="440" t="s">
        <v>1653</v>
      </c>
      <c r="B108" s="442" t="str">
        <f ca="1">IF(B107&lt;&gt;" ",MAX($D114:$M114)+RANDBETWEEN(0,100-MAX($D114,$M114)+B106)," ")</f>
        <v xml:space="preserve"> </v>
      </c>
      <c r="D108" s="451" t="str">
        <f ca="1">IF(D107&lt;&gt;" ",MAX($D114:$M114)+RANDBETWEEN(0,100-MAX($D114,$M114)+D106)," ")</f>
        <v xml:space="preserve"> </v>
      </c>
    </row>
    <row r="109" spans="1:16" s="433" customFormat="1" ht="9.9" customHeight="1">
      <c r="A109" s="440"/>
      <c r="B109" s="442" t="str">
        <f ca="1">IF(B107&lt;&gt;" ","à "&amp;B108-B106&amp;" ans"," ")</f>
        <v xml:space="preserve"> </v>
      </c>
      <c r="D109" s="451" t="str">
        <f ca="1">IF(D107&lt;&gt;" ","à "&amp;D108-D106&amp;" ans"," ")</f>
        <v xml:space="preserve"> </v>
      </c>
    </row>
    <row r="110" spans="1:16" s="433" customFormat="1" ht="9.9" customHeight="1" thickBot="1">
      <c r="B110" s="470" t="str">
        <f ca="1">IF(RANDBETWEEN(1,5)=1,"le "&amp;LOOKUP(RANDBETWEEN(1,100),dé100,déTrait)," ")</f>
        <v xml:space="preserve"> </v>
      </c>
      <c r="D110" s="449" t="str">
        <f ca="1">IF(RANDBETWEEN(1,2)=1,LOOKUP(RANDBETWEEN(1,50),dé100,déFemme)," ")</f>
        <v>fille de…</v>
      </c>
    </row>
    <row r="111" spans="1:16" s="433" customFormat="1" ht="9.9" customHeight="1" thickBot="1">
      <c r="D111" s="433" t="str">
        <f t="shared" ref="D111:M111" ca="1" si="0">IF(D112&lt;&gt;" ",IF(RANDBETWEEN(1,20)=1,LOOKUP(RANDBETWEEN(1,10),dé10,déBâtard),"naturel")," ")</f>
        <v>naturel</v>
      </c>
      <c r="E111" s="433" t="str">
        <f t="shared" ca="1" si="0"/>
        <v>naturel</v>
      </c>
      <c r="F111" s="433" t="str">
        <f t="shared" ca="1" si="0"/>
        <v xml:space="preserve"> </v>
      </c>
      <c r="G111" s="433" t="str">
        <f t="shared" ca="1" si="0"/>
        <v xml:space="preserve"> </v>
      </c>
      <c r="H111" s="433" t="str">
        <f t="shared" ca="1" si="0"/>
        <v xml:space="preserve"> </v>
      </c>
      <c r="I111" s="433" t="str">
        <f t="shared" ca="1" si="0"/>
        <v xml:space="preserve"> </v>
      </c>
      <c r="J111" s="433" t="str">
        <f t="shared" ca="1" si="0"/>
        <v xml:space="preserve"> </v>
      </c>
      <c r="K111" s="433" t="str">
        <f t="shared" ca="1" si="0"/>
        <v xml:space="preserve"> </v>
      </c>
      <c r="L111" s="433" t="str">
        <f t="shared" ca="1" si="0"/>
        <v xml:space="preserve"> </v>
      </c>
      <c r="M111" s="433" t="str">
        <f t="shared" ca="1" si="0"/>
        <v xml:space="preserve"> </v>
      </c>
    </row>
    <row r="112" spans="1:16" s="433" customFormat="1" ht="9.9" customHeight="1" thickBot="1">
      <c r="B112" s="434" t="s">
        <v>1663</v>
      </c>
      <c r="C112" s="469" t="s">
        <v>1662</v>
      </c>
      <c r="D112" s="468" t="str">
        <f ca="1">LOOKUP(RANDBETWEEN(1,100),dé100,déNOM)</f>
        <v>N</v>
      </c>
      <c r="E112" s="467" t="str">
        <f t="shared" ref="E112:M112" ca="1" si="1">IF(NFS&gt;E118,IF(RANDBETWEEN(1,2)=1,"m-","f-")&amp;LOOKUP(RANDBETWEEN(1,100),dé100,déNOM)," ")</f>
        <v>m-U</v>
      </c>
      <c r="F112" s="446" t="str">
        <f t="shared" ca="1" si="1"/>
        <v xml:space="preserve"> </v>
      </c>
      <c r="G112" s="446" t="str">
        <f t="shared" ca="1" si="1"/>
        <v xml:space="preserve"> </v>
      </c>
      <c r="H112" s="446" t="str">
        <f t="shared" ca="1" si="1"/>
        <v xml:space="preserve"> </v>
      </c>
      <c r="I112" s="446" t="str">
        <f t="shared" ca="1" si="1"/>
        <v xml:space="preserve"> </v>
      </c>
      <c r="J112" s="446" t="str">
        <f t="shared" ca="1" si="1"/>
        <v xml:space="preserve"> </v>
      </c>
      <c r="K112" s="446" t="str">
        <f t="shared" ca="1" si="1"/>
        <v xml:space="preserve"> </v>
      </c>
      <c r="L112" s="446" t="str">
        <f t="shared" ca="1" si="1"/>
        <v xml:space="preserve"> </v>
      </c>
      <c r="M112" s="457" t="str">
        <f t="shared" ca="1" si="1"/>
        <v xml:space="preserve"> </v>
      </c>
    </row>
    <row r="113" spans="1:13" s="433" customFormat="1" ht="9.9" customHeight="1" thickBot="1">
      <c r="B113" s="466">
        <v>30</v>
      </c>
      <c r="C113" s="440" t="s">
        <v>1656</v>
      </c>
      <c r="D113" s="462">
        <f ca="1">AN-D114</f>
        <v>30</v>
      </c>
      <c r="E113" s="465">
        <f t="shared" ref="E113:M113" ca="1" si="2">IF(E112&lt;&gt;" ",D113+LOOKUP(RANDBETWEEN(1,100),dé100,déFraterie)," ")</f>
        <v>32</v>
      </c>
      <c r="F113" s="464" t="str">
        <f t="shared" ca="1" si="2"/>
        <v xml:space="preserve"> </v>
      </c>
      <c r="G113" s="464" t="str">
        <f t="shared" ca="1" si="2"/>
        <v xml:space="preserve"> </v>
      </c>
      <c r="H113" s="464" t="str">
        <f t="shared" ca="1" si="2"/>
        <v xml:space="preserve"> </v>
      </c>
      <c r="I113" s="464" t="str">
        <f t="shared" ca="1" si="2"/>
        <v xml:space="preserve"> </v>
      </c>
      <c r="J113" s="464" t="str">
        <f t="shared" ca="1" si="2"/>
        <v xml:space="preserve"> </v>
      </c>
      <c r="K113" s="464" t="str">
        <f t="shared" ca="1" si="2"/>
        <v xml:space="preserve"> </v>
      </c>
      <c r="L113" s="464" t="str">
        <f t="shared" ca="1" si="2"/>
        <v xml:space="preserve"> </v>
      </c>
      <c r="M113" s="463" t="str">
        <f t="shared" ca="1" si="2"/>
        <v xml:space="preserve"> </v>
      </c>
    </row>
    <row r="114" spans="1:13" s="433" customFormat="1" ht="9.9" customHeight="1">
      <c r="B114" s="444" t="s">
        <v>1655</v>
      </c>
      <c r="C114" s="440" t="s">
        <v>1654</v>
      </c>
      <c r="D114" s="462">
        <f ca="1">AN-IF(AGE=0,LOOKUP(RANDBETWEEN(1,100),dé100,déAGE)+RANDBETWEEN(0,4),AGE)</f>
        <v>1070</v>
      </c>
      <c r="E114" s="460">
        <f t="shared" ref="E114:M114" ca="1" si="3">IF(E112&lt;&gt;" ",AN-E113," ")</f>
        <v>1068</v>
      </c>
      <c r="F114" s="434" t="str">
        <f t="shared" ca="1" si="3"/>
        <v xml:space="preserve"> </v>
      </c>
      <c r="G114" s="434" t="str">
        <f t="shared" ca="1" si="3"/>
        <v xml:space="preserve"> </v>
      </c>
      <c r="H114" s="434" t="str">
        <f t="shared" ca="1" si="3"/>
        <v xml:space="preserve"> </v>
      </c>
      <c r="I114" s="434" t="str">
        <f t="shared" ca="1" si="3"/>
        <v xml:space="preserve"> </v>
      </c>
      <c r="J114" s="434" t="str">
        <f t="shared" ca="1" si="3"/>
        <v xml:space="preserve"> </v>
      </c>
      <c r="K114" s="434" t="str">
        <f t="shared" ca="1" si="3"/>
        <v xml:space="preserve"> </v>
      </c>
      <c r="L114" s="434" t="str">
        <f t="shared" ca="1" si="3"/>
        <v xml:space="preserve"> </v>
      </c>
      <c r="M114" s="441" t="str">
        <f t="shared" ca="1" si="3"/>
        <v xml:space="preserve"> </v>
      </c>
    </row>
    <row r="115" spans="1:13" s="433" customFormat="1" ht="9.9" customHeight="1" thickBot="1">
      <c r="B115" s="443">
        <f ca="1">LOOKUP(RANDBETWEEN(1,100),dé100,déEnfant)</f>
        <v>2</v>
      </c>
      <c r="C115" s="440" t="s">
        <v>65</v>
      </c>
      <c r="D115" s="461"/>
      <c r="E115" s="460" t="str">
        <f t="shared" ref="E115:M115" ca="1" si="4">IF(E113&lt;&gt;" ",IF(RANDBETWEEN(0,100)&lt;E113*mort,"+"&amp;LOOKUP(RANDBETWEEN(1,10),dé10,déMort)," ")," ")</f>
        <v xml:space="preserve"> </v>
      </c>
      <c r="F115" s="434" t="str">
        <f t="shared" ca="1" si="4"/>
        <v xml:space="preserve"> </v>
      </c>
      <c r="G115" s="434" t="str">
        <f t="shared" ca="1" si="4"/>
        <v xml:space="preserve"> </v>
      </c>
      <c r="H115" s="434" t="str">
        <f t="shared" ca="1" si="4"/>
        <v xml:space="preserve"> </v>
      </c>
      <c r="I115" s="434" t="str">
        <f t="shared" ca="1" si="4"/>
        <v xml:space="preserve"> </v>
      </c>
      <c r="J115" s="434" t="str">
        <f t="shared" ca="1" si="4"/>
        <v xml:space="preserve"> </v>
      </c>
      <c r="K115" s="434" t="str">
        <f t="shared" ca="1" si="4"/>
        <v xml:space="preserve"> </v>
      </c>
      <c r="L115" s="434" t="str">
        <f t="shared" ca="1" si="4"/>
        <v xml:space="preserve"> </v>
      </c>
      <c r="M115" s="441" t="str">
        <f t="shared" ca="1" si="4"/>
        <v xml:space="preserve"> </v>
      </c>
    </row>
    <row r="116" spans="1:13" s="433" customFormat="1" ht="9.9" customHeight="1">
      <c r="C116" s="440" t="s">
        <v>1653</v>
      </c>
      <c r="D116" s="461"/>
      <c r="E116" s="460" t="str">
        <f t="shared" ref="E116:M116" ca="1" si="5">IF(E115&lt;&gt;" ",RANDBETWEEN(0,E113)+E114," ")</f>
        <v xml:space="preserve"> </v>
      </c>
      <c r="F116" s="434" t="str">
        <f t="shared" ca="1" si="5"/>
        <v xml:space="preserve"> </v>
      </c>
      <c r="G116" s="434" t="str">
        <f t="shared" ca="1" si="5"/>
        <v xml:space="preserve"> </v>
      </c>
      <c r="H116" s="434" t="str">
        <f t="shared" ca="1" si="5"/>
        <v xml:space="preserve"> </v>
      </c>
      <c r="I116" s="434" t="str">
        <f t="shared" ca="1" si="5"/>
        <v xml:space="preserve"> </v>
      </c>
      <c r="J116" s="434" t="str">
        <f t="shared" ca="1" si="5"/>
        <v xml:space="preserve"> </v>
      </c>
      <c r="K116" s="434" t="str">
        <f t="shared" ca="1" si="5"/>
        <v xml:space="preserve"> </v>
      </c>
      <c r="L116" s="434" t="str">
        <f t="shared" ca="1" si="5"/>
        <v xml:space="preserve"> </v>
      </c>
      <c r="M116" s="441" t="str">
        <f t="shared" ca="1" si="5"/>
        <v xml:space="preserve"> </v>
      </c>
    </row>
    <row r="117" spans="1:13" s="433" customFormat="1" ht="9.9" customHeight="1" thickBot="1">
      <c r="D117" s="459"/>
      <c r="E117" s="458" t="str">
        <f t="shared" ref="E117:M117" ca="1" si="6">IF(E115&lt;&gt;" ","à "&amp;E116-E114&amp;" ans"," ")</f>
        <v xml:space="preserve"> </v>
      </c>
      <c r="F117" s="438" t="str">
        <f t="shared" ca="1" si="6"/>
        <v xml:space="preserve"> </v>
      </c>
      <c r="G117" s="438" t="str">
        <f t="shared" ca="1" si="6"/>
        <v xml:space="preserve"> </v>
      </c>
      <c r="H117" s="438" t="str">
        <f t="shared" ca="1" si="6"/>
        <v xml:space="preserve"> </v>
      </c>
      <c r="I117" s="438" t="str">
        <f t="shared" ca="1" si="6"/>
        <v xml:space="preserve"> </v>
      </c>
      <c r="J117" s="438" t="str">
        <f t="shared" ca="1" si="6"/>
        <v xml:space="preserve"> </v>
      </c>
      <c r="K117" s="438" t="str">
        <f t="shared" ca="1" si="6"/>
        <v xml:space="preserve"> </v>
      </c>
      <c r="L117" s="438" t="str">
        <f t="shared" ca="1" si="6"/>
        <v xml:space="preserve"> </v>
      </c>
      <c r="M117" s="437" t="str">
        <f t="shared" ca="1" si="6"/>
        <v xml:space="preserve"> </v>
      </c>
    </row>
    <row r="118" spans="1:13" s="433" customFormat="1" ht="9.9" customHeight="1" thickBot="1">
      <c r="C118" s="436" t="str">
        <f ca="1">LOOKUP(RANDBETWEEN(1,100),dé100,déTitre)</f>
        <v>clerc</v>
      </c>
      <c r="D118" s="435" t="str">
        <f ca="1">"en "&amp;D114+RANDBETWEEN(14,D113-14)</f>
        <v>en 1084</v>
      </c>
      <c r="E118" s="434">
        <v>1</v>
      </c>
      <c r="F118" s="434">
        <v>2</v>
      </c>
      <c r="G118" s="434">
        <v>3</v>
      </c>
      <c r="H118" s="434">
        <v>4</v>
      </c>
      <c r="I118" s="434">
        <v>5</v>
      </c>
      <c r="J118" s="434">
        <v>6</v>
      </c>
      <c r="K118" s="434">
        <v>7</v>
      </c>
      <c r="L118" s="434">
        <v>8</v>
      </c>
      <c r="M118" s="434">
        <v>9</v>
      </c>
    </row>
    <row r="119" spans="1:13" s="433" customFormat="1" ht="9.9" customHeight="1" thickBot="1">
      <c r="B119" s="456">
        <f>AN</f>
        <v>1100</v>
      </c>
    </row>
    <row r="120" spans="1:13" s="433" customFormat="1" ht="9.9" customHeight="1" thickBot="1">
      <c r="A120" s="735" t="s">
        <v>1657</v>
      </c>
      <c r="B120" s="455" t="str">
        <f ca="1">LOOKUP(RANDBETWEEN(1,100),dé100,déNOM)</f>
        <v>N</v>
      </c>
      <c r="C120" s="734" t="s">
        <v>1661</v>
      </c>
      <c r="D120" s="454" t="str">
        <f ca="1">LOOKUP(RANDBETWEEN(1,100),dé100,déNOM)</f>
        <v>C</v>
      </c>
    </row>
    <row r="121" spans="1:13" s="433" customFormat="1" ht="9.9" customHeight="1">
      <c r="A121" s="440" t="s">
        <v>1656</v>
      </c>
      <c r="B121" s="452">
        <f ca="1">AN-B122</f>
        <v>87</v>
      </c>
      <c r="C121" s="453" t="str">
        <f ca="1">LOOKUP(RANDBETWEEN(1,10),dé10,déMariage)</f>
        <v>mariage</v>
      </c>
      <c r="D121" s="451">
        <f ca="1">AN-D122</f>
        <v>81</v>
      </c>
    </row>
    <row r="122" spans="1:13" s="433" customFormat="1" ht="9.9" customHeight="1">
      <c r="A122" s="440" t="s">
        <v>1654</v>
      </c>
      <c r="B122" s="452">
        <f ca="1">MIN(D130:M130)-RANDBETWEEN(0,10)-RANDBETWEEN(0,10)-14</f>
        <v>1013</v>
      </c>
      <c r="D122" s="451">
        <f ca="1">B122+RANDBETWEEN(0,10)-RANDBETWEEN(0,10)</f>
        <v>1019</v>
      </c>
    </row>
    <row r="123" spans="1:13" s="433" customFormat="1" ht="9.9" customHeight="1">
      <c r="A123" s="440" t="s">
        <v>65</v>
      </c>
      <c r="B123" s="452" t="str">
        <f ca="1">IF(RANDBETWEEN(0,100)&lt;AN-B122,"+"&amp;LOOKUP(RANDBETWEEN(1,10),dé10,déMort)," ")</f>
        <v>+naturelle</v>
      </c>
      <c r="D123" s="451" t="str">
        <f ca="1">IF(RANDBETWEEN(0,100)&lt;AN-D122,"+"&amp;LOOKUP(RANDBETWEEN(1,10),dé10,déMort)," ")</f>
        <v>+violente</v>
      </c>
    </row>
    <row r="124" spans="1:13" s="433" customFormat="1" ht="9.9" customHeight="1">
      <c r="A124" s="440" t="s">
        <v>1653</v>
      </c>
      <c r="B124" s="452">
        <f ca="1">IF(B123&lt;&gt;" ",MAX($D130:$M130)+RANDBETWEEN(0,100-MAX($D130,$M130)+B122)," ")</f>
        <v>1076</v>
      </c>
      <c r="D124" s="451">
        <f ca="1">IF(D123&lt;&gt;" ",MAX($D130:$M130)+RANDBETWEEN(0,100-MAX($D130,$M130)+D122)," ")</f>
        <v>1116</v>
      </c>
    </row>
    <row r="125" spans="1:13" s="433" customFormat="1" ht="9.9" customHeight="1">
      <c r="A125" s="440"/>
      <c r="B125" s="452" t="str">
        <f ca="1">IF(B123&lt;&gt;" ","à "&amp;B124-B122&amp;" ans"," ")</f>
        <v>à 63 ans</v>
      </c>
      <c r="D125" s="451" t="str">
        <f ca="1">IF(D123&lt;&gt;" ","à "&amp;D124-D122&amp;" ans"," ")</f>
        <v>à 97 ans</v>
      </c>
    </row>
    <row r="126" spans="1:13" s="433" customFormat="1" ht="9.9" customHeight="1" thickBot="1">
      <c r="B126" s="450" t="str">
        <f ca="1">IF(RANDBETWEEN(1,5)=1,"le "&amp;LOOKUP(RANDBETWEEN(1,100),dé100,déTrait)," ")</f>
        <v xml:space="preserve">le Intolérant </v>
      </c>
      <c r="D126" s="449" t="str">
        <f ca="1">IF(RANDBETWEEN(1,2)=1,LOOKUP(RANDBETWEEN(1,50),dé100,déFemme)," ")</f>
        <v>fille de…</v>
      </c>
    </row>
    <row r="127" spans="1:13" s="433" customFormat="1" ht="9.9" customHeight="1" thickBot="1">
      <c r="D127" s="433" t="str">
        <f t="shared" ref="D127:M127" ca="1" si="7">IF(D128&lt;&gt;" ",IF(RANDBETWEEN(1,20)=1,LOOKUP(RANDBETWEEN(1,10),dé10,déBâtard),"naturel")," ")</f>
        <v>naturel</v>
      </c>
      <c r="E127" s="433" t="str">
        <f t="shared" ca="1" si="7"/>
        <v>naturel</v>
      </c>
      <c r="F127" s="433" t="str">
        <f t="shared" ca="1" si="7"/>
        <v xml:space="preserve"> </v>
      </c>
      <c r="G127" s="433" t="str">
        <f t="shared" ca="1" si="7"/>
        <v xml:space="preserve"> </v>
      </c>
      <c r="H127" s="433" t="str">
        <f t="shared" ca="1" si="7"/>
        <v xml:space="preserve"> </v>
      </c>
      <c r="I127" s="433" t="str">
        <f t="shared" ca="1" si="7"/>
        <v xml:space="preserve"> </v>
      </c>
      <c r="J127" s="433" t="str">
        <f t="shared" ca="1" si="7"/>
        <v xml:space="preserve"> </v>
      </c>
      <c r="K127" s="433" t="str">
        <f t="shared" ca="1" si="7"/>
        <v xml:space="preserve"> </v>
      </c>
      <c r="L127" s="433" t="str">
        <f t="shared" ca="1" si="7"/>
        <v xml:space="preserve"> </v>
      </c>
      <c r="M127" s="433" t="str">
        <f t="shared" ca="1" si="7"/>
        <v xml:space="preserve"> </v>
      </c>
    </row>
    <row r="128" spans="1:13" s="433" customFormat="1" ht="9.9" customHeight="1" thickBot="1">
      <c r="B128" s="434"/>
      <c r="C128" s="448" t="s">
        <v>1660</v>
      </c>
      <c r="D128" s="447" t="str">
        <f ca="1">B104</f>
        <v>S</v>
      </c>
      <c r="E128" s="446" t="str">
        <f t="shared" ref="E128:M128" ca="1" si="8">IF(NFSpère&gt;E134,IF(RANDBETWEEN(1,2)=1,"m-","f-")&amp;LOOKUP(RANDBETWEEN(1,100),dé100,déNOM)," ")</f>
        <v>f-T</v>
      </c>
      <c r="F128" s="446" t="str">
        <f t="shared" ca="1" si="8"/>
        <v xml:space="preserve"> </v>
      </c>
      <c r="G128" s="446" t="str">
        <f t="shared" ca="1" si="8"/>
        <v xml:space="preserve"> </v>
      </c>
      <c r="H128" s="446" t="str">
        <f t="shared" ca="1" si="8"/>
        <v xml:space="preserve"> </v>
      </c>
      <c r="I128" s="446" t="str">
        <f t="shared" ca="1" si="8"/>
        <v xml:space="preserve"> </v>
      </c>
      <c r="J128" s="446" t="str">
        <f t="shared" ca="1" si="8"/>
        <v xml:space="preserve"> </v>
      </c>
      <c r="K128" s="446" t="str">
        <f t="shared" ca="1" si="8"/>
        <v xml:space="preserve"> </v>
      </c>
      <c r="L128" s="446" t="str">
        <f t="shared" ca="1" si="8"/>
        <v xml:space="preserve"> </v>
      </c>
      <c r="M128" s="457" t="str">
        <f t="shared" ca="1" si="8"/>
        <v xml:space="preserve"> </v>
      </c>
    </row>
    <row r="129" spans="1:13" s="433" customFormat="1" ht="9.9" customHeight="1" thickBot="1">
      <c r="B129" s="445">
        <v>0</v>
      </c>
      <c r="C129" s="440" t="s">
        <v>1656</v>
      </c>
      <c r="D129" s="442">
        <f ca="1">B105</f>
        <v>52</v>
      </c>
      <c r="E129" s="434">
        <f t="shared" ref="E129:M129" ca="1" si="9">IF(E128&lt;&gt;" ",D129+LOOKUP(RANDBETWEEN(1,100),dé100,déFraterie)," ")</f>
        <v>53</v>
      </c>
      <c r="F129" s="434" t="str">
        <f t="shared" ca="1" si="9"/>
        <v xml:space="preserve"> </v>
      </c>
      <c r="G129" s="434" t="str">
        <f t="shared" ca="1" si="9"/>
        <v xml:space="preserve"> </v>
      </c>
      <c r="H129" s="434" t="str">
        <f t="shared" ca="1" si="9"/>
        <v xml:space="preserve"> </v>
      </c>
      <c r="I129" s="434" t="str">
        <f t="shared" ca="1" si="9"/>
        <v xml:space="preserve"> </v>
      </c>
      <c r="J129" s="434" t="str">
        <f t="shared" ca="1" si="9"/>
        <v xml:space="preserve"> </v>
      </c>
      <c r="K129" s="434" t="str">
        <f t="shared" ca="1" si="9"/>
        <v xml:space="preserve"> </v>
      </c>
      <c r="L129" s="434" t="str">
        <f t="shared" ca="1" si="9"/>
        <v xml:space="preserve"> </v>
      </c>
      <c r="M129" s="441" t="str">
        <f t="shared" ca="1" si="9"/>
        <v xml:space="preserve"> </v>
      </c>
    </row>
    <row r="130" spans="1:13" s="433" customFormat="1" ht="9.9" customHeight="1">
      <c r="B130" s="444" t="s">
        <v>1655</v>
      </c>
      <c r="C130" s="440" t="s">
        <v>1654</v>
      </c>
      <c r="D130" s="442">
        <f ca="1">B106</f>
        <v>1048</v>
      </c>
      <c r="E130" s="434">
        <f t="shared" ref="E130:M130" ca="1" si="10">IF(E128&lt;&gt;" ",AN-E129," ")</f>
        <v>1047</v>
      </c>
      <c r="F130" s="434" t="str">
        <f t="shared" ca="1" si="10"/>
        <v xml:space="preserve"> </v>
      </c>
      <c r="G130" s="434" t="str">
        <f t="shared" ca="1" si="10"/>
        <v xml:space="preserve"> </v>
      </c>
      <c r="H130" s="434" t="str">
        <f t="shared" ca="1" si="10"/>
        <v xml:space="preserve"> </v>
      </c>
      <c r="I130" s="434" t="str">
        <f t="shared" ca="1" si="10"/>
        <v xml:space="preserve"> </v>
      </c>
      <c r="J130" s="434" t="str">
        <f t="shared" ca="1" si="10"/>
        <v xml:space="preserve"> </v>
      </c>
      <c r="K130" s="434" t="str">
        <f t="shared" ca="1" si="10"/>
        <v xml:space="preserve"> </v>
      </c>
      <c r="L130" s="434" t="str">
        <f t="shared" ca="1" si="10"/>
        <v xml:space="preserve"> </v>
      </c>
      <c r="M130" s="441" t="str">
        <f t="shared" ca="1" si="10"/>
        <v xml:space="preserve"> </v>
      </c>
    </row>
    <row r="131" spans="1:13" s="433" customFormat="1" ht="9.9" customHeight="1" thickBot="1">
      <c r="B131" s="443">
        <f ca="1">LOOKUP(RANDBETWEEN(1,100),dé100,déEnfant)</f>
        <v>2</v>
      </c>
      <c r="C131" s="440" t="s">
        <v>65</v>
      </c>
      <c r="D131" s="442" t="str">
        <f ca="1">B107</f>
        <v xml:space="preserve"> </v>
      </c>
      <c r="E131" s="434" t="str">
        <f t="shared" ref="E131:M131" ca="1" si="11">IF(E129&lt;&gt;" ",IF(RANDBETWEEN(0,100)&lt;E129,"+"&amp;LOOKUP(RANDBETWEEN(1,10),dé10,déMort)," ")," ")</f>
        <v xml:space="preserve"> </v>
      </c>
      <c r="F131" s="434" t="str">
        <f t="shared" ca="1" si="11"/>
        <v xml:space="preserve"> </v>
      </c>
      <c r="G131" s="434" t="str">
        <f t="shared" ca="1" si="11"/>
        <v xml:space="preserve"> </v>
      </c>
      <c r="H131" s="434" t="str">
        <f t="shared" ca="1" si="11"/>
        <v xml:space="preserve"> </v>
      </c>
      <c r="I131" s="434" t="str">
        <f t="shared" ca="1" si="11"/>
        <v xml:space="preserve"> </v>
      </c>
      <c r="J131" s="434" t="str">
        <f t="shared" ca="1" si="11"/>
        <v xml:space="preserve"> </v>
      </c>
      <c r="K131" s="434" t="str">
        <f t="shared" ca="1" si="11"/>
        <v xml:space="preserve"> </v>
      </c>
      <c r="L131" s="434" t="str">
        <f t="shared" ca="1" si="11"/>
        <v xml:space="preserve"> </v>
      </c>
      <c r="M131" s="441" t="str">
        <f t="shared" ca="1" si="11"/>
        <v xml:space="preserve"> </v>
      </c>
    </row>
    <row r="132" spans="1:13" s="433" customFormat="1" ht="9.9" customHeight="1">
      <c r="C132" s="440" t="s">
        <v>1653</v>
      </c>
      <c r="D132" s="442" t="str">
        <f ca="1">B108</f>
        <v xml:space="preserve"> </v>
      </c>
      <c r="E132" s="434" t="str">
        <f t="shared" ref="E132:M132" ca="1" si="12">IF(E131&lt;&gt;" ",RANDBETWEEN(0,E129)+E130," ")</f>
        <v xml:space="preserve"> </v>
      </c>
      <c r="F132" s="434" t="str">
        <f t="shared" ca="1" si="12"/>
        <v xml:space="preserve"> </v>
      </c>
      <c r="G132" s="434" t="str">
        <f t="shared" ca="1" si="12"/>
        <v xml:space="preserve"> </v>
      </c>
      <c r="H132" s="434" t="str">
        <f t="shared" ca="1" si="12"/>
        <v xml:space="preserve"> </v>
      </c>
      <c r="I132" s="434" t="str">
        <f t="shared" ca="1" si="12"/>
        <v xml:space="preserve"> </v>
      </c>
      <c r="J132" s="434" t="str">
        <f t="shared" ca="1" si="12"/>
        <v xml:space="preserve"> </v>
      </c>
      <c r="K132" s="434" t="str">
        <f t="shared" ca="1" si="12"/>
        <v xml:space="preserve"> </v>
      </c>
      <c r="L132" s="434" t="str">
        <f t="shared" ca="1" si="12"/>
        <v xml:space="preserve"> </v>
      </c>
      <c r="M132" s="441" t="str">
        <f t="shared" ca="1" si="12"/>
        <v xml:space="preserve"> </v>
      </c>
    </row>
    <row r="133" spans="1:13" s="433" customFormat="1" ht="9.9" customHeight="1" thickBot="1">
      <c r="C133" s="440"/>
      <c r="D133" s="439" t="str">
        <f t="shared" ref="D133:M133" ca="1" si="13">IF(D131&lt;&gt;" ","à "&amp;D132-D130&amp;" ans"," ")</f>
        <v xml:space="preserve"> </v>
      </c>
      <c r="E133" s="438" t="str">
        <f t="shared" ca="1" si="13"/>
        <v xml:space="preserve"> </v>
      </c>
      <c r="F133" s="438" t="str">
        <f t="shared" ca="1" si="13"/>
        <v xml:space="preserve"> </v>
      </c>
      <c r="G133" s="438" t="str">
        <f t="shared" ca="1" si="13"/>
        <v xml:space="preserve"> </v>
      </c>
      <c r="H133" s="438" t="str">
        <f t="shared" ca="1" si="13"/>
        <v xml:space="preserve"> </v>
      </c>
      <c r="I133" s="438" t="str">
        <f t="shared" ca="1" si="13"/>
        <v xml:space="preserve"> </v>
      </c>
      <c r="J133" s="438" t="str">
        <f t="shared" ca="1" si="13"/>
        <v xml:space="preserve"> </v>
      </c>
      <c r="K133" s="438" t="str">
        <f t="shared" ca="1" si="13"/>
        <v xml:space="preserve"> </v>
      </c>
      <c r="L133" s="438" t="str">
        <f t="shared" ca="1" si="13"/>
        <v xml:space="preserve"> </v>
      </c>
      <c r="M133" s="437" t="str">
        <f t="shared" ca="1" si="13"/>
        <v xml:space="preserve"> </v>
      </c>
    </row>
    <row r="134" spans="1:13" s="433" customFormat="1" ht="9.9" customHeight="1" thickBot="1">
      <c r="C134" s="436" t="str">
        <f ca="1">LOOKUP(RANDBETWEEN(1,100),dé100,déTitre)</f>
        <v>conseiller</v>
      </c>
      <c r="D134" s="435" t="str">
        <f ca="1">"en "&amp;D130+RANDBETWEEN(14,D129-14)</f>
        <v>en 1074</v>
      </c>
      <c r="E134" s="434">
        <v>1</v>
      </c>
      <c r="F134" s="434">
        <v>2</v>
      </c>
      <c r="G134" s="434">
        <v>3</v>
      </c>
      <c r="H134" s="434">
        <v>4</v>
      </c>
      <c r="I134" s="434">
        <v>5</v>
      </c>
      <c r="J134" s="434">
        <v>6</v>
      </c>
      <c r="K134" s="434">
        <v>7</v>
      </c>
      <c r="L134" s="434">
        <v>8</v>
      </c>
      <c r="M134" s="434">
        <v>9</v>
      </c>
    </row>
    <row r="135" spans="1:13" s="433" customFormat="1" ht="9.9" customHeight="1" thickBot="1">
      <c r="B135" s="456">
        <f>AN</f>
        <v>1100</v>
      </c>
    </row>
    <row r="136" spans="1:13" s="433" customFormat="1" ht="9.9" customHeight="1" thickBot="1">
      <c r="A136" s="735" t="s">
        <v>1659</v>
      </c>
      <c r="B136" s="455" t="str">
        <f ca="1">LOOKUP(RANDBETWEEN(1,100),dé100,déNOM)</f>
        <v>N</v>
      </c>
      <c r="C136" s="734" t="s">
        <v>1658</v>
      </c>
      <c r="D136" s="454" t="str">
        <f ca="1">LOOKUP(RANDBETWEEN(1,100),dé100,déNOM)</f>
        <v>J</v>
      </c>
    </row>
    <row r="137" spans="1:13" s="433" customFormat="1" ht="9.9" customHeight="1">
      <c r="A137" s="440" t="s">
        <v>1656</v>
      </c>
      <c r="B137" s="452">
        <f ca="1">AN-B138</f>
        <v>110</v>
      </c>
      <c r="C137" s="453" t="str">
        <f ca="1">LOOKUP(RANDBETWEEN(1,10),dé10,déMariage)</f>
        <v>mariage</v>
      </c>
      <c r="D137" s="451">
        <f ca="1">AN-D138</f>
        <v>115</v>
      </c>
    </row>
    <row r="138" spans="1:13" s="433" customFormat="1" ht="9.9" customHeight="1">
      <c r="A138" s="440" t="s">
        <v>1654</v>
      </c>
      <c r="B138" s="452">
        <f ca="1">MIN(D146:M146)-RANDBETWEEN(0,10)-RANDBETWEEN(0,10)-14</f>
        <v>990</v>
      </c>
      <c r="D138" s="451">
        <f ca="1">B138+RANDBETWEEN(0,10)-RANDBETWEEN(0,10)</f>
        <v>985</v>
      </c>
    </row>
    <row r="139" spans="1:13" s="433" customFormat="1" ht="9.9" customHeight="1">
      <c r="A139" s="440" t="s">
        <v>65</v>
      </c>
      <c r="B139" s="452" t="str">
        <f ca="1">IF(RANDBETWEEN(0,100)&lt;AN-B138,"+"&amp;LOOKUP(RANDBETWEEN(1,10),dé10,déMort)," ")</f>
        <v>+épidémie</v>
      </c>
      <c r="D139" s="451" t="str">
        <f ca="1">IF(RANDBETWEEN(0,100)&lt;AN-D138,"+"&amp;LOOKUP(RANDBETWEEN(1,10),dé10,déMort)," ")</f>
        <v>+acc maison</v>
      </c>
    </row>
    <row r="140" spans="1:13" s="433" customFormat="1" ht="9.9" customHeight="1">
      <c r="A140" s="440" t="s">
        <v>1653</v>
      </c>
      <c r="B140" s="452">
        <f ca="1">IF(B139&lt;&gt;" ",MAX($D146:$M146)+RANDBETWEEN(0,100-MAX($D146,$M146)+B138)," ")</f>
        <v>1061</v>
      </c>
      <c r="D140" s="451">
        <f ca="1">IF(D139&lt;&gt;" ",MAX($D146:$M146)+RANDBETWEEN(0,100-MAX($D146,$M146)+D138)," ")</f>
        <v>1046</v>
      </c>
    </row>
    <row r="141" spans="1:13" s="433" customFormat="1" ht="9.9" customHeight="1">
      <c r="A141" s="440"/>
      <c r="B141" s="452" t="str">
        <f ca="1">IF(B139&lt;&gt;" ","à "&amp;B140-B138&amp;" ans"," ")</f>
        <v>à 71 ans</v>
      </c>
      <c r="D141" s="451" t="str">
        <f ca="1">IF(D139&lt;&gt;" ","à "&amp;D140-D138&amp;" ans"," ")</f>
        <v>à 61 ans</v>
      </c>
    </row>
    <row r="142" spans="1:13" s="433" customFormat="1" ht="9.9" customHeight="1" thickBot="1">
      <c r="B142" s="450" t="str">
        <f ca="1">IF(RANDBETWEEN(1,5)=1,"le "&amp;LOOKUP(RANDBETWEEN(1,100),dé100,déTrait)," ")</f>
        <v xml:space="preserve"> </v>
      </c>
      <c r="D142" s="449" t="str">
        <f ca="1">IF(RANDBETWEEN(1,2)=1,LOOKUP(RANDBETWEEN(1,50),dé100,déFemme)," ")</f>
        <v xml:space="preserve"> </v>
      </c>
    </row>
    <row r="143" spans="1:13" s="433" customFormat="1" ht="9.9" customHeight="1" thickBot="1">
      <c r="D143" s="433" t="str">
        <f t="shared" ref="D143:M143" ca="1" si="14">IF(D144&lt;&gt;" ",IF(RANDBETWEEN(1,20)=1,LOOKUP(RANDBETWEEN(1,10),dé10,déBâtard),"naturel")," ")</f>
        <v>naturel</v>
      </c>
      <c r="E143" s="433" t="str">
        <f t="shared" ca="1" si="14"/>
        <v>naturel</v>
      </c>
      <c r="F143" s="433" t="str">
        <f t="shared" ca="1" si="14"/>
        <v>naturel</v>
      </c>
      <c r="G143" s="433" t="str">
        <f t="shared" ca="1" si="14"/>
        <v xml:space="preserve"> </v>
      </c>
      <c r="H143" s="433" t="str">
        <f t="shared" ca="1" si="14"/>
        <v xml:space="preserve"> </v>
      </c>
      <c r="I143" s="433" t="str">
        <f t="shared" ca="1" si="14"/>
        <v xml:space="preserve"> </v>
      </c>
      <c r="J143" s="433" t="str">
        <f t="shared" ca="1" si="14"/>
        <v xml:space="preserve"> </v>
      </c>
      <c r="K143" s="433" t="str">
        <f t="shared" ca="1" si="14"/>
        <v xml:space="preserve"> </v>
      </c>
      <c r="L143" s="433" t="str">
        <f t="shared" ca="1" si="14"/>
        <v xml:space="preserve"> </v>
      </c>
      <c r="M143" s="433" t="str">
        <f t="shared" ca="1" si="14"/>
        <v xml:space="preserve"> </v>
      </c>
    </row>
    <row r="144" spans="1:13" s="433" customFormat="1" ht="9.9" customHeight="1" thickBot="1">
      <c r="B144" s="434"/>
      <c r="C144" s="448" t="s">
        <v>1657</v>
      </c>
      <c r="D144" s="447" t="str">
        <f ca="1">B120</f>
        <v>N</v>
      </c>
      <c r="E144" s="446" t="str">
        <f t="shared" ref="E144:M144" ca="1" si="15">IF(NFSgp&gt;E150,IF(RANDBETWEEN(1,2)=1,"m-","f-")&amp;LOOKUP(RANDBETWEEN(1,100),dé100,déNOM)," ")</f>
        <v>m-C</v>
      </c>
      <c r="F144" s="446" t="str">
        <f t="shared" ca="1" si="15"/>
        <v>f-F</v>
      </c>
      <c r="G144" s="446" t="str">
        <f t="shared" ca="1" si="15"/>
        <v xml:space="preserve"> </v>
      </c>
      <c r="H144" s="446" t="str">
        <f t="shared" ca="1" si="15"/>
        <v xml:space="preserve"> </v>
      </c>
      <c r="I144" s="446" t="str">
        <f t="shared" ca="1" si="15"/>
        <v xml:space="preserve"> </v>
      </c>
      <c r="J144" s="446" t="str">
        <f t="shared" ca="1" si="15"/>
        <v xml:space="preserve"> </v>
      </c>
      <c r="K144" s="446" t="str">
        <f t="shared" ca="1" si="15"/>
        <v xml:space="preserve"> </v>
      </c>
      <c r="L144" s="446" t="str">
        <f t="shared" ca="1" si="15"/>
        <v xml:space="preserve"> </v>
      </c>
      <c r="M144" s="446" t="str">
        <f t="shared" ca="1" si="15"/>
        <v xml:space="preserve"> </v>
      </c>
    </row>
    <row r="145" spans="2:13" s="433" customFormat="1" ht="9.9" customHeight="1" thickBot="1">
      <c r="B145" s="445">
        <v>0</v>
      </c>
      <c r="C145" s="440" t="s">
        <v>1656</v>
      </c>
      <c r="D145" s="442">
        <f ca="1">B121</f>
        <v>87</v>
      </c>
      <c r="E145" s="434">
        <f t="shared" ref="E145:M145" ca="1" si="16">IF(E144&lt;&gt;" ",D145+LOOKUP(RANDBETWEEN(1,100),dé100,déFraterie)," ")</f>
        <v>83</v>
      </c>
      <c r="F145" s="434">
        <f t="shared" ca="1" si="16"/>
        <v>81</v>
      </c>
      <c r="G145" s="434" t="str">
        <f t="shared" ca="1" si="16"/>
        <v xml:space="preserve"> </v>
      </c>
      <c r="H145" s="434" t="str">
        <f t="shared" ca="1" si="16"/>
        <v xml:space="preserve"> </v>
      </c>
      <c r="I145" s="434" t="str">
        <f t="shared" ca="1" si="16"/>
        <v xml:space="preserve"> </v>
      </c>
      <c r="J145" s="434" t="str">
        <f t="shared" ca="1" si="16"/>
        <v xml:space="preserve"> </v>
      </c>
      <c r="K145" s="434" t="str">
        <f t="shared" ca="1" si="16"/>
        <v xml:space="preserve"> </v>
      </c>
      <c r="L145" s="434" t="str">
        <f t="shared" ca="1" si="16"/>
        <v xml:space="preserve"> </v>
      </c>
      <c r="M145" s="441" t="str">
        <f t="shared" ca="1" si="16"/>
        <v xml:space="preserve"> </v>
      </c>
    </row>
    <row r="146" spans="2:13" s="433" customFormat="1" ht="9.9" customHeight="1">
      <c r="B146" s="444" t="s">
        <v>1655</v>
      </c>
      <c r="C146" s="440" t="s">
        <v>1654</v>
      </c>
      <c r="D146" s="442">
        <f ca="1">B122</f>
        <v>1013</v>
      </c>
      <c r="E146" s="434">
        <f t="shared" ref="E146:M146" ca="1" si="17">IF(E144&lt;&gt;" ",AN-E145," ")</f>
        <v>1017</v>
      </c>
      <c r="F146" s="434">
        <f t="shared" ca="1" si="17"/>
        <v>1019</v>
      </c>
      <c r="G146" s="434" t="str">
        <f t="shared" ca="1" si="17"/>
        <v xml:space="preserve"> </v>
      </c>
      <c r="H146" s="434" t="str">
        <f t="shared" ca="1" si="17"/>
        <v xml:space="preserve"> </v>
      </c>
      <c r="I146" s="434" t="str">
        <f t="shared" ca="1" si="17"/>
        <v xml:space="preserve"> </v>
      </c>
      <c r="J146" s="434" t="str">
        <f t="shared" ca="1" si="17"/>
        <v xml:space="preserve"> </v>
      </c>
      <c r="K146" s="434" t="str">
        <f t="shared" ca="1" si="17"/>
        <v xml:space="preserve"> </v>
      </c>
      <c r="L146" s="434" t="str">
        <f t="shared" ca="1" si="17"/>
        <v xml:space="preserve"> </v>
      </c>
      <c r="M146" s="441" t="str">
        <f t="shared" ca="1" si="17"/>
        <v xml:space="preserve"> </v>
      </c>
    </row>
    <row r="147" spans="2:13" s="433" customFormat="1" ht="9.9" customHeight="1" thickBot="1">
      <c r="B147" s="443">
        <f ca="1">LOOKUP(RANDBETWEEN(1,100),dé100,déEnfant)</f>
        <v>3</v>
      </c>
      <c r="C147" s="440" t="s">
        <v>65</v>
      </c>
      <c r="D147" s="442" t="str">
        <f ca="1">B123</f>
        <v>+naturelle</v>
      </c>
      <c r="E147" s="434" t="str">
        <f t="shared" ref="E147:M147" ca="1" si="18">IF(E145&lt;&gt;" ",IF(RANDBETWEEN(0,100)&lt;E145,"+"&amp;LOOKUP(RANDBETWEEN(1,10),dé10,déMort)," ")," ")</f>
        <v>+maladie</v>
      </c>
      <c r="F147" s="434" t="str">
        <f t="shared" ca="1" si="18"/>
        <v xml:space="preserve"> </v>
      </c>
      <c r="G147" s="434" t="str">
        <f t="shared" ca="1" si="18"/>
        <v xml:space="preserve"> </v>
      </c>
      <c r="H147" s="434" t="str">
        <f t="shared" ca="1" si="18"/>
        <v xml:space="preserve"> </v>
      </c>
      <c r="I147" s="434" t="str">
        <f t="shared" ca="1" si="18"/>
        <v xml:space="preserve"> </v>
      </c>
      <c r="J147" s="434" t="str">
        <f t="shared" ca="1" si="18"/>
        <v xml:space="preserve"> </v>
      </c>
      <c r="K147" s="434" t="str">
        <f t="shared" ca="1" si="18"/>
        <v xml:space="preserve"> </v>
      </c>
      <c r="L147" s="434" t="str">
        <f t="shared" ca="1" si="18"/>
        <v xml:space="preserve"> </v>
      </c>
      <c r="M147" s="441" t="str">
        <f t="shared" ca="1" si="18"/>
        <v xml:space="preserve"> </v>
      </c>
    </row>
    <row r="148" spans="2:13" s="433" customFormat="1" ht="9.9" customHeight="1">
      <c r="C148" s="440" t="s">
        <v>1653</v>
      </c>
      <c r="D148" s="442">
        <f ca="1">B124</f>
        <v>1076</v>
      </c>
      <c r="E148" s="434">
        <f t="shared" ref="E148:M148" ca="1" si="19">IF(E147&lt;&gt;" ",RANDBETWEEN(0,E145)+E146," ")</f>
        <v>1089</v>
      </c>
      <c r="F148" s="434" t="str">
        <f t="shared" ca="1" si="19"/>
        <v xml:space="preserve"> </v>
      </c>
      <c r="G148" s="434" t="str">
        <f t="shared" ca="1" si="19"/>
        <v xml:space="preserve"> </v>
      </c>
      <c r="H148" s="434" t="str">
        <f t="shared" ca="1" si="19"/>
        <v xml:space="preserve"> </v>
      </c>
      <c r="I148" s="434" t="str">
        <f t="shared" ca="1" si="19"/>
        <v xml:space="preserve"> </v>
      </c>
      <c r="J148" s="434" t="str">
        <f t="shared" ca="1" si="19"/>
        <v xml:space="preserve"> </v>
      </c>
      <c r="K148" s="434" t="str">
        <f t="shared" ca="1" si="19"/>
        <v xml:space="preserve"> </v>
      </c>
      <c r="L148" s="434" t="str">
        <f t="shared" ca="1" si="19"/>
        <v xml:space="preserve"> </v>
      </c>
      <c r="M148" s="441" t="str">
        <f t="shared" ca="1" si="19"/>
        <v xml:space="preserve"> </v>
      </c>
    </row>
    <row r="149" spans="2:13" s="433" customFormat="1" ht="9.9" customHeight="1" thickBot="1">
      <c r="C149" s="440"/>
      <c r="D149" s="439" t="str">
        <f t="shared" ref="D149:M149" ca="1" si="20">IF(D147&lt;&gt;" ","à "&amp;D148-D146&amp;" ans"," ")</f>
        <v>à 63 ans</v>
      </c>
      <c r="E149" s="438" t="str">
        <f t="shared" ca="1" si="20"/>
        <v>à 72 ans</v>
      </c>
      <c r="F149" s="438" t="str">
        <f t="shared" ca="1" si="20"/>
        <v xml:space="preserve"> </v>
      </c>
      <c r="G149" s="438" t="str">
        <f t="shared" ca="1" si="20"/>
        <v xml:space="preserve"> </v>
      </c>
      <c r="H149" s="438" t="str">
        <f t="shared" ca="1" si="20"/>
        <v xml:space="preserve"> </v>
      </c>
      <c r="I149" s="438" t="str">
        <f t="shared" ca="1" si="20"/>
        <v xml:space="preserve"> </v>
      </c>
      <c r="J149" s="438" t="str">
        <f t="shared" ca="1" si="20"/>
        <v xml:space="preserve"> </v>
      </c>
      <c r="K149" s="438" t="str">
        <f t="shared" ca="1" si="20"/>
        <v xml:space="preserve"> </v>
      </c>
      <c r="L149" s="438" t="str">
        <f t="shared" ca="1" si="20"/>
        <v xml:space="preserve"> </v>
      </c>
      <c r="M149" s="437" t="str">
        <f t="shared" ca="1" si="20"/>
        <v xml:space="preserve"> </v>
      </c>
    </row>
    <row r="150" spans="2:13" s="433" customFormat="1" ht="9.9" customHeight="1">
      <c r="C150" s="436" t="str">
        <f ca="1">LOOKUP(RANDBETWEEN(1,100),dé100,déTitre)</f>
        <v>diplomate</v>
      </c>
      <c r="D150" s="435" t="str">
        <f ca="1">"en "&amp;D146+RANDBETWEEN(14,D145-14)</f>
        <v>en 1058</v>
      </c>
      <c r="E150" s="434">
        <v>1</v>
      </c>
      <c r="F150" s="434">
        <v>2</v>
      </c>
      <c r="G150" s="434">
        <v>3</v>
      </c>
      <c r="H150" s="434">
        <v>4</v>
      </c>
      <c r="I150" s="434">
        <v>5</v>
      </c>
      <c r="J150" s="434">
        <v>6</v>
      </c>
      <c r="K150" s="434">
        <v>7</v>
      </c>
      <c r="L150" s="434">
        <v>8</v>
      </c>
      <c r="M150" s="434">
        <v>9</v>
      </c>
    </row>
  </sheetData>
  <pageMargins left="0.25" right="0.25" top="0.75" bottom="0.75" header="0.3" footer="0.3"/>
  <pageSetup paperSize="9" orientation="landscape" horizontalDpi="300" verticalDpi="300" r:id="rId1"/>
  <headerFooter>
    <oddFooter>&amp;C_x000D_&amp;1#&amp;"Arial"&amp;9&amp;K000000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NU275"/>
  <sheetViews>
    <sheetView zoomScale="115" zoomScaleNormal="115" workbookViewId="0">
      <selection activeCell="D14" sqref="D14"/>
    </sheetView>
  </sheetViews>
  <sheetFormatPr baseColWidth="10" defaultColWidth="8.88671875" defaultRowHeight="12" customHeight="1"/>
  <cols>
    <col min="1" max="1" width="2.88671875" style="1010" customWidth="1"/>
    <col min="2" max="2" width="3.6640625" style="1010" customWidth="1"/>
    <col min="3" max="3" width="14.6640625" style="668" customWidth="1"/>
    <col min="4" max="4" width="4.33203125" style="794" customWidth="1"/>
    <col min="5" max="6" width="4" style="794" customWidth="1"/>
    <col min="7" max="7" width="4.44140625" style="794" customWidth="1"/>
    <col min="8" max="8" width="22.33203125" style="988" customWidth="1"/>
    <col min="9" max="9" width="20.6640625" style="988" customWidth="1"/>
    <col min="10" max="10" width="37.77734375" style="988" customWidth="1"/>
    <col min="11" max="11" width="37.77734375" style="668" customWidth="1"/>
    <col min="12" max="12" width="10.44140625" style="668" bestFit="1" customWidth="1"/>
    <col min="13" max="13" width="17.33203125" style="668" customWidth="1"/>
    <col min="14" max="14" width="8.21875" style="668" customWidth="1"/>
    <col min="15" max="15" width="6.33203125" style="668" customWidth="1"/>
    <col min="16" max="16" width="12.21875" style="668" customWidth="1"/>
    <col min="17" max="20" width="3.33203125" style="668" customWidth="1"/>
    <col min="21" max="21" width="5.109375" style="988" customWidth="1"/>
    <col min="22" max="22" width="3" style="668" customWidth="1"/>
    <col min="23" max="23" width="3.33203125" style="668" customWidth="1"/>
    <col min="24" max="24" width="4.6640625" style="668" customWidth="1"/>
    <col min="25" max="25" width="7.6640625" style="1069" bestFit="1" customWidth="1"/>
    <col min="26" max="26" width="7.6640625" style="668" bestFit="1" customWidth="1"/>
    <col min="27" max="27" width="17.109375" style="668" bestFit="1" customWidth="1"/>
    <col min="28" max="28" width="6" style="668" bestFit="1" customWidth="1"/>
    <col min="29" max="29" width="8" style="668" bestFit="1" customWidth="1"/>
    <col min="30" max="30" width="44.5546875" style="668" bestFit="1" customWidth="1"/>
    <col min="31" max="31" width="10.109375" style="668" bestFit="1" customWidth="1"/>
    <col min="32" max="32" width="11.109375" style="668" bestFit="1" customWidth="1"/>
    <col min="33" max="33" width="6" style="668" bestFit="1" customWidth="1"/>
    <col min="34" max="34" width="9" style="668" bestFit="1" customWidth="1"/>
    <col min="35" max="35" width="9.6640625" style="668" bestFit="1" customWidth="1"/>
    <col min="36" max="36" width="15.21875" style="668" bestFit="1" customWidth="1"/>
    <col min="37" max="37" width="10.6640625" style="668" bestFit="1" customWidth="1"/>
    <col min="38" max="39" width="10.6640625" style="668" customWidth="1"/>
    <col min="40" max="40" width="7.77734375" style="668" bestFit="1" customWidth="1"/>
    <col min="41" max="41" width="14.33203125" style="668" bestFit="1" customWidth="1"/>
    <col min="42" max="42" width="11.21875" style="668" bestFit="1" customWidth="1"/>
    <col min="43" max="43" width="9.77734375" style="668" bestFit="1" customWidth="1"/>
    <col min="44" max="44" width="6.88671875" style="668" bestFit="1" customWidth="1"/>
    <col min="45" max="45" width="9.5546875" style="668" bestFit="1" customWidth="1"/>
    <col min="46" max="46" width="8.109375" style="668" bestFit="1" customWidth="1"/>
    <col min="47" max="47" width="14.21875" style="668" bestFit="1" customWidth="1"/>
    <col min="48" max="48" width="7" style="668" bestFit="1" customWidth="1"/>
    <col min="49" max="49" width="38.109375" style="668" bestFit="1" customWidth="1"/>
    <col min="50" max="50" width="4.33203125" style="668" bestFit="1" customWidth="1"/>
    <col min="51" max="51" width="19.88671875" style="668" bestFit="1" customWidth="1"/>
    <col min="52" max="53" width="6.33203125" style="668" bestFit="1" customWidth="1"/>
    <col min="54" max="54" width="8.33203125" style="668" bestFit="1" customWidth="1"/>
    <col min="55" max="55" width="61.21875" style="668" bestFit="1" customWidth="1"/>
    <col min="56" max="56" width="10" style="668" bestFit="1" customWidth="1"/>
    <col min="57" max="57" width="18" style="668" customWidth="1"/>
    <col min="58" max="58" width="5.5546875" style="668" bestFit="1" customWidth="1"/>
    <col min="59" max="59" width="7.88671875" style="668" bestFit="1" customWidth="1"/>
    <col min="60" max="60" width="31.21875" style="668" bestFit="1" customWidth="1"/>
    <col min="61" max="61" width="5.44140625" style="668" bestFit="1" customWidth="1"/>
    <col min="62" max="62" width="23.44140625" style="668" bestFit="1" customWidth="1"/>
    <col min="63" max="63" width="7.77734375" style="668" bestFit="1" customWidth="1"/>
    <col min="64" max="64" width="30.6640625" style="668" bestFit="1" customWidth="1"/>
    <col min="65" max="65" width="9.33203125" style="668" bestFit="1" customWidth="1"/>
    <col min="66" max="66" width="10.33203125" style="668" bestFit="1" customWidth="1"/>
    <col min="67" max="67" width="9.109375" style="668" bestFit="1" customWidth="1"/>
    <col min="68" max="68" width="29.109375" style="668" bestFit="1" customWidth="1"/>
    <col min="69" max="69" width="5.44140625" style="668" bestFit="1" customWidth="1"/>
    <col min="70" max="70" width="6.44140625" style="668" bestFit="1" customWidth="1"/>
    <col min="71" max="71" width="6.6640625" style="668" bestFit="1" customWidth="1"/>
    <col min="72" max="72" width="8" style="668" bestFit="1" customWidth="1"/>
    <col min="73" max="73" width="9" style="668" bestFit="1" customWidth="1"/>
    <col min="74" max="74" width="10.44140625" style="668" bestFit="1" customWidth="1"/>
    <col min="75" max="75" width="11.44140625" style="668" bestFit="1" customWidth="1"/>
    <col min="76" max="76" width="18.5546875" style="668" bestFit="1" customWidth="1"/>
    <col min="77" max="77" width="8.44140625" style="668" bestFit="1" customWidth="1"/>
    <col min="78" max="78" width="98.44140625" style="668" bestFit="1" customWidth="1"/>
    <col min="79" max="79" width="9" style="668" bestFit="1" customWidth="1"/>
    <col min="80" max="80" width="18.6640625" style="668" bestFit="1" customWidth="1"/>
    <col min="81" max="81" width="53.77734375" style="668" bestFit="1" customWidth="1"/>
    <col min="82" max="82" width="8.21875" style="668" bestFit="1" customWidth="1"/>
    <col min="83" max="83" width="73.77734375" style="668" bestFit="1" customWidth="1"/>
    <col min="84" max="84" width="8.77734375" style="668" bestFit="1" customWidth="1"/>
    <col min="85" max="85" width="13.88671875" style="668" bestFit="1" customWidth="1"/>
    <col min="86" max="86" width="8.109375" style="668" bestFit="1" customWidth="1"/>
    <col min="87" max="87" width="79.77734375" style="668" bestFit="1" customWidth="1"/>
    <col min="88" max="88" width="9.21875" style="668" bestFit="1" customWidth="1"/>
    <col min="89" max="89" width="14.88671875" style="668" bestFit="1" customWidth="1"/>
    <col min="90" max="95" width="11.21875" style="668" bestFit="1" customWidth="1"/>
    <col min="96" max="96" width="8.77734375" style="668" bestFit="1" customWidth="1"/>
    <col min="97" max="97" width="10.88671875" style="668" bestFit="1" customWidth="1"/>
    <col min="98" max="98" width="5.44140625" style="668" bestFit="1" customWidth="1"/>
    <col min="99" max="99" width="10.6640625" style="668" bestFit="1" customWidth="1"/>
    <col min="100" max="100" width="5.44140625" style="668" bestFit="1" customWidth="1"/>
    <col min="101" max="101" width="12.88671875" style="668" bestFit="1" customWidth="1"/>
    <col min="102" max="102" width="5.44140625" style="668" bestFit="1" customWidth="1"/>
    <col min="103" max="103" width="8.6640625" style="668" bestFit="1" customWidth="1"/>
    <col min="104" max="104" width="5.44140625" style="668" bestFit="1" customWidth="1"/>
    <col min="105" max="105" width="11" style="668" bestFit="1" customWidth="1"/>
    <col min="106" max="106" width="5.44140625" style="668" bestFit="1" customWidth="1"/>
    <col min="107" max="107" width="9.88671875" style="668" bestFit="1" customWidth="1"/>
    <col min="108" max="108" width="5.44140625" style="668" bestFit="1" customWidth="1"/>
    <col min="109" max="109" width="10.5546875" style="668" bestFit="1" customWidth="1"/>
    <col min="110" max="110" width="5.44140625" style="668" bestFit="1" customWidth="1"/>
    <col min="111" max="111" width="13" style="668" bestFit="1" customWidth="1"/>
    <col min="112" max="112" width="5.44140625" style="668" bestFit="1" customWidth="1"/>
    <col min="113" max="113" width="10.33203125" style="668" bestFit="1" customWidth="1"/>
    <col min="114" max="114" width="5.44140625" style="668" bestFit="1" customWidth="1"/>
    <col min="115" max="115" width="7.77734375" style="668" bestFit="1" customWidth="1"/>
    <col min="116" max="116" width="5.44140625" style="668" bestFit="1" customWidth="1"/>
    <col min="117" max="117" width="12.5546875" style="668" bestFit="1" customWidth="1"/>
    <col min="118" max="118" width="9.109375" style="668" bestFit="1" customWidth="1"/>
    <col min="119" max="119" width="26.88671875" style="668" bestFit="1" customWidth="1"/>
    <col min="120" max="120" width="9.44140625" style="668" bestFit="1" customWidth="1"/>
    <col min="121" max="121" width="190.44140625" style="668" bestFit="1" customWidth="1"/>
    <col min="122" max="122" width="8.33203125" style="668" bestFit="1" customWidth="1"/>
    <col min="123" max="123" width="71.6640625" style="668" bestFit="1" customWidth="1"/>
    <col min="124" max="124" width="42.21875" style="668" bestFit="1" customWidth="1"/>
    <col min="125" max="125" width="58.88671875" style="668" bestFit="1" customWidth="1"/>
    <col min="126" max="126" width="83.109375" style="668" bestFit="1" customWidth="1"/>
    <col min="127" max="127" width="85" style="668" bestFit="1" customWidth="1"/>
    <col min="128" max="128" width="77.44140625" style="668" bestFit="1" customWidth="1"/>
    <col min="129" max="129" width="40.6640625" style="668" bestFit="1" customWidth="1"/>
    <col min="130" max="130" width="55.5546875" style="668" bestFit="1" customWidth="1"/>
    <col min="131" max="131" width="216.6640625" style="668" bestFit="1" customWidth="1"/>
    <col min="132" max="132" width="71.44140625" style="668" bestFit="1" customWidth="1"/>
    <col min="133" max="133" width="137.21875" style="668" bestFit="1" customWidth="1"/>
    <col min="134" max="134" width="49" style="668" bestFit="1" customWidth="1"/>
    <col min="135" max="135" width="72.88671875" style="668" bestFit="1" customWidth="1"/>
    <col min="136" max="136" width="56" style="668" bestFit="1" customWidth="1"/>
    <col min="137" max="137" width="75.33203125" style="668" bestFit="1" customWidth="1"/>
    <col min="138" max="138" width="80.88671875" style="668" bestFit="1" customWidth="1"/>
    <col min="139" max="139" width="83.77734375" style="668" bestFit="1" customWidth="1"/>
    <col min="140" max="140" width="76.109375" style="668" bestFit="1" customWidth="1"/>
    <col min="141" max="142" width="49.33203125" style="668" bestFit="1" customWidth="1"/>
    <col min="143" max="143" width="88.33203125" style="668" bestFit="1" customWidth="1"/>
    <col min="144" max="16384" width="8.88671875" style="668"/>
  </cols>
  <sheetData>
    <row r="1" spans="1:161 3089:3089" ht="12" customHeight="1" thickBot="1">
      <c r="A1" s="922" t="s">
        <v>3729</v>
      </c>
      <c r="B1" s="922" t="s">
        <v>3730</v>
      </c>
      <c r="C1" s="923" t="s">
        <v>4585</v>
      </c>
      <c r="D1" s="924" t="s">
        <v>4581</v>
      </c>
      <c r="E1" s="924" t="s">
        <v>4582</v>
      </c>
      <c r="F1" s="924" t="s">
        <v>4583</v>
      </c>
      <c r="G1" s="924" t="s">
        <v>4584</v>
      </c>
      <c r="H1" s="925" t="s">
        <v>4586</v>
      </c>
      <c r="I1" s="925" t="s">
        <v>4587</v>
      </c>
      <c r="J1" s="925" t="s">
        <v>4588</v>
      </c>
      <c r="K1" s="923"/>
      <c r="L1" s="923" t="s">
        <v>3693</v>
      </c>
      <c r="M1" s="923" t="s">
        <v>3694</v>
      </c>
      <c r="N1" s="923" t="s">
        <v>3695</v>
      </c>
      <c r="O1" s="923" t="s">
        <v>3731</v>
      </c>
      <c r="P1" s="923" t="s">
        <v>3732</v>
      </c>
      <c r="Q1" s="923" t="s">
        <v>3733</v>
      </c>
      <c r="R1" s="923" t="s">
        <v>3734</v>
      </c>
      <c r="S1" s="923" t="s">
        <v>3735</v>
      </c>
      <c r="T1" s="923" t="s">
        <v>3736</v>
      </c>
      <c r="U1" s="925" t="s">
        <v>3737</v>
      </c>
      <c r="V1" s="923" t="s">
        <v>3738</v>
      </c>
      <c r="W1" s="923" t="s">
        <v>3739</v>
      </c>
      <c r="X1" s="923" t="s">
        <v>3740</v>
      </c>
      <c r="Y1" s="1071" t="s">
        <v>3741</v>
      </c>
      <c r="Z1" s="923" t="s">
        <v>3742</v>
      </c>
      <c r="AA1" s="923" t="s">
        <v>3743</v>
      </c>
      <c r="AB1" s="923" t="s">
        <v>3744</v>
      </c>
      <c r="AC1" s="923" t="s">
        <v>3745</v>
      </c>
      <c r="AD1" s="923" t="s">
        <v>3746</v>
      </c>
      <c r="AE1" s="923" t="s">
        <v>3747</v>
      </c>
      <c r="AF1" s="923" t="s">
        <v>3748</v>
      </c>
      <c r="AG1" s="923" t="s">
        <v>3749</v>
      </c>
      <c r="AH1" s="923" t="s">
        <v>3750</v>
      </c>
      <c r="AI1" s="923" t="s">
        <v>3751</v>
      </c>
      <c r="AJ1" s="923" t="s">
        <v>3752</v>
      </c>
      <c r="AK1" s="923" t="s">
        <v>4597</v>
      </c>
      <c r="AL1" s="923" t="s">
        <v>5158</v>
      </c>
      <c r="AM1" s="923" t="s">
        <v>5159</v>
      </c>
      <c r="AN1" s="923" t="s">
        <v>3753</v>
      </c>
      <c r="AO1" s="923" t="s">
        <v>3754</v>
      </c>
      <c r="AP1" s="923" t="s">
        <v>3755</v>
      </c>
      <c r="AQ1" s="923" t="s">
        <v>3756</v>
      </c>
      <c r="AR1" s="923" t="s">
        <v>3757</v>
      </c>
      <c r="AS1" s="923" t="s">
        <v>3758</v>
      </c>
      <c r="AT1" s="923" t="s">
        <v>3759</v>
      </c>
      <c r="AU1" s="923" t="s">
        <v>3760</v>
      </c>
      <c r="AV1" s="924" t="s">
        <v>3761</v>
      </c>
      <c r="AW1" s="923" t="s">
        <v>3762</v>
      </c>
      <c r="AX1" s="923" t="s">
        <v>3763</v>
      </c>
      <c r="AY1" s="923" t="s">
        <v>3764</v>
      </c>
      <c r="AZ1" s="923" t="s">
        <v>3765</v>
      </c>
      <c r="BA1" s="923" t="s">
        <v>3766</v>
      </c>
      <c r="BB1" s="923" t="s">
        <v>3767</v>
      </c>
      <c r="BC1" s="923" t="s">
        <v>3768</v>
      </c>
      <c r="BD1" s="923" t="s">
        <v>3769</v>
      </c>
      <c r="BE1" s="923" t="s">
        <v>3770</v>
      </c>
      <c r="BF1" s="923" t="s">
        <v>3771</v>
      </c>
      <c r="BG1" s="923" t="s">
        <v>3772</v>
      </c>
      <c r="BH1" s="923" t="s">
        <v>3773</v>
      </c>
      <c r="BI1" s="923" t="s">
        <v>3774</v>
      </c>
      <c r="BJ1" s="923" t="s">
        <v>3775</v>
      </c>
      <c r="BK1" s="923" t="s">
        <v>3776</v>
      </c>
      <c r="BL1" s="923" t="s">
        <v>3777</v>
      </c>
      <c r="BM1" s="923" t="s">
        <v>3778</v>
      </c>
      <c r="BN1" s="923" t="s">
        <v>3779</v>
      </c>
      <c r="BO1" s="923" t="s">
        <v>3780</v>
      </c>
      <c r="BP1" s="923" t="s">
        <v>3781</v>
      </c>
      <c r="BQ1" s="923" t="s">
        <v>3782</v>
      </c>
      <c r="BR1" s="923" t="s">
        <v>3783</v>
      </c>
      <c r="BS1" s="923" t="s">
        <v>3784</v>
      </c>
      <c r="BT1" s="923" t="s">
        <v>3785</v>
      </c>
      <c r="BU1" s="923" t="s">
        <v>3786</v>
      </c>
      <c r="BV1" s="923" t="s">
        <v>3787</v>
      </c>
      <c r="BW1" s="923" t="s">
        <v>3788</v>
      </c>
      <c r="BX1" s="923" t="s">
        <v>3789</v>
      </c>
      <c r="BY1" s="923" t="s">
        <v>3790</v>
      </c>
      <c r="BZ1" s="923" t="s">
        <v>3791</v>
      </c>
      <c r="CA1" s="923" t="s">
        <v>3792</v>
      </c>
      <c r="CB1" s="923" t="s">
        <v>3793</v>
      </c>
      <c r="CC1" s="923" t="s">
        <v>3794</v>
      </c>
      <c r="CD1" s="923" t="s">
        <v>3795</v>
      </c>
      <c r="CE1" s="923" t="s">
        <v>3796</v>
      </c>
      <c r="CF1" s="923" t="s">
        <v>3797</v>
      </c>
      <c r="CG1" s="923" t="s">
        <v>3798</v>
      </c>
      <c r="CH1" s="923" t="s">
        <v>3799</v>
      </c>
      <c r="CI1" s="923" t="s">
        <v>3800</v>
      </c>
      <c r="CJ1" s="923" t="s">
        <v>3801</v>
      </c>
      <c r="CK1" s="923" t="s">
        <v>3802</v>
      </c>
      <c r="CL1" s="923" t="s">
        <v>3803</v>
      </c>
      <c r="CM1" s="923" t="s">
        <v>3804</v>
      </c>
      <c r="CN1" s="923" t="s">
        <v>3805</v>
      </c>
      <c r="CO1" s="923" t="s">
        <v>3806</v>
      </c>
      <c r="CP1" s="923" t="s">
        <v>3807</v>
      </c>
      <c r="CQ1" s="923" t="s">
        <v>3808</v>
      </c>
      <c r="CR1" s="923" t="s">
        <v>3809</v>
      </c>
      <c r="CS1" s="923" t="s">
        <v>3810</v>
      </c>
      <c r="CT1" s="923" t="s">
        <v>3811</v>
      </c>
      <c r="CU1" s="923" t="s">
        <v>3812</v>
      </c>
      <c r="CV1" s="923" t="s">
        <v>4629</v>
      </c>
      <c r="CW1" s="923" t="s">
        <v>4633</v>
      </c>
      <c r="CX1" s="923" t="s">
        <v>4630</v>
      </c>
      <c r="CY1" s="923" t="s">
        <v>3813</v>
      </c>
      <c r="CZ1" s="923" t="s">
        <v>4631</v>
      </c>
      <c r="DA1" s="923" t="s">
        <v>3814</v>
      </c>
      <c r="DB1" s="923" t="s">
        <v>4632</v>
      </c>
      <c r="DC1" s="923" t="s">
        <v>3815</v>
      </c>
      <c r="DD1" s="923" t="s">
        <v>3816</v>
      </c>
      <c r="DE1" s="923" t="s">
        <v>3817</v>
      </c>
      <c r="DF1" s="923" t="s">
        <v>3818</v>
      </c>
      <c r="DG1" s="923" t="s">
        <v>3819</v>
      </c>
      <c r="DH1" s="923" t="s">
        <v>3820</v>
      </c>
      <c r="DI1" s="923" t="s">
        <v>3821</v>
      </c>
      <c r="DJ1" s="923" t="s">
        <v>3822</v>
      </c>
      <c r="DK1" s="923" t="s">
        <v>3823</v>
      </c>
      <c r="DL1" s="923" t="s">
        <v>3824</v>
      </c>
      <c r="DM1" s="923" t="s">
        <v>3825</v>
      </c>
      <c r="DN1" s="926" t="s">
        <v>3826</v>
      </c>
      <c r="DO1" s="926" t="s">
        <v>3827</v>
      </c>
      <c r="DP1" s="926" t="s">
        <v>3828</v>
      </c>
      <c r="DQ1" s="926" t="s">
        <v>3829</v>
      </c>
      <c r="DR1" s="926" t="s">
        <v>3830</v>
      </c>
      <c r="DS1" s="926" t="s">
        <v>3831</v>
      </c>
      <c r="DT1" s="926" t="s">
        <v>3832</v>
      </c>
      <c r="DU1" s="926" t="s">
        <v>3833</v>
      </c>
      <c r="DV1" s="926" t="s">
        <v>3834</v>
      </c>
      <c r="DW1" s="926" t="s">
        <v>3835</v>
      </c>
      <c r="DX1" s="926" t="s">
        <v>3836</v>
      </c>
      <c r="DY1" s="926" t="s">
        <v>3837</v>
      </c>
      <c r="DZ1" s="926" t="s">
        <v>3838</v>
      </c>
      <c r="EA1" s="926" t="s">
        <v>3839</v>
      </c>
      <c r="EB1" s="926" t="s">
        <v>3840</v>
      </c>
      <c r="EC1" s="926" t="s">
        <v>3841</v>
      </c>
      <c r="ED1" s="926" t="s">
        <v>3842</v>
      </c>
      <c r="EE1" s="926" t="s">
        <v>3843</v>
      </c>
      <c r="EF1" s="926" t="s">
        <v>3844</v>
      </c>
      <c r="EG1" s="926" t="s">
        <v>3845</v>
      </c>
      <c r="EH1" s="926" t="s">
        <v>3846</v>
      </c>
      <c r="EI1" s="926" t="s">
        <v>3847</v>
      </c>
      <c r="EJ1" s="926" t="s">
        <v>3839</v>
      </c>
      <c r="EK1" s="926" t="s">
        <v>3848</v>
      </c>
      <c r="EL1" s="926" t="s">
        <v>3849</v>
      </c>
      <c r="EM1" s="926" t="s">
        <v>3850</v>
      </c>
      <c r="EN1" s="926" t="s">
        <v>4659</v>
      </c>
      <c r="EO1" s="926" t="s">
        <v>4661</v>
      </c>
      <c r="EP1" s="926" t="s">
        <v>4660</v>
      </c>
      <c r="EQ1" s="926" t="s">
        <v>4670</v>
      </c>
      <c r="ER1" s="926" t="s">
        <v>4671</v>
      </c>
      <c r="ES1" s="926" t="s">
        <v>4861</v>
      </c>
      <c r="ET1" s="926" t="s">
        <v>4862</v>
      </c>
      <c r="EU1" s="926" t="s">
        <v>4865</v>
      </c>
      <c r="EV1" s="926" t="s">
        <v>4866</v>
      </c>
      <c r="EW1" s="926" t="s">
        <v>4871</v>
      </c>
      <c r="EX1" s="926" t="s">
        <v>4867</v>
      </c>
      <c r="EY1" s="926" t="s">
        <v>4872</v>
      </c>
      <c r="EZ1" s="926" t="s">
        <v>4868</v>
      </c>
      <c r="FA1" s="926" t="s">
        <v>4873</v>
      </c>
      <c r="FB1" s="926" t="s">
        <v>4869</v>
      </c>
      <c r="FC1" s="926" t="s">
        <v>4874</v>
      </c>
      <c r="FD1" s="926" t="s">
        <v>4870</v>
      </c>
      <c r="FE1" s="926" t="s">
        <v>4875</v>
      </c>
      <c r="DNU1" s="668" t="s">
        <v>4628</v>
      </c>
    </row>
    <row r="2" spans="1:161 3089:3089" ht="12" customHeight="1" thickTop="1" thickBot="1">
      <c r="A2" s="927">
        <v>1</v>
      </c>
      <c r="B2" s="927">
        <v>1</v>
      </c>
      <c r="C2" s="928" t="s">
        <v>4580</v>
      </c>
      <c r="D2" s="924">
        <f ca="1">RANDBETWEEN(1,10)</f>
        <v>8</v>
      </c>
      <c r="E2" s="924">
        <f ca="1">RANDBETWEEN(1,100)</f>
        <v>69</v>
      </c>
      <c r="F2" s="924"/>
      <c r="G2" s="924"/>
      <c r="H2" s="925">
        <f ca="1">IF(D2=1,LOOKUP(E2,dNaissance,gpNaissance1),0)</f>
        <v>0</v>
      </c>
      <c r="I2" s="925">
        <f ca="1">IF(D2=1,LOOKUP(E2,dNaissance,gpNaissance2),0)</f>
        <v>0</v>
      </c>
      <c r="J2" s="925">
        <f ca="1">IF(D2=1,"humour-2",0)</f>
        <v>0</v>
      </c>
      <c r="K2" s="923" t="str">
        <f ca="1">C2&amp;" = "&amp;H2&amp;" "&amp;I2&amp;" "&amp;J2</f>
        <v>Naissance = 0 0 0</v>
      </c>
      <c r="L2" s="923">
        <v>1</v>
      </c>
      <c r="M2" s="929" t="s">
        <v>3696</v>
      </c>
      <c r="N2" s="930" t="s">
        <v>3697</v>
      </c>
      <c r="O2" s="923">
        <v>1</v>
      </c>
      <c r="P2" s="929" t="s">
        <v>3851</v>
      </c>
      <c r="Q2" s="923">
        <v>1</v>
      </c>
      <c r="R2" s="931">
        <v>20</v>
      </c>
      <c r="S2" s="931">
        <v>3</v>
      </c>
      <c r="T2" s="932" t="s">
        <v>3852</v>
      </c>
      <c r="U2" s="1134" t="s">
        <v>3853</v>
      </c>
      <c r="V2" s="933" t="s">
        <v>3854</v>
      </c>
      <c r="W2" s="929" t="s">
        <v>3855</v>
      </c>
      <c r="X2" s="934" t="s">
        <v>4600</v>
      </c>
      <c r="Y2" s="1703" t="s">
        <v>3856</v>
      </c>
      <c r="Z2" s="934" t="s">
        <v>707</v>
      </c>
      <c r="AA2" s="929" t="s">
        <v>4890</v>
      </c>
      <c r="AB2" s="935">
        <v>1</v>
      </c>
      <c r="AC2" s="936" t="s">
        <v>3857</v>
      </c>
      <c r="AD2" s="937" t="s">
        <v>3858</v>
      </c>
      <c r="AE2" s="923">
        <v>1</v>
      </c>
      <c r="AF2" s="929" t="s">
        <v>4608</v>
      </c>
      <c r="AG2" s="923">
        <v>1</v>
      </c>
      <c r="AH2" s="934" t="s">
        <v>3859</v>
      </c>
      <c r="AI2" s="938">
        <v>1</v>
      </c>
      <c r="AJ2" s="929" t="s">
        <v>3860</v>
      </c>
      <c r="AK2" s="934">
        <v>1</v>
      </c>
      <c r="AL2" s="938">
        <v>1</v>
      </c>
      <c r="AM2" s="1076" t="s">
        <v>5160</v>
      </c>
      <c r="AN2" s="938">
        <v>1</v>
      </c>
      <c r="AO2" s="929" t="s">
        <v>3861</v>
      </c>
      <c r="AP2" s="929" t="s">
        <v>3862</v>
      </c>
      <c r="AQ2" s="934">
        <v>4</v>
      </c>
      <c r="AR2" s="939">
        <v>1</v>
      </c>
      <c r="AS2" s="940" t="s">
        <v>3863</v>
      </c>
      <c r="AT2" s="923">
        <v>1</v>
      </c>
      <c r="AU2" s="929" t="s">
        <v>3864</v>
      </c>
      <c r="AV2" s="941">
        <v>1</v>
      </c>
      <c r="AW2" s="929" t="s">
        <v>3865</v>
      </c>
      <c r="AX2" s="923">
        <v>1</v>
      </c>
      <c r="AY2" s="929" t="s">
        <v>3866</v>
      </c>
      <c r="AZ2" s="934">
        <v>0</v>
      </c>
      <c r="BA2" s="934">
        <v>-1</v>
      </c>
      <c r="BB2" s="923">
        <v>1</v>
      </c>
      <c r="BC2" s="929" t="s">
        <v>3867</v>
      </c>
      <c r="BD2" s="923">
        <v>1</v>
      </c>
      <c r="BE2" s="937" t="s">
        <v>3868</v>
      </c>
      <c r="BF2" s="923">
        <f ca="1">RANDBETWEEN(1,6)</f>
        <v>2</v>
      </c>
      <c r="BG2" s="923">
        <v>1</v>
      </c>
      <c r="BH2" s="937" t="s">
        <v>3869</v>
      </c>
      <c r="BI2" s="923">
        <v>1</v>
      </c>
      <c r="BJ2" s="937" t="s">
        <v>4891</v>
      </c>
      <c r="BK2" s="923">
        <v>1</v>
      </c>
      <c r="BL2" s="937" t="s">
        <v>4892</v>
      </c>
      <c r="BM2" s="923">
        <v>1</v>
      </c>
      <c r="BN2" s="937" t="s">
        <v>3870</v>
      </c>
      <c r="BO2" s="923">
        <v>1</v>
      </c>
      <c r="BP2" s="937" t="s">
        <v>4893</v>
      </c>
      <c r="BQ2" s="923">
        <v>1</v>
      </c>
      <c r="BR2" s="923">
        <v>0</v>
      </c>
      <c r="BS2" s="936">
        <v>20</v>
      </c>
      <c r="BT2" s="923">
        <v>1</v>
      </c>
      <c r="BU2" s="936">
        <v>0</v>
      </c>
      <c r="BV2" s="923">
        <v>1</v>
      </c>
      <c r="BW2" s="923">
        <v>-6</v>
      </c>
      <c r="BX2" s="923" t="s">
        <v>3871</v>
      </c>
      <c r="BY2" s="923">
        <v>1</v>
      </c>
      <c r="BZ2" s="942" t="s">
        <v>4894</v>
      </c>
      <c r="CA2" s="923">
        <v>1</v>
      </c>
      <c r="CB2" s="937" t="s">
        <v>3872</v>
      </c>
      <c r="CC2" s="937" t="s">
        <v>3873</v>
      </c>
      <c r="CD2" s="923">
        <v>1</v>
      </c>
      <c r="CE2" s="942" t="s">
        <v>4895</v>
      </c>
      <c r="CF2" s="923">
        <v>1</v>
      </c>
      <c r="CG2" s="937" t="s">
        <v>3874</v>
      </c>
      <c r="CH2" s="923">
        <v>1</v>
      </c>
      <c r="CI2" s="942" t="s">
        <v>4896</v>
      </c>
      <c r="CJ2" s="923">
        <v>-100</v>
      </c>
      <c r="CK2" s="937" t="s">
        <v>3875</v>
      </c>
      <c r="CL2" s="936">
        <v>0</v>
      </c>
      <c r="CM2" s="936">
        <v>10</v>
      </c>
      <c r="CN2" s="937" t="s">
        <v>2542</v>
      </c>
      <c r="CO2" s="937" t="s">
        <v>3876</v>
      </c>
      <c r="CP2" s="943" t="s">
        <v>3877</v>
      </c>
      <c r="CQ2" s="943" t="s">
        <v>3878</v>
      </c>
      <c r="CR2" s="923">
        <v>1</v>
      </c>
      <c r="CS2" s="923" t="s">
        <v>3879</v>
      </c>
      <c r="CT2" s="923">
        <v>1</v>
      </c>
      <c r="CU2" s="944" t="s">
        <v>1143</v>
      </c>
      <c r="CV2" s="923">
        <v>1</v>
      </c>
      <c r="CW2" s="944" t="s">
        <v>1156</v>
      </c>
      <c r="CX2" s="923">
        <v>1</v>
      </c>
      <c r="CY2" s="944" t="s">
        <v>1192</v>
      </c>
      <c r="CZ2" s="923">
        <v>1</v>
      </c>
      <c r="DA2" s="944" t="s">
        <v>1203</v>
      </c>
      <c r="DB2" s="923">
        <v>1</v>
      </c>
      <c r="DC2" s="944" t="s">
        <v>1223</v>
      </c>
      <c r="DD2" s="923">
        <v>1</v>
      </c>
      <c r="DE2" s="944" t="s">
        <v>1241</v>
      </c>
      <c r="DF2" s="923">
        <v>1</v>
      </c>
      <c r="DG2" s="944" t="s">
        <v>1256</v>
      </c>
      <c r="DH2" s="923">
        <v>1</v>
      </c>
      <c r="DI2" s="944" t="s">
        <v>1270</v>
      </c>
      <c r="DJ2" s="923">
        <v>1</v>
      </c>
      <c r="DK2" s="944" t="s">
        <v>1281</v>
      </c>
      <c r="DL2" s="923">
        <v>1</v>
      </c>
      <c r="DM2" s="944" t="s">
        <v>1302</v>
      </c>
      <c r="DN2" s="937" t="s">
        <v>3880</v>
      </c>
      <c r="DO2" s="937" t="s">
        <v>3881</v>
      </c>
      <c r="DP2" s="923">
        <v>1</v>
      </c>
      <c r="DQ2" s="945" t="s">
        <v>3882</v>
      </c>
      <c r="DR2" s="923">
        <v>1</v>
      </c>
      <c r="DS2" s="937" t="s">
        <v>3883</v>
      </c>
      <c r="DT2" s="937" t="s">
        <v>4897</v>
      </c>
      <c r="DU2" s="937" t="s">
        <v>3884</v>
      </c>
      <c r="DV2" s="937" t="s">
        <v>3885</v>
      </c>
      <c r="DW2" s="937" t="s">
        <v>3886</v>
      </c>
      <c r="DX2" s="937" t="s">
        <v>3887</v>
      </c>
      <c r="DY2" s="937" t="s">
        <v>3888</v>
      </c>
      <c r="DZ2" s="937" t="s">
        <v>3889</v>
      </c>
      <c r="EA2" s="937" t="s">
        <v>3890</v>
      </c>
      <c r="EB2" s="937" t="s">
        <v>3891</v>
      </c>
      <c r="EC2" s="937" t="s">
        <v>3892</v>
      </c>
      <c r="ED2" s="937" t="s">
        <v>4898</v>
      </c>
      <c r="EE2" s="937" t="s">
        <v>3893</v>
      </c>
      <c r="EF2" s="937" t="s">
        <v>3894</v>
      </c>
      <c r="EG2" s="937" t="s">
        <v>3895</v>
      </c>
      <c r="EH2" s="937" t="s">
        <v>3896</v>
      </c>
      <c r="EI2" s="937" t="s">
        <v>3897</v>
      </c>
      <c r="EJ2" s="937" t="s">
        <v>3898</v>
      </c>
      <c r="EK2" s="937" t="s">
        <v>3899</v>
      </c>
      <c r="EL2" s="937" t="s">
        <v>3900</v>
      </c>
      <c r="EM2" s="937" t="s">
        <v>3901</v>
      </c>
      <c r="EN2" s="668">
        <v>14</v>
      </c>
      <c r="EO2" s="668">
        <v>2</v>
      </c>
      <c r="EP2" s="668">
        <v>4</v>
      </c>
      <c r="EQ2" s="668">
        <v>1</v>
      </c>
      <c r="ER2" s="668" t="s">
        <v>4672</v>
      </c>
      <c r="ES2" s="946" t="s">
        <v>4677</v>
      </c>
      <c r="ET2" s="947">
        <v>350</v>
      </c>
      <c r="EU2" s="948" t="s">
        <v>4678</v>
      </c>
      <c r="EV2" s="949">
        <v>3</v>
      </c>
      <c r="EW2" s="948" t="s">
        <v>1484</v>
      </c>
      <c r="EX2" s="949">
        <v>2</v>
      </c>
      <c r="EY2" s="950" t="s">
        <v>4679</v>
      </c>
      <c r="EZ2" s="949">
        <v>2</v>
      </c>
      <c r="FA2" s="948" t="s">
        <v>4680</v>
      </c>
      <c r="FB2" s="949">
        <v>2</v>
      </c>
      <c r="FC2" s="948" t="s">
        <v>4681</v>
      </c>
      <c r="FD2" s="949">
        <v>1</v>
      </c>
      <c r="FE2" s="950" t="s">
        <v>1985</v>
      </c>
    </row>
    <row r="3" spans="1:161 3089:3089" ht="12" customHeight="1" thickTop="1" thickBot="1">
      <c r="A3" s="951">
        <v>2</v>
      </c>
      <c r="B3" s="951">
        <v>2</v>
      </c>
      <c r="C3" s="923" t="s">
        <v>4589</v>
      </c>
      <c r="D3" s="924">
        <f ca="1">RANDBETWEEN(1,100)</f>
        <v>69</v>
      </c>
      <c r="E3" s="924"/>
      <c r="F3" s="924"/>
      <c r="G3" s="924"/>
      <c r="H3" s="925" t="str">
        <f ca="1">LOOKUP(D3,dCircon,gpCircon)</f>
        <v>Bâtard non reconnu : NS-4, BM–1% , Humour-1</v>
      </c>
      <c r="I3" s="925"/>
      <c r="J3" s="925"/>
      <c r="K3" s="923" t="str">
        <f t="shared" ref="K3:K66" ca="1" si="0">C3&amp;" = "&amp;H3&amp;" "&amp;I3&amp;" "&amp;J3</f>
        <v xml:space="preserve">Circonstance = Bâtard non reconnu : NS-4, BM–1% , Humour-1  </v>
      </c>
      <c r="L3" s="923">
        <v>7</v>
      </c>
      <c r="M3" s="952" t="s">
        <v>3698</v>
      </c>
      <c r="N3" s="953" t="s">
        <v>4899</v>
      </c>
      <c r="O3" s="923">
        <v>11</v>
      </c>
      <c r="P3" s="952" t="s">
        <v>3902</v>
      </c>
      <c r="Q3" s="923">
        <v>12</v>
      </c>
      <c r="R3" s="954">
        <v>21</v>
      </c>
      <c r="S3" s="954">
        <v>2</v>
      </c>
      <c r="T3" s="955" t="s">
        <v>3903</v>
      </c>
      <c r="U3" s="1135" t="s">
        <v>3904</v>
      </c>
      <c r="V3" s="956" t="s">
        <v>3905</v>
      </c>
      <c r="W3" s="957" t="s">
        <v>3906</v>
      </c>
      <c r="X3" s="958" t="s">
        <v>703</v>
      </c>
      <c r="Y3" s="1703" t="s">
        <v>3856</v>
      </c>
      <c r="Z3" s="958" t="s">
        <v>707</v>
      </c>
      <c r="AA3" s="957" t="s">
        <v>3907</v>
      </c>
      <c r="AB3" s="959">
        <v>2</v>
      </c>
      <c r="AC3" s="960" t="s">
        <v>3908</v>
      </c>
      <c r="AD3" s="961" t="s">
        <v>3909</v>
      </c>
      <c r="AE3" s="923">
        <v>11</v>
      </c>
      <c r="AF3" s="957" t="s">
        <v>3910</v>
      </c>
      <c r="AG3" s="923">
        <v>51</v>
      </c>
      <c r="AH3" s="938" t="s">
        <v>3911</v>
      </c>
      <c r="AI3" s="962">
        <v>16</v>
      </c>
      <c r="AJ3" s="957" t="s">
        <v>3912</v>
      </c>
      <c r="AK3" s="958">
        <v>3</v>
      </c>
      <c r="AL3" s="1072">
        <v>6</v>
      </c>
      <c r="AM3" s="1077" t="s">
        <v>5161</v>
      </c>
      <c r="AN3" s="962">
        <v>11</v>
      </c>
      <c r="AO3" s="957" t="s">
        <v>3913</v>
      </c>
      <c r="AP3" s="957" t="s">
        <v>3914</v>
      </c>
      <c r="AQ3" s="958">
        <v>1</v>
      </c>
      <c r="AR3" s="924">
        <v>5</v>
      </c>
      <c r="AS3" s="963" t="s">
        <v>3915</v>
      </c>
      <c r="AT3" s="923">
        <v>4</v>
      </c>
      <c r="AU3" s="952" t="s">
        <v>3916</v>
      </c>
      <c r="AV3" s="924">
        <v>3</v>
      </c>
      <c r="AW3" s="957" t="s">
        <v>3917</v>
      </c>
      <c r="AX3" s="923">
        <v>6</v>
      </c>
      <c r="AY3" s="957" t="s">
        <v>3918</v>
      </c>
      <c r="AZ3" s="958">
        <v>5</v>
      </c>
      <c r="BA3" s="958">
        <v>-1</v>
      </c>
      <c r="BB3" s="923">
        <v>6</v>
      </c>
      <c r="BC3" s="957" t="s">
        <v>3919</v>
      </c>
      <c r="BD3" s="923">
        <v>3</v>
      </c>
      <c r="BE3" s="961" t="s">
        <v>3920</v>
      </c>
      <c r="BF3" s="923">
        <f ca="1">RANDBETWEEN(1,6)+20</f>
        <v>26</v>
      </c>
      <c r="BG3" s="923">
        <v>26</v>
      </c>
      <c r="BH3" s="961" t="s">
        <v>3921</v>
      </c>
      <c r="BI3" s="923">
        <v>11</v>
      </c>
      <c r="BJ3" s="964" t="s">
        <v>4900</v>
      </c>
      <c r="BK3" s="923">
        <v>21</v>
      </c>
      <c r="BL3" s="964" t="s">
        <v>4901</v>
      </c>
      <c r="BM3" s="923">
        <v>2</v>
      </c>
      <c r="BN3" s="964" t="s">
        <v>3922</v>
      </c>
      <c r="BO3" s="923">
        <v>2</v>
      </c>
      <c r="BP3" s="937" t="s">
        <v>4902</v>
      </c>
      <c r="BQ3" s="923">
        <v>6</v>
      </c>
      <c r="BR3" s="923">
        <v>1</v>
      </c>
      <c r="BS3" s="960">
        <v>40</v>
      </c>
      <c r="BT3" s="923">
        <v>11</v>
      </c>
      <c r="BU3" s="965">
        <v>1</v>
      </c>
      <c r="BV3" s="923">
        <v>2</v>
      </c>
      <c r="BW3" s="923">
        <v>-5</v>
      </c>
      <c r="BX3" s="923" t="s">
        <v>3923</v>
      </c>
      <c r="BY3" s="923">
        <v>11</v>
      </c>
      <c r="BZ3" s="966" t="s">
        <v>4903</v>
      </c>
      <c r="CA3" s="923">
        <v>6</v>
      </c>
      <c r="CB3" s="961" t="s">
        <v>3924</v>
      </c>
      <c r="CC3" s="961" t="s">
        <v>3925</v>
      </c>
      <c r="CD3" s="923">
        <v>2</v>
      </c>
      <c r="CE3" s="966" t="s">
        <v>4904</v>
      </c>
      <c r="CF3" s="923">
        <v>2</v>
      </c>
      <c r="CG3" s="961" t="s">
        <v>2071</v>
      </c>
      <c r="CH3" s="923">
        <v>2</v>
      </c>
      <c r="CI3" s="966" t="s">
        <v>4905</v>
      </c>
      <c r="CJ3" s="923">
        <v>-9</v>
      </c>
      <c r="CK3" s="961" t="s">
        <v>3926</v>
      </c>
      <c r="CL3" s="960">
        <v>1</v>
      </c>
      <c r="CM3" s="960">
        <v>20</v>
      </c>
      <c r="CN3" s="961" t="s">
        <v>1167</v>
      </c>
      <c r="CO3" s="961" t="s">
        <v>3927</v>
      </c>
      <c r="CP3" s="967" t="s">
        <v>3928</v>
      </c>
      <c r="CQ3" s="967" t="s">
        <v>3927</v>
      </c>
      <c r="CR3" s="923">
        <v>9</v>
      </c>
      <c r="CS3" s="923" t="s">
        <v>3929</v>
      </c>
      <c r="CT3" s="923">
        <v>3</v>
      </c>
      <c r="CU3" s="968" t="s">
        <v>1146</v>
      </c>
      <c r="CV3" s="923">
        <v>2</v>
      </c>
      <c r="CW3" s="968" t="s">
        <v>1157</v>
      </c>
      <c r="CX3" s="923">
        <v>3</v>
      </c>
      <c r="CY3" s="968" t="s">
        <v>1193</v>
      </c>
      <c r="CZ3" s="923">
        <v>2</v>
      </c>
      <c r="DA3" s="968" t="s">
        <v>1204</v>
      </c>
      <c r="DB3" s="923">
        <v>2</v>
      </c>
      <c r="DC3" s="968" t="s">
        <v>3930</v>
      </c>
      <c r="DD3" s="923">
        <v>2</v>
      </c>
      <c r="DE3" s="968" t="s">
        <v>1242</v>
      </c>
      <c r="DF3" s="923">
        <v>2</v>
      </c>
      <c r="DG3" s="968" t="s">
        <v>1257</v>
      </c>
      <c r="DH3" s="923">
        <v>3</v>
      </c>
      <c r="DI3" s="968" t="s">
        <v>1271</v>
      </c>
      <c r="DJ3" s="923">
        <v>2</v>
      </c>
      <c r="DK3" s="968" t="s">
        <v>1282</v>
      </c>
      <c r="DL3" s="923">
        <v>5</v>
      </c>
      <c r="DM3" s="968" t="s">
        <v>1303</v>
      </c>
      <c r="DN3" s="961" t="s">
        <v>3931</v>
      </c>
      <c r="DO3" s="961" t="s">
        <v>3932</v>
      </c>
      <c r="DP3" s="923">
        <v>6</v>
      </c>
      <c r="DQ3" s="945" t="s">
        <v>3933</v>
      </c>
      <c r="DR3" s="923">
        <v>21</v>
      </c>
      <c r="DS3" s="964" t="s">
        <v>3934</v>
      </c>
      <c r="DT3" s="964" t="s">
        <v>3935</v>
      </c>
      <c r="DU3" s="964" t="s">
        <v>3936</v>
      </c>
      <c r="DV3" s="964" t="s">
        <v>3937</v>
      </c>
      <c r="DW3" s="964" t="s">
        <v>3938</v>
      </c>
      <c r="DX3" s="964" t="s">
        <v>3939</v>
      </c>
      <c r="DY3" s="964" t="s">
        <v>3940</v>
      </c>
      <c r="DZ3" s="964" t="s">
        <v>3941</v>
      </c>
      <c r="EA3" s="964" t="s">
        <v>4906</v>
      </c>
      <c r="EB3" s="937" t="s">
        <v>3891</v>
      </c>
      <c r="EC3" s="964" t="s">
        <v>3942</v>
      </c>
      <c r="ED3" s="964" t="s">
        <v>4907</v>
      </c>
      <c r="EE3" s="964" t="s">
        <v>3943</v>
      </c>
      <c r="EF3" s="969" t="s">
        <v>3944</v>
      </c>
      <c r="EG3" s="969" t="s">
        <v>3945</v>
      </c>
      <c r="EH3" s="969" t="s">
        <v>3946</v>
      </c>
      <c r="EI3" s="969" t="s">
        <v>3947</v>
      </c>
      <c r="EJ3" s="969" t="s">
        <v>4908</v>
      </c>
      <c r="EK3" s="964" t="s">
        <v>3948</v>
      </c>
      <c r="EL3" s="964" t="s">
        <v>3949</v>
      </c>
      <c r="EM3" s="964" t="s">
        <v>3950</v>
      </c>
      <c r="EN3" s="668">
        <v>12</v>
      </c>
      <c r="EO3" s="668">
        <v>3</v>
      </c>
      <c r="EP3" s="668">
        <v>4</v>
      </c>
      <c r="EQ3" s="668">
        <v>11</v>
      </c>
      <c r="ER3" s="668" t="s">
        <v>4673</v>
      </c>
      <c r="ES3" s="970" t="s">
        <v>4682</v>
      </c>
      <c r="ET3" s="971">
        <v>440</v>
      </c>
      <c r="EU3" s="972" t="s">
        <v>4683</v>
      </c>
      <c r="EV3" s="973">
        <v>3</v>
      </c>
      <c r="EW3" s="974" t="s">
        <v>4684</v>
      </c>
      <c r="EX3" s="973">
        <v>2</v>
      </c>
      <c r="EY3" s="974" t="s">
        <v>237</v>
      </c>
      <c r="EZ3" s="973">
        <v>2</v>
      </c>
      <c r="FA3" s="974" t="s">
        <v>2033</v>
      </c>
      <c r="FB3" s="973">
        <v>1</v>
      </c>
      <c r="FC3" s="972" t="s">
        <v>984</v>
      </c>
      <c r="FD3" s="973">
        <v>2</v>
      </c>
      <c r="FE3" s="972" t="s">
        <v>38</v>
      </c>
    </row>
    <row r="4" spans="1:161 3089:3089" ht="12" customHeight="1" thickTop="1" thickBot="1">
      <c r="A4" s="951">
        <v>3</v>
      </c>
      <c r="B4" s="951">
        <v>3</v>
      </c>
      <c r="C4" s="923" t="s">
        <v>2</v>
      </c>
      <c r="D4" s="924">
        <f ca="1">RANDBETWEEN(1,100)</f>
        <v>15</v>
      </c>
      <c r="E4" s="924"/>
      <c r="F4" s="924"/>
      <c r="G4" s="924"/>
      <c r="H4" s="975">
        <f ca="1">LOOKUP(D4,dAge,gpAge1)</f>
        <v>21</v>
      </c>
      <c r="I4" s="925" t="str">
        <f ca="1">"PH +"&amp;LOOKUP(D4,dAge,gpAge2)</f>
        <v>PH +2</v>
      </c>
      <c r="J4" s="925"/>
      <c r="K4" s="923" t="str">
        <f t="shared" ca="1" si="0"/>
        <v xml:space="preserve">Age = 21 PH +2 </v>
      </c>
      <c r="L4" s="923">
        <v>10</v>
      </c>
      <c r="M4" s="955" t="s">
        <v>3699</v>
      </c>
      <c r="N4" s="956" t="s">
        <v>4909</v>
      </c>
      <c r="O4" s="923">
        <v>61</v>
      </c>
      <c r="P4" s="955" t="s">
        <v>3951</v>
      </c>
      <c r="Q4" s="923">
        <v>24</v>
      </c>
      <c r="R4" s="958">
        <v>22</v>
      </c>
      <c r="S4" s="958">
        <v>2</v>
      </c>
      <c r="T4" s="957" t="s">
        <v>3952</v>
      </c>
      <c r="U4" s="1136" t="s">
        <v>3953</v>
      </c>
      <c r="V4" s="976" t="s">
        <v>3954</v>
      </c>
      <c r="W4" s="955" t="s">
        <v>3955</v>
      </c>
      <c r="X4" s="954" t="s">
        <v>707</v>
      </c>
      <c r="Y4" s="1703" t="s">
        <v>3856</v>
      </c>
      <c r="Z4" s="954" t="s">
        <v>707</v>
      </c>
      <c r="AA4" s="955" t="s">
        <v>4910</v>
      </c>
      <c r="AB4" s="935">
        <v>5</v>
      </c>
      <c r="AC4" s="977" t="s">
        <v>3956</v>
      </c>
      <c r="AD4" s="921" t="s">
        <v>3957</v>
      </c>
      <c r="AE4" s="923">
        <v>41</v>
      </c>
      <c r="AF4" s="955" t="s">
        <v>3958</v>
      </c>
      <c r="AG4" s="923">
        <v>81</v>
      </c>
      <c r="AH4" s="938" t="s">
        <v>3959</v>
      </c>
      <c r="AI4" s="962">
        <v>21</v>
      </c>
      <c r="AJ4" s="955" t="s">
        <v>3960</v>
      </c>
      <c r="AK4" s="954">
        <v>-1</v>
      </c>
      <c r="AL4" s="941">
        <v>16</v>
      </c>
      <c r="AM4" s="1077" t="s">
        <v>5162</v>
      </c>
      <c r="AN4" s="962">
        <v>31</v>
      </c>
      <c r="AO4" s="955" t="s">
        <v>3961</v>
      </c>
      <c r="AP4" s="955" t="s">
        <v>3962</v>
      </c>
      <c r="AQ4" s="954">
        <v>2</v>
      </c>
      <c r="AR4" s="924">
        <v>21</v>
      </c>
      <c r="AS4" s="963" t="s">
        <v>3663</v>
      </c>
      <c r="AT4" s="923">
        <v>6</v>
      </c>
      <c r="AU4" s="955" t="s">
        <v>3963</v>
      </c>
      <c r="AV4" s="924">
        <v>11</v>
      </c>
      <c r="AW4" s="955" t="s">
        <v>3964</v>
      </c>
      <c r="AX4" s="923">
        <v>16</v>
      </c>
      <c r="AY4" s="955" t="s">
        <v>3965</v>
      </c>
      <c r="AZ4" s="954">
        <v>10</v>
      </c>
      <c r="BA4" s="954">
        <v>0</v>
      </c>
      <c r="BB4" s="923">
        <v>16</v>
      </c>
      <c r="BC4" s="955" t="s">
        <v>5155</v>
      </c>
      <c r="BD4" s="923">
        <v>11</v>
      </c>
      <c r="BE4" s="921" t="s">
        <v>3966</v>
      </c>
      <c r="BF4" s="923">
        <f ca="1">RANDBETWEEN(1,6)+40</f>
        <v>43</v>
      </c>
      <c r="BG4" s="923">
        <v>46</v>
      </c>
      <c r="BH4" s="921" t="s">
        <v>3967</v>
      </c>
      <c r="BI4" s="923">
        <v>26</v>
      </c>
      <c r="BJ4" s="921" t="s">
        <v>4911</v>
      </c>
      <c r="BK4" s="923">
        <v>46</v>
      </c>
      <c r="BL4" s="921" t="s">
        <v>4912</v>
      </c>
      <c r="BM4" s="923">
        <v>3</v>
      </c>
      <c r="BN4" s="921" t="s">
        <v>3968</v>
      </c>
      <c r="BO4" s="923">
        <v>3</v>
      </c>
      <c r="BP4" s="937" t="s">
        <v>4913</v>
      </c>
      <c r="BQ4" s="923">
        <v>16</v>
      </c>
      <c r="BR4" s="923">
        <v>2</v>
      </c>
      <c r="BS4" s="977">
        <v>80</v>
      </c>
      <c r="BT4" s="923">
        <v>23</v>
      </c>
      <c r="BU4" s="977">
        <v>2</v>
      </c>
      <c r="BV4" s="923">
        <v>4</v>
      </c>
      <c r="BW4" s="923">
        <v>-4</v>
      </c>
      <c r="BX4" s="923" t="s">
        <v>3969</v>
      </c>
      <c r="BY4" s="923">
        <v>31</v>
      </c>
      <c r="BZ4" s="978" t="s">
        <v>4914</v>
      </c>
      <c r="CA4" s="923">
        <v>21</v>
      </c>
      <c r="CB4" s="921" t="s">
        <v>3970</v>
      </c>
      <c r="CC4" s="921" t="s">
        <v>3971</v>
      </c>
      <c r="CD4" s="923">
        <v>10</v>
      </c>
      <c r="CE4" s="978" t="s">
        <v>4915</v>
      </c>
      <c r="CF4" s="923">
        <v>4</v>
      </c>
      <c r="CG4" s="921" t="s">
        <v>2058</v>
      </c>
      <c r="CH4" s="923">
        <v>4</v>
      </c>
      <c r="CI4" s="978" t="s">
        <v>4916</v>
      </c>
      <c r="CJ4" s="923">
        <v>1</v>
      </c>
      <c r="CK4" s="921" t="s">
        <v>3972</v>
      </c>
      <c r="CL4" s="977">
        <v>2</v>
      </c>
      <c r="CM4" s="977">
        <v>50</v>
      </c>
      <c r="CN4" s="921" t="s">
        <v>3973</v>
      </c>
      <c r="CO4" s="921" t="s">
        <v>3974</v>
      </c>
      <c r="CP4" s="979" t="s">
        <v>3975</v>
      </c>
      <c r="CQ4" s="979" t="s">
        <v>3976</v>
      </c>
      <c r="CR4" s="923">
        <v>13</v>
      </c>
      <c r="CS4" s="923" t="s">
        <v>81</v>
      </c>
      <c r="CT4" s="923">
        <v>4</v>
      </c>
      <c r="CU4" s="968" t="s">
        <v>1147</v>
      </c>
      <c r="CV4" s="923">
        <v>4</v>
      </c>
      <c r="CW4" s="968" t="s">
        <v>1158</v>
      </c>
      <c r="CX4" s="923">
        <v>6</v>
      </c>
      <c r="CY4" s="968" t="s">
        <v>1194</v>
      </c>
      <c r="CZ4" s="923">
        <v>3</v>
      </c>
      <c r="DA4" s="968" t="s">
        <v>1205</v>
      </c>
      <c r="DB4" s="923">
        <v>3</v>
      </c>
      <c r="DC4" s="968" t="s">
        <v>1225</v>
      </c>
      <c r="DD4" s="923">
        <v>4</v>
      </c>
      <c r="DE4" s="968" t="s">
        <v>1243</v>
      </c>
      <c r="DF4" s="923">
        <v>3</v>
      </c>
      <c r="DG4" s="968" t="s">
        <v>1258</v>
      </c>
      <c r="DH4" s="923">
        <v>6</v>
      </c>
      <c r="DI4" s="968" t="s">
        <v>1272</v>
      </c>
      <c r="DJ4" s="923">
        <v>3</v>
      </c>
      <c r="DK4" s="968" t="s">
        <v>1283</v>
      </c>
      <c r="DL4" s="923">
        <v>6</v>
      </c>
      <c r="DM4" s="968" t="s">
        <v>1304</v>
      </c>
      <c r="DN4" s="921" t="s">
        <v>1326</v>
      </c>
      <c r="DO4" s="921" t="s">
        <v>3977</v>
      </c>
      <c r="DP4" s="923">
        <v>11</v>
      </c>
      <c r="DQ4" s="945" t="s">
        <v>3978</v>
      </c>
      <c r="DR4" s="923">
        <v>29</v>
      </c>
      <c r="DS4" s="921" t="s">
        <v>3979</v>
      </c>
      <c r="DT4" s="921" t="s">
        <v>3980</v>
      </c>
      <c r="DU4" s="921" t="s">
        <v>3981</v>
      </c>
      <c r="DV4" s="921" t="s">
        <v>3982</v>
      </c>
      <c r="DW4" s="921" t="s">
        <v>3983</v>
      </c>
      <c r="DX4" s="921" t="s">
        <v>3984</v>
      </c>
      <c r="DY4" s="921" t="s">
        <v>3985</v>
      </c>
      <c r="DZ4" s="921" t="s">
        <v>3986</v>
      </c>
      <c r="EA4" s="921" t="s">
        <v>3987</v>
      </c>
      <c r="EB4" s="964" t="s">
        <v>3988</v>
      </c>
      <c r="EC4" s="921" t="s">
        <v>3989</v>
      </c>
      <c r="ED4" s="921" t="s">
        <v>3990</v>
      </c>
      <c r="EE4" s="921" t="s">
        <v>3991</v>
      </c>
      <c r="EF4" s="921" t="s">
        <v>3992</v>
      </c>
      <c r="EG4" s="921" t="s">
        <v>3993</v>
      </c>
      <c r="EH4" s="921" t="s">
        <v>3994</v>
      </c>
      <c r="EI4" s="921" t="s">
        <v>3995</v>
      </c>
      <c r="EJ4" s="921" t="s">
        <v>3996</v>
      </c>
      <c r="EK4" s="921" t="s">
        <v>3997</v>
      </c>
      <c r="EL4" s="921" t="s">
        <v>3998</v>
      </c>
      <c r="EM4" s="921" t="s">
        <v>3999</v>
      </c>
      <c r="EN4" s="668">
        <v>67</v>
      </c>
      <c r="EO4" s="668">
        <v>4</v>
      </c>
      <c r="EP4" s="668">
        <v>5</v>
      </c>
      <c r="EQ4" s="668">
        <v>17</v>
      </c>
      <c r="ER4" s="668" t="s">
        <v>2533</v>
      </c>
      <c r="ES4" s="970" t="s">
        <v>4685</v>
      </c>
      <c r="ET4" s="971">
        <v>250</v>
      </c>
      <c r="EU4" s="974" t="s">
        <v>4686</v>
      </c>
      <c r="EV4" s="973">
        <v>1</v>
      </c>
      <c r="EW4" s="974" t="s">
        <v>4687</v>
      </c>
      <c r="EX4" s="973">
        <v>2</v>
      </c>
      <c r="EY4" s="972" t="s">
        <v>4688</v>
      </c>
      <c r="EZ4" s="973">
        <v>2</v>
      </c>
      <c r="FA4" s="972" t="s">
        <v>1022</v>
      </c>
      <c r="FB4" s="973">
        <v>2</v>
      </c>
      <c r="FC4" s="972" t="s">
        <v>4680</v>
      </c>
      <c r="FD4" s="973">
        <v>2</v>
      </c>
      <c r="FE4" s="972" t="s">
        <v>4689</v>
      </c>
    </row>
    <row r="5" spans="1:161 3089:3089" ht="12" customHeight="1" thickTop="1" thickBot="1">
      <c r="A5" s="951">
        <v>4</v>
      </c>
      <c r="B5" s="951">
        <v>4</v>
      </c>
      <c r="C5" s="923" t="s">
        <v>4590</v>
      </c>
      <c r="D5" s="924">
        <f ca="1">RANDBETWEEN(1,10)</f>
        <v>2</v>
      </c>
      <c r="E5" s="924"/>
      <c r="F5" s="924"/>
      <c r="G5" s="924"/>
      <c r="H5" s="925" t="str">
        <f ca="1">LOOKUP(D5,gpD10x,gpAnnee1)</f>
        <v>Excellence</v>
      </c>
      <c r="I5" s="925" t="str">
        <f ca="1">LOOKUP(D5,gpD10x,gpAnnee2)</f>
        <v>SI</v>
      </c>
      <c r="J5" s="925" t="str">
        <f ca="1">LOOKUP(D5,gpD10x,gpAnnee3)</f>
        <v>+1 natif si D20&lt; natif pour chaque caractéristique</v>
      </c>
      <c r="K5" s="923" t="str">
        <f t="shared" ca="1" si="0"/>
        <v>Annee = Excellence SI +1 natif si D20&lt; natif pour chaque caractéristique</v>
      </c>
      <c r="L5" s="923">
        <v>12</v>
      </c>
      <c r="M5" s="952" t="s">
        <v>3700</v>
      </c>
      <c r="N5" s="953" t="s">
        <v>4917</v>
      </c>
      <c r="O5" s="923">
        <v>66</v>
      </c>
      <c r="P5" s="952" t="s">
        <v>4000</v>
      </c>
      <c r="Q5" s="923">
        <v>36</v>
      </c>
      <c r="R5" s="954">
        <v>23</v>
      </c>
      <c r="S5" s="954">
        <v>2</v>
      </c>
      <c r="T5" s="955" t="s">
        <v>1820</v>
      </c>
      <c r="U5" s="1135" t="s">
        <v>4001</v>
      </c>
      <c r="V5" s="956" t="s">
        <v>4002</v>
      </c>
      <c r="W5" s="957" t="s">
        <v>4003</v>
      </c>
      <c r="X5" s="958" t="s">
        <v>4601</v>
      </c>
      <c r="Y5" s="1704" t="s">
        <v>4004</v>
      </c>
      <c r="Z5" s="958" t="s">
        <v>706</v>
      </c>
      <c r="AA5" s="957" t="s">
        <v>4005</v>
      </c>
      <c r="AB5" s="959">
        <v>8</v>
      </c>
      <c r="AC5" s="960" t="s">
        <v>4006</v>
      </c>
      <c r="AD5" s="961" t="s">
        <v>4007</v>
      </c>
      <c r="AE5" s="923">
        <v>76</v>
      </c>
      <c r="AF5" s="957" t="s">
        <v>4008</v>
      </c>
      <c r="AG5" s="923">
        <v>91</v>
      </c>
      <c r="AH5" s="938" t="s">
        <v>4009</v>
      </c>
      <c r="AI5" s="962">
        <v>41</v>
      </c>
      <c r="AJ5" s="957" t="s">
        <v>4010</v>
      </c>
      <c r="AK5" s="958">
        <v>2</v>
      </c>
      <c r="AL5" s="1072">
        <v>26</v>
      </c>
      <c r="AM5" s="1077" t="s">
        <v>5163</v>
      </c>
      <c r="AN5" s="962">
        <v>51</v>
      </c>
      <c r="AO5" s="957" t="s">
        <v>4011</v>
      </c>
      <c r="AP5" s="957" t="s">
        <v>2058</v>
      </c>
      <c r="AQ5" s="958">
        <v>-3</v>
      </c>
      <c r="AR5" s="924">
        <v>76</v>
      </c>
      <c r="AS5" s="938" t="s">
        <v>4012</v>
      </c>
      <c r="AT5" s="923">
        <v>9</v>
      </c>
      <c r="AU5" s="952" t="s">
        <v>4013</v>
      </c>
      <c r="AV5" s="924">
        <v>91</v>
      </c>
      <c r="AW5" s="957" t="s">
        <v>4014</v>
      </c>
      <c r="AX5" s="923">
        <v>31</v>
      </c>
      <c r="AY5" s="957" t="s">
        <v>4015</v>
      </c>
      <c r="AZ5" s="958">
        <v>15</v>
      </c>
      <c r="BA5" s="958">
        <v>0</v>
      </c>
      <c r="BB5" s="923">
        <v>86</v>
      </c>
      <c r="BC5" s="957" t="s">
        <v>4016</v>
      </c>
      <c r="BD5" s="923">
        <v>86</v>
      </c>
      <c r="BE5" s="961" t="s">
        <v>4017</v>
      </c>
      <c r="BF5" s="923">
        <f ca="1">RANDBETWEEN(1,6)+60</f>
        <v>63</v>
      </c>
      <c r="BG5" s="923">
        <v>61</v>
      </c>
      <c r="BH5" s="961" t="s">
        <v>4018</v>
      </c>
      <c r="BI5" s="923">
        <v>56</v>
      </c>
      <c r="BJ5" s="964" t="s">
        <v>4918</v>
      </c>
      <c r="BK5" s="923">
        <v>61</v>
      </c>
      <c r="BL5" s="964" t="s">
        <v>4919</v>
      </c>
      <c r="BM5" s="923">
        <v>4</v>
      </c>
      <c r="BN5" s="964" t="s">
        <v>4019</v>
      </c>
      <c r="BO5" s="923">
        <v>4</v>
      </c>
      <c r="BP5" s="937" t="s">
        <v>4920</v>
      </c>
      <c r="BQ5" s="923">
        <v>31</v>
      </c>
      <c r="BR5" s="923">
        <v>3</v>
      </c>
      <c r="BS5" s="960">
        <v>200</v>
      </c>
      <c r="BT5" s="923">
        <v>37</v>
      </c>
      <c r="BU5" s="965">
        <v>3</v>
      </c>
      <c r="BV5" s="923">
        <v>7</v>
      </c>
      <c r="BW5" s="923">
        <v>-3</v>
      </c>
      <c r="BX5" s="923" t="s">
        <v>4020</v>
      </c>
      <c r="BY5" s="923">
        <v>71</v>
      </c>
      <c r="BZ5" s="966" t="s">
        <v>4921</v>
      </c>
      <c r="CA5" s="923">
        <v>26</v>
      </c>
      <c r="CB5" s="961" t="s">
        <v>4021</v>
      </c>
      <c r="CC5" s="961" t="s">
        <v>4022</v>
      </c>
      <c r="CD5" s="923">
        <v>20</v>
      </c>
      <c r="CE5" s="966" t="s">
        <v>4922</v>
      </c>
      <c r="CF5" s="923">
        <v>8</v>
      </c>
      <c r="CG5" s="961" t="s">
        <v>4023</v>
      </c>
      <c r="CH5" s="923">
        <v>5</v>
      </c>
      <c r="CI5" s="966" t="s">
        <v>4923</v>
      </c>
      <c r="CJ5" s="923">
        <v>31</v>
      </c>
      <c r="CK5" s="961" t="s">
        <v>4024</v>
      </c>
      <c r="CL5" s="960">
        <v>3</v>
      </c>
      <c r="CM5" s="960">
        <v>100</v>
      </c>
      <c r="CN5" s="961" t="s">
        <v>4025</v>
      </c>
      <c r="CO5" s="961" t="s">
        <v>3878</v>
      </c>
      <c r="CP5" s="967" t="s">
        <v>4026</v>
      </c>
      <c r="CQ5" s="967" t="s">
        <v>4027</v>
      </c>
      <c r="CR5" s="923">
        <v>19</v>
      </c>
      <c r="CS5" s="923" t="s">
        <v>878</v>
      </c>
      <c r="CT5" s="923">
        <v>5</v>
      </c>
      <c r="CU5" s="968" t="s">
        <v>4028</v>
      </c>
      <c r="CV5" s="923">
        <v>8</v>
      </c>
      <c r="CW5" s="968" t="s">
        <v>1159</v>
      </c>
      <c r="CX5" s="923">
        <v>7</v>
      </c>
      <c r="CY5" s="968" t="s">
        <v>1195</v>
      </c>
      <c r="CZ5" s="923">
        <v>4</v>
      </c>
      <c r="DA5" s="968" t="s">
        <v>1206</v>
      </c>
      <c r="DB5" s="923">
        <v>4</v>
      </c>
      <c r="DC5" s="968" t="s">
        <v>1226</v>
      </c>
      <c r="DD5" s="923">
        <v>6</v>
      </c>
      <c r="DE5" s="968" t="s">
        <v>1244</v>
      </c>
      <c r="DF5" s="923">
        <v>5</v>
      </c>
      <c r="DG5" s="968" t="s">
        <v>1259</v>
      </c>
      <c r="DH5" s="923">
        <v>8</v>
      </c>
      <c r="DI5" s="968" t="s">
        <v>1273</v>
      </c>
      <c r="DJ5" s="923">
        <v>4</v>
      </c>
      <c r="DK5" s="968" t="s">
        <v>1284</v>
      </c>
      <c r="DL5" s="923">
        <v>7</v>
      </c>
      <c r="DM5" s="968" t="s">
        <v>4029</v>
      </c>
      <c r="DN5" s="961" t="s">
        <v>4030</v>
      </c>
      <c r="DO5" s="961" t="s">
        <v>4031</v>
      </c>
      <c r="DP5" s="923">
        <v>16</v>
      </c>
      <c r="DQ5" s="945" t="s">
        <v>4032</v>
      </c>
      <c r="DR5" s="923">
        <v>33</v>
      </c>
      <c r="DS5" s="964" t="s">
        <v>4033</v>
      </c>
      <c r="DT5" s="964" t="s">
        <v>4034</v>
      </c>
      <c r="DU5" s="964" t="s">
        <v>4035</v>
      </c>
      <c r="DV5" s="964" t="s">
        <v>4036</v>
      </c>
      <c r="DW5" s="964" t="s">
        <v>4037</v>
      </c>
      <c r="DX5" s="964" t="s">
        <v>4038</v>
      </c>
      <c r="DY5" s="964" t="s">
        <v>4039</v>
      </c>
      <c r="DZ5" s="964" t="s">
        <v>4924</v>
      </c>
      <c r="EA5" s="964" t="s">
        <v>4040</v>
      </c>
      <c r="EB5" s="921" t="s">
        <v>4041</v>
      </c>
      <c r="EC5" s="964" t="s">
        <v>4042</v>
      </c>
      <c r="ED5" s="964" t="s">
        <v>4043</v>
      </c>
      <c r="EE5" s="964" t="s">
        <v>4044</v>
      </c>
      <c r="EF5" s="969" t="s">
        <v>4045</v>
      </c>
      <c r="EG5" s="969" t="s">
        <v>4046</v>
      </c>
      <c r="EH5" s="969" t="s">
        <v>4047</v>
      </c>
      <c r="EI5" s="969" t="s">
        <v>4048</v>
      </c>
      <c r="EJ5" s="969" t="s">
        <v>4049</v>
      </c>
      <c r="EK5" s="964" t="s">
        <v>4050</v>
      </c>
      <c r="EL5" s="964" t="s">
        <v>4051</v>
      </c>
      <c r="EM5" s="964" t="s">
        <v>4052</v>
      </c>
      <c r="EN5" s="668">
        <v>54</v>
      </c>
      <c r="EO5" s="668">
        <v>5</v>
      </c>
      <c r="EP5" s="668">
        <v>5</v>
      </c>
      <c r="EQ5" s="668">
        <v>28</v>
      </c>
      <c r="ER5" s="668" t="s">
        <v>4674</v>
      </c>
      <c r="ES5" s="970" t="s">
        <v>4690</v>
      </c>
      <c r="ET5" s="971">
        <v>370</v>
      </c>
      <c r="EU5" s="972" t="s">
        <v>4691</v>
      </c>
      <c r="EV5" s="973">
        <v>2</v>
      </c>
      <c r="EW5" s="972" t="s">
        <v>87</v>
      </c>
      <c r="EX5" s="973">
        <v>3</v>
      </c>
      <c r="EY5" s="972" t="s">
        <v>2016</v>
      </c>
      <c r="EZ5" s="973">
        <v>3</v>
      </c>
      <c r="FA5" s="972" t="s">
        <v>167</v>
      </c>
      <c r="FB5" s="973">
        <v>1</v>
      </c>
      <c r="FC5" s="972" t="s">
        <v>1045</v>
      </c>
      <c r="FD5" s="973">
        <v>1</v>
      </c>
      <c r="FE5" s="972"/>
    </row>
    <row r="6" spans="1:161 3089:3089" ht="12" customHeight="1" thickTop="1" thickBot="1">
      <c r="A6" s="951">
        <v>5</v>
      </c>
      <c r="B6" s="951">
        <v>5</v>
      </c>
      <c r="C6" s="923" t="s">
        <v>4591</v>
      </c>
      <c r="D6" s="924">
        <f ca="1">RANDBETWEEN(1,12)</f>
        <v>5</v>
      </c>
      <c r="E6" s="924"/>
      <c r="F6" s="924"/>
      <c r="G6" s="924"/>
      <c r="H6" s="925" t="str">
        <f ca="1">LOOKUP(D6,gpD100x,gpMois1)</f>
        <v>Mésange</v>
      </c>
      <c r="I6" s="925" t="str">
        <f ca="1">"Carac = "&amp;LOOKUP(D6,gpD100x,gpMois2)&amp;"  mod Humour"</f>
        <v>Carac = E +2  mod Humour</v>
      </c>
      <c r="J6" s="925"/>
      <c r="K6" s="923" t="str">
        <f t="shared" ca="1" si="0"/>
        <v xml:space="preserve">Mois = Mésange Carac = E +2  mod Humour </v>
      </c>
      <c r="L6" s="923">
        <v>18</v>
      </c>
      <c r="M6" s="955" t="s">
        <v>3701</v>
      </c>
      <c r="N6" s="956" t="s">
        <v>4925</v>
      </c>
      <c r="O6" s="923">
        <v>71</v>
      </c>
      <c r="P6" s="955" t="s">
        <v>4053</v>
      </c>
      <c r="Q6" s="923">
        <v>47</v>
      </c>
      <c r="R6" s="958">
        <v>24</v>
      </c>
      <c r="S6" s="958">
        <v>2</v>
      </c>
      <c r="T6" s="957" t="s">
        <v>4054</v>
      </c>
      <c r="U6" s="1136" t="s">
        <v>4055</v>
      </c>
      <c r="V6" s="976" t="s">
        <v>4056</v>
      </c>
      <c r="W6" s="955" t="s">
        <v>4057</v>
      </c>
      <c r="X6" s="954" t="s">
        <v>4602</v>
      </c>
      <c r="Y6" s="1704" t="s">
        <v>4004</v>
      </c>
      <c r="Z6" s="954" t="s">
        <v>706</v>
      </c>
      <c r="AA6" s="955" t="s">
        <v>4926</v>
      </c>
      <c r="AB6" s="935">
        <v>11</v>
      </c>
      <c r="AC6" s="977" t="s">
        <v>4058</v>
      </c>
      <c r="AD6" s="921" t="s">
        <v>4059</v>
      </c>
      <c r="AE6" s="923">
        <v>90</v>
      </c>
      <c r="AF6" s="955" t="s">
        <v>4607</v>
      </c>
      <c r="AG6" s="923">
        <v>96</v>
      </c>
      <c r="AH6" s="938" t="s">
        <v>4060</v>
      </c>
      <c r="AI6" s="962">
        <v>51</v>
      </c>
      <c r="AJ6" s="955" t="s">
        <v>4061</v>
      </c>
      <c r="AK6" s="954">
        <v>-2</v>
      </c>
      <c r="AL6" s="941">
        <v>36</v>
      </c>
      <c r="AM6" s="1077" t="s">
        <v>5164</v>
      </c>
      <c r="AN6" s="962">
        <v>71</v>
      </c>
      <c r="AO6" s="955" t="s">
        <v>4062</v>
      </c>
      <c r="AP6" s="955" t="s">
        <v>4063</v>
      </c>
      <c r="AQ6" s="954">
        <v>3</v>
      </c>
      <c r="AR6" s="924">
        <v>97</v>
      </c>
      <c r="AS6" s="938" t="s">
        <v>4064</v>
      </c>
      <c r="AT6" s="923">
        <v>11</v>
      </c>
      <c r="AU6" s="955" t="s">
        <v>4927</v>
      </c>
      <c r="AV6" s="924">
        <v>99</v>
      </c>
      <c r="AW6" s="955" t="s">
        <v>4065</v>
      </c>
      <c r="AX6" s="923">
        <v>49</v>
      </c>
      <c r="AY6" s="955" t="s">
        <v>4066</v>
      </c>
      <c r="AZ6" s="954">
        <v>20</v>
      </c>
      <c r="BA6" s="954">
        <v>0</v>
      </c>
      <c r="BB6" s="923">
        <v>96</v>
      </c>
      <c r="BC6" s="955" t="s">
        <v>4067</v>
      </c>
      <c r="BD6" s="923">
        <v>98</v>
      </c>
      <c r="BE6" s="921" t="s">
        <v>4068</v>
      </c>
      <c r="BF6" s="923">
        <f ca="1">RANDBETWEEN(1,6)+80</f>
        <v>85</v>
      </c>
      <c r="BG6" s="923">
        <v>71</v>
      </c>
      <c r="BH6" s="921" t="s">
        <v>4069</v>
      </c>
      <c r="BI6" s="923">
        <v>76</v>
      </c>
      <c r="BJ6" s="921" t="s">
        <v>4928</v>
      </c>
      <c r="BK6" s="923">
        <v>66</v>
      </c>
      <c r="BL6" s="921" t="s">
        <v>4929</v>
      </c>
      <c r="BM6" s="923">
        <v>5</v>
      </c>
      <c r="BN6" s="921" t="s">
        <v>4070</v>
      </c>
      <c r="BO6" s="923">
        <v>5</v>
      </c>
      <c r="BP6" s="964" t="s">
        <v>4071</v>
      </c>
      <c r="BQ6" s="923">
        <v>56</v>
      </c>
      <c r="BR6" s="923">
        <v>4</v>
      </c>
      <c r="BS6" s="977">
        <v>400</v>
      </c>
      <c r="BT6" s="923">
        <v>50</v>
      </c>
      <c r="BU6" s="977">
        <v>4</v>
      </c>
      <c r="BV6" s="923">
        <v>11</v>
      </c>
      <c r="BW6" s="923">
        <v>-2</v>
      </c>
      <c r="BX6" s="923" t="s">
        <v>4072</v>
      </c>
      <c r="BY6" s="923">
        <v>96</v>
      </c>
      <c r="BZ6" s="978" t="s">
        <v>4930</v>
      </c>
      <c r="CA6" s="923">
        <v>31</v>
      </c>
      <c r="CB6" s="921" t="s">
        <v>4073</v>
      </c>
      <c r="CC6" s="921" t="s">
        <v>4074</v>
      </c>
      <c r="CD6" s="923">
        <v>22</v>
      </c>
      <c r="CE6" s="978" t="s">
        <v>4931</v>
      </c>
      <c r="CF6" s="923">
        <v>10</v>
      </c>
      <c r="CG6" s="921" t="s">
        <v>4075</v>
      </c>
      <c r="CH6" s="923">
        <v>6</v>
      </c>
      <c r="CI6" s="978" t="s">
        <v>4932</v>
      </c>
      <c r="CJ6" s="923">
        <v>56</v>
      </c>
      <c r="CK6" s="921" t="s">
        <v>4076</v>
      </c>
      <c r="CL6" s="977">
        <v>4</v>
      </c>
      <c r="CM6" s="977">
        <v>200</v>
      </c>
      <c r="CN6" s="921" t="s">
        <v>1623</v>
      </c>
      <c r="CO6" s="921" t="s">
        <v>4077</v>
      </c>
      <c r="CP6" s="979" t="s">
        <v>4078</v>
      </c>
      <c r="CQ6" s="979" t="s">
        <v>4079</v>
      </c>
      <c r="CR6" s="923">
        <v>23</v>
      </c>
      <c r="CS6" s="923" t="s">
        <v>87</v>
      </c>
      <c r="CT6" s="923">
        <v>8</v>
      </c>
      <c r="CU6" s="968" t="s">
        <v>1149</v>
      </c>
      <c r="CV6" s="923">
        <v>11</v>
      </c>
      <c r="CW6" s="968" t="s">
        <v>1160</v>
      </c>
      <c r="CX6" s="923">
        <v>9</v>
      </c>
      <c r="CY6" s="968" t="s">
        <v>1196</v>
      </c>
      <c r="CZ6" s="923">
        <v>5</v>
      </c>
      <c r="DA6" s="968" t="s">
        <v>1207</v>
      </c>
      <c r="DB6" s="923">
        <v>5</v>
      </c>
      <c r="DC6" s="968" t="s">
        <v>1227</v>
      </c>
      <c r="DD6" s="923">
        <v>7</v>
      </c>
      <c r="DE6" s="968" t="s">
        <v>1245</v>
      </c>
      <c r="DF6" s="923">
        <v>6</v>
      </c>
      <c r="DG6" s="968" t="s">
        <v>1260</v>
      </c>
      <c r="DH6" s="923">
        <v>9</v>
      </c>
      <c r="DI6" s="968" t="s">
        <v>1274</v>
      </c>
      <c r="DJ6" s="923">
        <v>5</v>
      </c>
      <c r="DK6" s="968" t="s">
        <v>1285</v>
      </c>
      <c r="DL6" s="923">
        <v>11</v>
      </c>
      <c r="DM6" s="968" t="s">
        <v>1306</v>
      </c>
      <c r="DN6" s="921" t="s">
        <v>4080</v>
      </c>
      <c r="DO6" s="921" t="s">
        <v>4081</v>
      </c>
      <c r="DP6" s="923">
        <v>21</v>
      </c>
      <c r="DQ6" s="945" t="s">
        <v>4082</v>
      </c>
      <c r="DR6" s="923">
        <v>35</v>
      </c>
      <c r="DS6" s="921" t="s">
        <v>4083</v>
      </c>
      <c r="DT6" s="921" t="s">
        <v>4084</v>
      </c>
      <c r="DU6" s="921" t="s">
        <v>4085</v>
      </c>
      <c r="DV6" s="921" t="s">
        <v>4933</v>
      </c>
      <c r="DW6" s="921" t="s">
        <v>4086</v>
      </c>
      <c r="DX6" s="921" t="s">
        <v>4087</v>
      </c>
      <c r="DY6" s="921" t="s">
        <v>4088</v>
      </c>
      <c r="DZ6" s="921" t="s">
        <v>4089</v>
      </c>
      <c r="EA6" s="921" t="s">
        <v>4090</v>
      </c>
      <c r="EB6" s="964" t="s">
        <v>4091</v>
      </c>
      <c r="EC6" s="921" t="s">
        <v>4092</v>
      </c>
      <c r="ED6" s="921" t="s">
        <v>4093</v>
      </c>
      <c r="EE6" s="921" t="s">
        <v>4094</v>
      </c>
      <c r="EF6" s="921" t="s">
        <v>4095</v>
      </c>
      <c r="EG6" s="921" t="s">
        <v>4096</v>
      </c>
      <c r="EH6" s="921" t="s">
        <v>4097</v>
      </c>
      <c r="EI6" s="921" t="s">
        <v>4098</v>
      </c>
      <c r="EJ6" s="921" t="s">
        <v>4099</v>
      </c>
      <c r="EK6" s="921" t="s">
        <v>4100</v>
      </c>
      <c r="EL6" s="921" t="s">
        <v>4101</v>
      </c>
      <c r="EM6" s="921" t="s">
        <v>4102</v>
      </c>
      <c r="EN6" s="668">
        <v>10</v>
      </c>
      <c r="EO6" s="668">
        <v>6</v>
      </c>
      <c r="EP6" s="668">
        <v>6</v>
      </c>
      <c r="EQ6" s="668">
        <v>34</v>
      </c>
      <c r="ER6" s="668" t="s">
        <v>4675</v>
      </c>
      <c r="ES6" s="970" t="s">
        <v>4692</v>
      </c>
      <c r="ET6" s="971">
        <v>430</v>
      </c>
      <c r="EU6" s="972" t="s">
        <v>280</v>
      </c>
      <c r="EV6" s="973">
        <v>3</v>
      </c>
      <c r="EW6" s="972" t="s">
        <v>4693</v>
      </c>
      <c r="EX6" s="973">
        <v>1</v>
      </c>
      <c r="EY6" s="972" t="s">
        <v>4694</v>
      </c>
      <c r="EZ6" s="973">
        <v>2</v>
      </c>
      <c r="FA6" s="972" t="s">
        <v>4695</v>
      </c>
      <c r="FB6" s="973">
        <v>2</v>
      </c>
      <c r="FC6" s="972" t="s">
        <v>4696</v>
      </c>
      <c r="FD6" s="973">
        <v>2</v>
      </c>
      <c r="FE6" s="972" t="s">
        <v>1054</v>
      </c>
    </row>
    <row r="7" spans="1:161 3089:3089" ht="12" customHeight="1" thickTop="1" thickBot="1">
      <c r="A7" s="951">
        <v>6</v>
      </c>
      <c r="B7" s="951">
        <v>6</v>
      </c>
      <c r="C7" s="923" t="s">
        <v>4592</v>
      </c>
      <c r="D7" s="924">
        <f ca="1">RANDBETWEEN(1,30)</f>
        <v>11</v>
      </c>
      <c r="E7" s="924"/>
      <c r="F7" s="924"/>
      <c r="G7" s="924"/>
      <c r="H7" s="925" t="str">
        <f ca="1">LOOKUP(D7,gpD100x,gpJour1)</f>
        <v>Lumière</v>
      </c>
      <c r="I7" s="925" t="str">
        <f ca="1">"Si "&amp;LOOKUP(D7,gpD100x,gpJour2)&amp;" + haut alors +D10*"</f>
        <v>Si A + haut alors +D10*</v>
      </c>
      <c r="J7" s="925" t="str">
        <f ca="1">LOOKUP(D7,gpD100x,gpJour3)</f>
        <v>Max+Natif</v>
      </c>
      <c r="K7" s="923" t="str">
        <f t="shared" ca="1" si="0"/>
        <v>Jour = Lumière Si A + haut alors +D10* Max+Natif</v>
      </c>
      <c r="L7" s="923">
        <v>22</v>
      </c>
      <c r="M7" s="952" t="s">
        <v>3702</v>
      </c>
      <c r="N7" s="953" t="s">
        <v>4934</v>
      </c>
      <c r="O7" s="923">
        <v>76</v>
      </c>
      <c r="P7" s="952" t="s">
        <v>4103</v>
      </c>
      <c r="Q7" s="923">
        <v>57</v>
      </c>
      <c r="R7" s="954">
        <v>25</v>
      </c>
      <c r="S7" s="954">
        <v>2</v>
      </c>
      <c r="T7" s="955" t="s">
        <v>4104</v>
      </c>
      <c r="U7" s="1135" t="s">
        <v>4105</v>
      </c>
      <c r="V7" s="956" t="s">
        <v>4106</v>
      </c>
      <c r="W7" s="957" t="s">
        <v>4107</v>
      </c>
      <c r="X7" s="958" t="s">
        <v>4603</v>
      </c>
      <c r="Y7" s="1704" t="s">
        <v>4004</v>
      </c>
      <c r="Z7" s="958" t="s">
        <v>706</v>
      </c>
      <c r="AA7" s="957" t="s">
        <v>4108</v>
      </c>
      <c r="AB7" s="959">
        <v>12</v>
      </c>
      <c r="AC7" s="960" t="s">
        <v>3264</v>
      </c>
      <c r="AD7" s="961" t="s">
        <v>4109</v>
      </c>
      <c r="AE7" s="923">
        <v>99</v>
      </c>
      <c r="AF7" s="957" t="s">
        <v>4606</v>
      </c>
      <c r="AG7" s="923"/>
      <c r="AH7" s="923"/>
      <c r="AI7" s="962">
        <v>61</v>
      </c>
      <c r="AJ7" s="957" t="s">
        <v>4110</v>
      </c>
      <c r="AK7" s="958">
        <v>1</v>
      </c>
      <c r="AL7" s="1072">
        <v>81</v>
      </c>
      <c r="AM7" s="1077" t="s">
        <v>3958</v>
      </c>
      <c r="AN7" s="962">
        <v>81</v>
      </c>
      <c r="AO7" s="957" t="s">
        <v>2963</v>
      </c>
      <c r="AP7" s="957" t="s">
        <v>4111</v>
      </c>
      <c r="AQ7" s="958">
        <v>-1</v>
      </c>
      <c r="AR7" s="923"/>
      <c r="AS7" s="923"/>
      <c r="AT7" s="923">
        <v>12</v>
      </c>
      <c r="AU7" s="952" t="s">
        <v>4112</v>
      </c>
      <c r="AV7" s="924"/>
      <c r="AW7" s="923"/>
      <c r="AX7" s="923">
        <v>69</v>
      </c>
      <c r="AY7" s="957" t="s">
        <v>4113</v>
      </c>
      <c r="AZ7" s="958">
        <v>30</v>
      </c>
      <c r="BA7" s="958">
        <v>1</v>
      </c>
      <c r="BB7" s="923"/>
      <c r="BC7" s="923"/>
      <c r="BD7" s="923"/>
      <c r="BE7" s="923"/>
      <c r="BF7" s="923"/>
      <c r="BG7" s="923">
        <v>84</v>
      </c>
      <c r="BH7" s="961" t="s">
        <v>4114</v>
      </c>
      <c r="BI7" s="923">
        <v>81</v>
      </c>
      <c r="BJ7" s="964" t="s">
        <v>4935</v>
      </c>
      <c r="BK7" s="923">
        <v>69</v>
      </c>
      <c r="BL7" s="964" t="s">
        <v>4936</v>
      </c>
      <c r="BM7" s="923">
        <v>6</v>
      </c>
      <c r="BN7" s="964" t="s">
        <v>4115</v>
      </c>
      <c r="BO7" s="923">
        <v>6</v>
      </c>
      <c r="BP7" s="964" t="s">
        <v>4116</v>
      </c>
      <c r="BQ7" s="923">
        <v>76</v>
      </c>
      <c r="BR7" s="923">
        <v>5</v>
      </c>
      <c r="BS7" s="960">
        <v>600</v>
      </c>
      <c r="BT7" s="923">
        <v>61</v>
      </c>
      <c r="BU7" s="965">
        <v>5</v>
      </c>
      <c r="BV7" s="923">
        <v>16</v>
      </c>
      <c r="BW7" s="923">
        <v>-1</v>
      </c>
      <c r="BX7" s="923" t="s">
        <v>4117</v>
      </c>
      <c r="BY7" s="923"/>
      <c r="BZ7" s="923"/>
      <c r="CA7" s="923">
        <v>41</v>
      </c>
      <c r="CB7" s="961" t="s">
        <v>4118</v>
      </c>
      <c r="CC7" s="961" t="s">
        <v>4119</v>
      </c>
      <c r="CD7" s="923">
        <v>27</v>
      </c>
      <c r="CE7" s="966" t="s">
        <v>4937</v>
      </c>
      <c r="CF7" s="923"/>
      <c r="CG7" s="923"/>
      <c r="CH7" s="923">
        <v>7</v>
      </c>
      <c r="CI7" s="966" t="s">
        <v>4938</v>
      </c>
      <c r="CJ7" s="923">
        <v>76</v>
      </c>
      <c r="CK7" s="961" t="s">
        <v>4120</v>
      </c>
      <c r="CL7" s="960">
        <v>5</v>
      </c>
      <c r="CM7" s="960">
        <v>300</v>
      </c>
      <c r="CN7" s="961" t="s">
        <v>4121</v>
      </c>
      <c r="CO7" s="961" t="s">
        <v>4122</v>
      </c>
      <c r="CP7" s="967" t="s">
        <v>4123</v>
      </c>
      <c r="CQ7" s="967" t="s">
        <v>4124</v>
      </c>
      <c r="CR7" s="923">
        <v>29</v>
      </c>
      <c r="CS7" s="923" t="s">
        <v>280</v>
      </c>
      <c r="CT7" s="923">
        <v>11</v>
      </c>
      <c r="CU7" s="968" t="s">
        <v>1607</v>
      </c>
      <c r="CV7" s="923">
        <v>17</v>
      </c>
      <c r="CW7" s="968" t="s">
        <v>1161</v>
      </c>
      <c r="CX7" s="923">
        <v>12</v>
      </c>
      <c r="CY7" s="968" t="s">
        <v>1197</v>
      </c>
      <c r="CZ7" s="923">
        <v>6</v>
      </c>
      <c r="DA7" s="968" t="s">
        <v>4125</v>
      </c>
      <c r="DB7" s="923">
        <v>7</v>
      </c>
      <c r="DC7" s="968" t="s">
        <v>1228</v>
      </c>
      <c r="DD7" s="923">
        <v>9</v>
      </c>
      <c r="DE7" s="968" t="s">
        <v>1246</v>
      </c>
      <c r="DF7" s="923">
        <v>7</v>
      </c>
      <c r="DG7" s="968" t="s">
        <v>1261</v>
      </c>
      <c r="DH7" s="923">
        <v>11</v>
      </c>
      <c r="DI7" s="968" t="s">
        <v>1275</v>
      </c>
      <c r="DJ7" s="923">
        <v>6</v>
      </c>
      <c r="DK7" s="968" t="s">
        <v>1286</v>
      </c>
      <c r="DL7" s="923">
        <v>12</v>
      </c>
      <c r="DM7" s="968" t="s">
        <v>1307</v>
      </c>
      <c r="DN7" s="961" t="s">
        <v>4126</v>
      </c>
      <c r="DO7" s="961" t="s">
        <v>4127</v>
      </c>
      <c r="DP7" s="923">
        <v>26</v>
      </c>
      <c r="DQ7" s="945" t="s">
        <v>4128</v>
      </c>
      <c r="DR7" s="923">
        <v>37</v>
      </c>
      <c r="DS7" s="964" t="s">
        <v>4129</v>
      </c>
      <c r="DT7" s="964" t="s">
        <v>4130</v>
      </c>
      <c r="DU7" s="964" t="s">
        <v>4131</v>
      </c>
      <c r="DV7" s="964" t="s">
        <v>4939</v>
      </c>
      <c r="DW7" s="964" t="s">
        <v>4132</v>
      </c>
      <c r="DX7" s="964" t="s">
        <v>4940</v>
      </c>
      <c r="DY7" s="964" t="s">
        <v>4133</v>
      </c>
      <c r="DZ7" s="964" t="s">
        <v>4134</v>
      </c>
      <c r="EA7" s="964" t="s">
        <v>4135</v>
      </c>
      <c r="EB7" s="921" t="s">
        <v>4136</v>
      </c>
      <c r="EC7" s="964" t="s">
        <v>4941</v>
      </c>
      <c r="ED7" s="964" t="s">
        <v>4137</v>
      </c>
      <c r="EE7" s="964" t="s">
        <v>4138</v>
      </c>
      <c r="EF7" s="969" t="s">
        <v>4942</v>
      </c>
      <c r="EG7" s="969" t="s">
        <v>4139</v>
      </c>
      <c r="EH7" s="969" t="s">
        <v>4140</v>
      </c>
      <c r="EI7" s="969" t="s">
        <v>4141</v>
      </c>
      <c r="EJ7" s="969" t="s">
        <v>4142</v>
      </c>
      <c r="EK7" s="964" t="s">
        <v>4143</v>
      </c>
      <c r="EL7" s="964" t="s">
        <v>4144</v>
      </c>
      <c r="EM7" s="964" t="s">
        <v>4145</v>
      </c>
      <c r="EN7" s="668">
        <v>13</v>
      </c>
      <c r="EO7" s="668">
        <v>7</v>
      </c>
      <c r="EP7" s="668">
        <v>7</v>
      </c>
      <c r="ES7" s="970" t="s">
        <v>4697</v>
      </c>
      <c r="ET7" s="971">
        <v>460</v>
      </c>
      <c r="EU7" s="972" t="s">
        <v>4698</v>
      </c>
      <c r="EV7" s="973">
        <v>3</v>
      </c>
      <c r="EW7" s="972" t="s">
        <v>4699</v>
      </c>
      <c r="EX7" s="973">
        <v>2</v>
      </c>
      <c r="EY7" s="972" t="s">
        <v>87</v>
      </c>
      <c r="EZ7" s="973">
        <v>3</v>
      </c>
      <c r="FA7" s="972" t="s">
        <v>4700</v>
      </c>
      <c r="FB7" s="973">
        <v>3</v>
      </c>
      <c r="FC7" s="972" t="s">
        <v>4701</v>
      </c>
      <c r="FD7" s="973">
        <v>1</v>
      </c>
      <c r="FE7" s="972" t="s">
        <v>4702</v>
      </c>
    </row>
    <row r="8" spans="1:161 3089:3089" ht="12" customHeight="1" thickTop="1" thickBot="1">
      <c r="A8" s="951">
        <v>7</v>
      </c>
      <c r="B8" s="951">
        <v>7</v>
      </c>
      <c r="C8" s="923" t="s">
        <v>4593</v>
      </c>
      <c r="D8" s="924">
        <f ca="1">RANDBETWEEN(1,20)</f>
        <v>5</v>
      </c>
      <c r="E8" s="924"/>
      <c r="F8" s="924"/>
      <c r="G8" s="924"/>
      <c r="H8" s="925" t="str">
        <f ca="1">LOOKUP(D8,dLune,gpLune1)</f>
        <v>Cuivre</v>
      </c>
      <c r="I8" s="925" t="str">
        <f ca="1">LOOKUP(D8,dLune,gpLune2)</f>
        <v>Trois x2 passent à x3, un x3 passe à 2</v>
      </c>
      <c r="J8" s="925"/>
      <c r="K8" s="923" t="str">
        <f t="shared" ca="1" si="0"/>
        <v xml:space="preserve">Lune = Cuivre Trois x2 passent à x3, un x3 passe à 2 </v>
      </c>
      <c r="L8" s="923">
        <v>24</v>
      </c>
      <c r="M8" s="955" t="s">
        <v>3703</v>
      </c>
      <c r="N8" s="956" t="s">
        <v>4943</v>
      </c>
      <c r="O8" s="923">
        <v>81</v>
      </c>
      <c r="P8" s="955" t="s">
        <v>4146</v>
      </c>
      <c r="Q8" s="923">
        <v>66</v>
      </c>
      <c r="R8" s="958">
        <v>26</v>
      </c>
      <c r="S8" s="958">
        <v>1</v>
      </c>
      <c r="T8" s="957" t="s">
        <v>4147</v>
      </c>
      <c r="U8" s="1136" t="s">
        <v>4148</v>
      </c>
      <c r="V8" s="976" t="s">
        <v>4149</v>
      </c>
      <c r="W8" s="955" t="s">
        <v>3344</v>
      </c>
      <c r="X8" s="954" t="s">
        <v>4150</v>
      </c>
      <c r="Y8" s="1705" t="s">
        <v>4151</v>
      </c>
      <c r="Z8" s="954" t="s">
        <v>705</v>
      </c>
      <c r="AA8" s="955" t="s">
        <v>4944</v>
      </c>
      <c r="AB8" s="935">
        <v>15</v>
      </c>
      <c r="AC8" s="977" t="s">
        <v>4152</v>
      </c>
      <c r="AD8" s="921" t="s">
        <v>4153</v>
      </c>
      <c r="AE8" s="923"/>
      <c r="AF8" s="923"/>
      <c r="AG8" s="923"/>
      <c r="AH8" s="923"/>
      <c r="AI8" s="962">
        <v>68</v>
      </c>
      <c r="AJ8" s="955" t="s">
        <v>4154</v>
      </c>
      <c r="AK8" s="954">
        <v>4</v>
      </c>
      <c r="AL8" s="941">
        <v>91</v>
      </c>
      <c r="AM8" s="1077" t="s">
        <v>5165</v>
      </c>
      <c r="AN8" s="962">
        <v>91</v>
      </c>
      <c r="AO8" s="955" t="s">
        <v>4155</v>
      </c>
      <c r="AP8" s="955" t="s">
        <v>4156</v>
      </c>
      <c r="AQ8" s="954">
        <v>-2</v>
      </c>
      <c r="AR8" s="923" t="s">
        <v>4612</v>
      </c>
      <c r="AS8" s="923" t="s">
        <v>4613</v>
      </c>
      <c r="AT8" s="923">
        <v>14</v>
      </c>
      <c r="AU8" s="955" t="s">
        <v>4945</v>
      </c>
      <c r="AV8" s="924"/>
      <c r="AW8" s="923"/>
      <c r="AX8" s="923">
        <v>84</v>
      </c>
      <c r="AY8" s="955" t="s">
        <v>4157</v>
      </c>
      <c r="AZ8" s="954">
        <v>40</v>
      </c>
      <c r="BA8" s="954">
        <v>2</v>
      </c>
      <c r="BB8" s="923"/>
      <c r="BC8" s="923"/>
      <c r="BD8" s="923"/>
      <c r="BE8" s="923"/>
      <c r="BF8" s="923"/>
      <c r="BG8" s="923">
        <v>87</v>
      </c>
      <c r="BH8" s="921" t="s">
        <v>4946</v>
      </c>
      <c r="BI8" s="923">
        <v>89</v>
      </c>
      <c r="BJ8" s="921" t="s">
        <v>4947</v>
      </c>
      <c r="BK8" s="923">
        <v>84</v>
      </c>
      <c r="BL8" s="921" t="s">
        <v>4948</v>
      </c>
      <c r="BM8" s="923">
        <v>7</v>
      </c>
      <c r="BN8" s="921" t="s">
        <v>4158</v>
      </c>
      <c r="BO8" s="923">
        <v>7</v>
      </c>
      <c r="BP8" s="964" t="s">
        <v>4159</v>
      </c>
      <c r="BQ8" s="923">
        <v>91</v>
      </c>
      <c r="BR8" s="923">
        <v>6</v>
      </c>
      <c r="BS8" s="977">
        <v>800</v>
      </c>
      <c r="BT8" s="923">
        <v>70</v>
      </c>
      <c r="BU8" s="977">
        <v>6</v>
      </c>
      <c r="BV8" s="923">
        <v>22</v>
      </c>
      <c r="BW8" s="923">
        <v>0</v>
      </c>
      <c r="BX8" s="923" t="s">
        <v>4160</v>
      </c>
      <c r="BY8" s="923"/>
      <c r="BZ8" s="923"/>
      <c r="CA8" s="923">
        <v>46</v>
      </c>
      <c r="CB8" s="921" t="s">
        <v>4161</v>
      </c>
      <c r="CC8" s="921" t="s">
        <v>4162</v>
      </c>
      <c r="CD8" s="923">
        <v>29</v>
      </c>
      <c r="CE8" s="978" t="s">
        <v>4949</v>
      </c>
      <c r="CF8" s="923"/>
      <c r="CG8" s="923"/>
      <c r="CH8" s="923">
        <v>8</v>
      </c>
      <c r="CI8" s="978" t="s">
        <v>4950</v>
      </c>
      <c r="CJ8" s="923">
        <v>91</v>
      </c>
      <c r="CK8" s="921" t="s">
        <v>4163</v>
      </c>
      <c r="CL8" s="977">
        <v>6</v>
      </c>
      <c r="CM8" s="977">
        <v>400</v>
      </c>
      <c r="CN8" s="921" t="s">
        <v>4123</v>
      </c>
      <c r="CO8" s="921" t="s">
        <v>4164</v>
      </c>
      <c r="CP8" s="979" t="s">
        <v>4165</v>
      </c>
      <c r="CQ8" s="979" t="s">
        <v>4166</v>
      </c>
      <c r="CR8" s="923">
        <v>32</v>
      </c>
      <c r="CS8" s="923" t="s">
        <v>4167</v>
      </c>
      <c r="CT8" s="923">
        <v>13</v>
      </c>
      <c r="CU8" s="968" t="s">
        <v>1151</v>
      </c>
      <c r="CV8" s="923">
        <v>21</v>
      </c>
      <c r="CW8" s="968" t="s">
        <v>1162</v>
      </c>
      <c r="CX8" s="923">
        <v>14</v>
      </c>
      <c r="CY8" s="968" t="s">
        <v>1198</v>
      </c>
      <c r="CZ8" s="923">
        <v>7</v>
      </c>
      <c r="DA8" s="968" t="s">
        <v>1209</v>
      </c>
      <c r="DB8" s="923">
        <v>8</v>
      </c>
      <c r="DC8" s="968" t="s">
        <v>1229</v>
      </c>
      <c r="DD8" s="923">
        <v>10</v>
      </c>
      <c r="DE8" s="968" t="s">
        <v>4168</v>
      </c>
      <c r="DF8" s="923">
        <v>8</v>
      </c>
      <c r="DG8" s="968" t="s">
        <v>1262</v>
      </c>
      <c r="DH8" s="923">
        <v>12</v>
      </c>
      <c r="DI8" s="968" t="s">
        <v>1276</v>
      </c>
      <c r="DJ8" s="923">
        <v>7</v>
      </c>
      <c r="DK8" s="968" t="s">
        <v>1287</v>
      </c>
      <c r="DL8" s="923">
        <v>15</v>
      </c>
      <c r="DM8" s="968" t="s">
        <v>1308</v>
      </c>
      <c r="DN8" s="921" t="s">
        <v>4169</v>
      </c>
      <c r="DO8" s="921" t="s">
        <v>4170</v>
      </c>
      <c r="DP8" s="923">
        <v>61</v>
      </c>
      <c r="DQ8" s="945" t="s">
        <v>4171</v>
      </c>
      <c r="DR8" s="923">
        <v>39</v>
      </c>
      <c r="DS8" s="921" t="s">
        <v>4172</v>
      </c>
      <c r="DT8" s="921" t="s">
        <v>4173</v>
      </c>
      <c r="DU8" s="921" t="s">
        <v>4174</v>
      </c>
      <c r="DV8" s="921" t="s">
        <v>4175</v>
      </c>
      <c r="DW8" s="921" t="s">
        <v>4176</v>
      </c>
      <c r="DX8" s="921" t="s">
        <v>4177</v>
      </c>
      <c r="DY8" s="921" t="s">
        <v>4178</v>
      </c>
      <c r="DZ8" s="923"/>
      <c r="EA8" s="921" t="s">
        <v>4179</v>
      </c>
      <c r="EB8" s="964" t="s">
        <v>4180</v>
      </c>
      <c r="EC8" s="921" t="s">
        <v>4951</v>
      </c>
      <c r="ED8" s="921" t="s">
        <v>4181</v>
      </c>
      <c r="EE8" s="921" t="s">
        <v>4182</v>
      </c>
      <c r="EF8" s="921" t="s">
        <v>4183</v>
      </c>
      <c r="EG8" s="921" t="s">
        <v>4184</v>
      </c>
      <c r="EH8" s="921" t="s">
        <v>4185</v>
      </c>
      <c r="EI8" s="921" t="s">
        <v>4186</v>
      </c>
      <c r="EJ8" s="921" t="s">
        <v>4187</v>
      </c>
      <c r="EK8" s="921" t="s">
        <v>4188</v>
      </c>
      <c r="EL8" s="921" t="s">
        <v>4189</v>
      </c>
      <c r="EM8" s="921" t="s">
        <v>4190</v>
      </c>
      <c r="EN8" s="668">
        <v>6</v>
      </c>
      <c r="EO8" s="668">
        <v>8</v>
      </c>
      <c r="EP8" s="668">
        <v>8</v>
      </c>
      <c r="ES8" s="970" t="s">
        <v>4123</v>
      </c>
      <c r="ET8" s="971">
        <v>400</v>
      </c>
      <c r="EU8" s="972" t="s">
        <v>4703</v>
      </c>
      <c r="EV8" s="973">
        <v>3</v>
      </c>
      <c r="EW8" s="972" t="s">
        <v>87</v>
      </c>
      <c r="EX8" s="973">
        <v>2</v>
      </c>
      <c r="EY8" s="972" t="s">
        <v>4704</v>
      </c>
      <c r="EZ8" s="973">
        <v>2</v>
      </c>
      <c r="FA8" s="980" t="s">
        <v>640</v>
      </c>
      <c r="FB8" s="973">
        <v>3</v>
      </c>
      <c r="FC8" s="972" t="s">
        <v>4705</v>
      </c>
      <c r="FD8" s="973">
        <v>2</v>
      </c>
      <c r="FE8" s="972" t="s">
        <v>4706</v>
      </c>
    </row>
    <row r="9" spans="1:161 3089:3089" ht="12" customHeight="1" thickTop="1" thickBot="1">
      <c r="A9" s="951">
        <v>8</v>
      </c>
      <c r="B9" s="951">
        <v>8</v>
      </c>
      <c r="C9" s="923" t="s">
        <v>4594</v>
      </c>
      <c r="D9" s="924">
        <f ca="1">IF(RANDBETWEEN(1,100)&lt;D4/30,0,1)</f>
        <v>1</v>
      </c>
      <c r="E9" s="924">
        <f ca="1">RANDBETWEEN(1,100)</f>
        <v>90</v>
      </c>
      <c r="F9" s="924"/>
      <c r="G9" s="924"/>
      <c r="H9" s="925" t="str">
        <f ca="1">IF(D9=1,LOOKUP(E9,dChevelure,gpChevelure),"Chauve")</f>
        <v>Noir -Ap</v>
      </c>
      <c r="I9" s="925"/>
      <c r="J9" s="925"/>
      <c r="K9" s="923" t="str">
        <f t="shared" ca="1" si="0"/>
        <v xml:space="preserve">Chevelure = Noir -Ap  </v>
      </c>
      <c r="L9" s="923">
        <v>32</v>
      </c>
      <c r="M9" s="952" t="s">
        <v>3704</v>
      </c>
      <c r="N9" s="953" t="s">
        <v>3705</v>
      </c>
      <c r="O9" s="923">
        <v>88</v>
      </c>
      <c r="P9" s="952" t="s">
        <v>4191</v>
      </c>
      <c r="Q9" s="923">
        <v>79</v>
      </c>
      <c r="R9" s="954">
        <v>27</v>
      </c>
      <c r="S9" s="954">
        <v>1</v>
      </c>
      <c r="T9" s="955" t="s">
        <v>4192</v>
      </c>
      <c r="U9" s="1135" t="s">
        <v>4193</v>
      </c>
      <c r="V9" s="956" t="s">
        <v>4194</v>
      </c>
      <c r="W9" s="957" t="s">
        <v>4195</v>
      </c>
      <c r="X9" s="958" t="s">
        <v>706</v>
      </c>
      <c r="Y9" s="1705" t="s">
        <v>4151</v>
      </c>
      <c r="Z9" s="958" t="s">
        <v>705</v>
      </c>
      <c r="AA9" s="957" t="s">
        <v>4196</v>
      </c>
      <c r="AB9" s="959">
        <v>18</v>
      </c>
      <c r="AC9" s="960" t="s">
        <v>4197</v>
      </c>
      <c r="AD9" s="961" t="s">
        <v>4198</v>
      </c>
      <c r="AE9" s="923"/>
      <c r="AF9" s="923"/>
      <c r="AG9" s="923"/>
      <c r="AH9" s="923"/>
      <c r="AI9" s="962">
        <v>71</v>
      </c>
      <c r="AJ9" s="957" t="s">
        <v>4199</v>
      </c>
      <c r="AK9" s="958">
        <v>-4</v>
      </c>
      <c r="AL9" s="1072">
        <v>97</v>
      </c>
      <c r="AM9" s="1077" t="s">
        <v>5166</v>
      </c>
      <c r="AN9" s="962">
        <v>99</v>
      </c>
      <c r="AO9" s="957" t="s">
        <v>4200</v>
      </c>
      <c r="AP9" s="957" t="s">
        <v>4201</v>
      </c>
      <c r="AQ9" s="958">
        <v>-4</v>
      </c>
      <c r="AR9" s="923">
        <v>1</v>
      </c>
      <c r="AS9" s="923" t="s">
        <v>4614</v>
      </c>
      <c r="AT9" s="923">
        <v>16</v>
      </c>
      <c r="AU9" s="952" t="s">
        <v>4202</v>
      </c>
      <c r="AV9" s="924"/>
      <c r="AW9" s="923"/>
      <c r="AX9" s="923">
        <v>94</v>
      </c>
      <c r="AY9" s="957" t="s">
        <v>4203</v>
      </c>
      <c r="AZ9" s="958">
        <v>60</v>
      </c>
      <c r="BA9" s="958">
        <v>3</v>
      </c>
      <c r="BB9" s="923"/>
      <c r="BC9" s="923"/>
      <c r="BD9" s="923"/>
      <c r="BE9" s="923"/>
      <c r="BF9" s="923"/>
      <c r="BG9" s="923">
        <v>92</v>
      </c>
      <c r="BH9" s="961" t="s">
        <v>4204</v>
      </c>
      <c r="BI9" s="923">
        <v>91</v>
      </c>
      <c r="BJ9" s="964" t="s">
        <v>4205</v>
      </c>
      <c r="BK9" s="923">
        <v>89</v>
      </c>
      <c r="BL9" s="964" t="s">
        <v>4206</v>
      </c>
      <c r="BM9" s="923">
        <v>8</v>
      </c>
      <c r="BN9" s="964" t="s">
        <v>4207</v>
      </c>
      <c r="BO9" s="923">
        <v>8</v>
      </c>
      <c r="BP9" s="921" t="s">
        <v>4208</v>
      </c>
      <c r="BQ9" s="923">
        <v>95</v>
      </c>
      <c r="BR9" s="923">
        <v>7</v>
      </c>
      <c r="BS9" s="960">
        <v>1000</v>
      </c>
      <c r="BT9" s="923">
        <v>78</v>
      </c>
      <c r="BU9" s="965">
        <v>7</v>
      </c>
      <c r="BV9" s="923">
        <v>95</v>
      </c>
      <c r="BW9" s="923">
        <v>1</v>
      </c>
      <c r="BX9" s="923" t="s">
        <v>4209</v>
      </c>
      <c r="BY9" s="923"/>
      <c r="BZ9" s="923"/>
      <c r="CA9" s="923">
        <v>61</v>
      </c>
      <c r="CB9" s="961" t="s">
        <v>4210</v>
      </c>
      <c r="CC9" s="961" t="s">
        <v>4211</v>
      </c>
      <c r="CD9" s="923">
        <v>30</v>
      </c>
      <c r="CE9" s="966" t="s">
        <v>4952</v>
      </c>
      <c r="CF9" s="923"/>
      <c r="CG9" s="923"/>
      <c r="CH9" s="923">
        <v>9</v>
      </c>
      <c r="CI9" s="966" t="s">
        <v>4953</v>
      </c>
      <c r="CJ9" s="923">
        <v>101</v>
      </c>
      <c r="CK9" s="961" t="s">
        <v>4212</v>
      </c>
      <c r="CL9" s="960">
        <v>7</v>
      </c>
      <c r="CM9" s="960">
        <v>500</v>
      </c>
      <c r="CN9" s="961" t="s">
        <v>4213</v>
      </c>
      <c r="CO9" s="961" t="s">
        <v>4164</v>
      </c>
      <c r="CP9" s="967" t="s">
        <v>4214</v>
      </c>
      <c r="CQ9" s="981" t="s">
        <v>4954</v>
      </c>
      <c r="CR9" s="923">
        <v>38</v>
      </c>
      <c r="CS9" s="923" t="s">
        <v>4215</v>
      </c>
      <c r="CT9" s="923">
        <v>16</v>
      </c>
      <c r="CU9" s="968" t="s">
        <v>1152</v>
      </c>
      <c r="CV9" s="923">
        <v>24</v>
      </c>
      <c r="CW9" s="968" t="s">
        <v>1163</v>
      </c>
      <c r="CX9" s="923">
        <v>16</v>
      </c>
      <c r="CY9" s="968" t="s">
        <v>1199</v>
      </c>
      <c r="CZ9" s="923">
        <v>8</v>
      </c>
      <c r="DA9" s="968" t="s">
        <v>1210</v>
      </c>
      <c r="DB9" s="923">
        <v>9</v>
      </c>
      <c r="DC9" s="968" t="s">
        <v>1230</v>
      </c>
      <c r="DD9" s="923">
        <v>11</v>
      </c>
      <c r="DE9" s="968" t="s">
        <v>1248</v>
      </c>
      <c r="DF9" s="923">
        <v>9</v>
      </c>
      <c r="DG9" s="968" t="s">
        <v>1263</v>
      </c>
      <c r="DH9" s="923">
        <v>14</v>
      </c>
      <c r="DI9" s="968" t="s">
        <v>1277</v>
      </c>
      <c r="DJ9" s="923">
        <v>8</v>
      </c>
      <c r="DK9" s="968" t="s">
        <v>1288</v>
      </c>
      <c r="DL9" s="923">
        <v>18</v>
      </c>
      <c r="DM9" s="968" t="s">
        <v>1309</v>
      </c>
      <c r="DN9" s="961" t="s">
        <v>4216</v>
      </c>
      <c r="DO9" s="961" t="s">
        <v>4217</v>
      </c>
      <c r="DP9" s="923">
        <v>26</v>
      </c>
      <c r="DQ9" s="945" t="s">
        <v>4218</v>
      </c>
      <c r="DR9" s="923">
        <v>41</v>
      </c>
      <c r="DS9" s="964" t="s">
        <v>4219</v>
      </c>
      <c r="DT9" s="964" t="s">
        <v>4220</v>
      </c>
      <c r="DU9" s="964" t="s">
        <v>4221</v>
      </c>
      <c r="DV9" s="964" t="s">
        <v>4222</v>
      </c>
      <c r="DW9" s="964" t="s">
        <v>4223</v>
      </c>
      <c r="DX9" s="964" t="s">
        <v>4224</v>
      </c>
      <c r="DY9" s="964" t="s">
        <v>4225</v>
      </c>
      <c r="DZ9" s="923"/>
      <c r="EA9" s="964" t="s">
        <v>4955</v>
      </c>
      <c r="EB9" s="921" t="s">
        <v>4226</v>
      </c>
      <c r="EC9" s="964" t="s">
        <v>4227</v>
      </c>
      <c r="ED9" s="964" t="s">
        <v>4228</v>
      </c>
      <c r="EE9" s="923"/>
      <c r="EF9" s="969" t="s">
        <v>4229</v>
      </c>
      <c r="EG9" s="969" t="s">
        <v>4230</v>
      </c>
      <c r="EH9" s="969" t="s">
        <v>4231</v>
      </c>
      <c r="EI9" s="969" t="s">
        <v>4232</v>
      </c>
      <c r="EJ9" s="969" t="s">
        <v>4956</v>
      </c>
      <c r="EK9" s="964" t="s">
        <v>4233</v>
      </c>
      <c r="EL9" s="964" t="s">
        <v>4234</v>
      </c>
      <c r="EM9" s="964" t="s">
        <v>4235</v>
      </c>
      <c r="EN9" s="668">
        <v>23</v>
      </c>
      <c r="EO9" s="668">
        <v>9</v>
      </c>
      <c r="EP9" s="668">
        <v>9</v>
      </c>
      <c r="ES9" s="970" t="s">
        <v>3930</v>
      </c>
      <c r="ET9" s="971">
        <v>310</v>
      </c>
      <c r="EU9" s="972" t="s">
        <v>4707</v>
      </c>
      <c r="EV9" s="973">
        <v>2</v>
      </c>
      <c r="EW9" s="972" t="s">
        <v>167</v>
      </c>
      <c r="EX9" s="973">
        <v>2</v>
      </c>
      <c r="EY9" s="972" t="s">
        <v>1526</v>
      </c>
      <c r="EZ9" s="973">
        <v>3</v>
      </c>
      <c r="FA9" s="972" t="s">
        <v>4708</v>
      </c>
      <c r="FB9" s="973">
        <v>2</v>
      </c>
      <c r="FC9" s="972" t="s">
        <v>4709</v>
      </c>
      <c r="FD9" s="973">
        <v>1</v>
      </c>
      <c r="FE9" s="972"/>
    </row>
    <row r="10" spans="1:161 3089:3089" ht="12" customHeight="1" thickBot="1">
      <c r="A10" s="951">
        <v>9</v>
      </c>
      <c r="B10" s="951">
        <v>9</v>
      </c>
      <c r="C10" s="923" t="s">
        <v>4595</v>
      </c>
      <c r="D10" s="924">
        <f ca="1">RANDBETWEEN(1,100)</f>
        <v>43</v>
      </c>
      <c r="E10" s="924"/>
      <c r="F10" s="924"/>
      <c r="G10" s="924"/>
      <c r="H10" s="925" t="str">
        <f ca="1">IF(D9=1,"Style "&amp;LOOKUP(D10,dStyle,gpStyle)&amp;" nat Ap","Chauve")</f>
        <v>Style Plat -1 nat Ap</v>
      </c>
      <c r="I10" s="925"/>
      <c r="J10" s="925"/>
      <c r="K10" s="923" t="str">
        <f t="shared" ca="1" si="0"/>
        <v xml:space="preserve">Style = Style Plat -1 nat Ap  </v>
      </c>
      <c r="L10" s="923">
        <v>36</v>
      </c>
      <c r="M10" s="955" t="s">
        <v>3706</v>
      </c>
      <c r="N10" s="956" t="s">
        <v>3707</v>
      </c>
      <c r="O10" s="923">
        <v>93</v>
      </c>
      <c r="P10" s="955" t="s">
        <v>4236</v>
      </c>
      <c r="Q10" s="923">
        <v>90</v>
      </c>
      <c r="R10" s="958">
        <v>28</v>
      </c>
      <c r="S10" s="958">
        <v>1</v>
      </c>
      <c r="T10" s="957" t="s">
        <v>4237</v>
      </c>
      <c r="U10" s="1136" t="s">
        <v>4238</v>
      </c>
      <c r="V10" s="976" t="s">
        <v>4239</v>
      </c>
      <c r="W10" s="955" t="s">
        <v>4240</v>
      </c>
      <c r="X10" s="954" t="s">
        <v>4604</v>
      </c>
      <c r="Y10" s="1705" t="s">
        <v>4151</v>
      </c>
      <c r="Z10" s="954" t="s">
        <v>705</v>
      </c>
      <c r="AA10" s="955" t="s">
        <v>4957</v>
      </c>
      <c r="AB10" s="935"/>
      <c r="AC10" s="935"/>
      <c r="AD10" s="935"/>
      <c r="AE10" s="923"/>
      <c r="AF10" s="923"/>
      <c r="AG10" s="923"/>
      <c r="AH10" s="923"/>
      <c r="AI10" s="962">
        <v>86</v>
      </c>
      <c r="AJ10" s="955" t="s">
        <v>4241</v>
      </c>
      <c r="AK10" s="954">
        <v>-5</v>
      </c>
      <c r="AL10" s="941"/>
      <c r="AN10" s="962"/>
      <c r="AO10" s="923"/>
      <c r="AP10" s="923"/>
      <c r="AQ10" s="923"/>
      <c r="AR10" s="923">
        <v>2</v>
      </c>
      <c r="AS10" s="923" t="s">
        <v>4614</v>
      </c>
      <c r="AT10" s="923">
        <v>18</v>
      </c>
      <c r="AU10" s="955" t="s">
        <v>4242</v>
      </c>
      <c r="AV10" s="924"/>
      <c r="AW10" s="923"/>
      <c r="AX10" s="923">
        <v>98</v>
      </c>
      <c r="AY10" s="955" t="s">
        <v>4243</v>
      </c>
      <c r="AZ10" s="954">
        <v>70</v>
      </c>
      <c r="BA10" s="954">
        <v>4</v>
      </c>
      <c r="BB10" s="923"/>
      <c r="BC10" s="923"/>
      <c r="BD10" s="923"/>
      <c r="BE10" s="923"/>
      <c r="BF10" s="923"/>
      <c r="BG10" s="923"/>
      <c r="BH10" s="923"/>
      <c r="BI10" s="923">
        <v>96</v>
      </c>
      <c r="BJ10" s="921" t="s">
        <v>4244</v>
      </c>
      <c r="BK10" s="923">
        <v>91</v>
      </c>
      <c r="BL10" s="921" t="s">
        <v>4958</v>
      </c>
      <c r="BM10" s="923">
        <v>9</v>
      </c>
      <c r="BN10" s="921" t="s">
        <v>4245</v>
      </c>
      <c r="BO10" s="923">
        <v>9</v>
      </c>
      <c r="BP10" s="921" t="s">
        <v>4246</v>
      </c>
      <c r="BQ10" s="923">
        <v>98</v>
      </c>
      <c r="BR10" s="923">
        <v>8</v>
      </c>
      <c r="BS10" s="977">
        <v>2000</v>
      </c>
      <c r="BT10" s="923">
        <v>83</v>
      </c>
      <c r="BU10" s="977">
        <v>8</v>
      </c>
      <c r="BV10" s="923">
        <v>98</v>
      </c>
      <c r="BW10" s="923">
        <v>2</v>
      </c>
      <c r="BX10" s="923" t="s">
        <v>4247</v>
      </c>
      <c r="BY10" s="923"/>
      <c r="BZ10" s="923"/>
      <c r="CA10" s="923">
        <v>66</v>
      </c>
      <c r="CB10" s="921" t="s">
        <v>4248</v>
      </c>
      <c r="CC10" s="921" t="s">
        <v>4249</v>
      </c>
      <c r="CD10" s="923">
        <v>34</v>
      </c>
      <c r="CE10" s="978" t="s">
        <v>4959</v>
      </c>
      <c r="CF10" s="923"/>
      <c r="CG10" s="923"/>
      <c r="CH10" s="923">
        <v>10</v>
      </c>
      <c r="CI10" s="978" t="s">
        <v>4960</v>
      </c>
      <c r="CJ10" s="923">
        <v>116</v>
      </c>
      <c r="CK10" s="921" t="s">
        <v>4250</v>
      </c>
      <c r="CL10" s="977">
        <v>8</v>
      </c>
      <c r="CM10" s="977">
        <v>700</v>
      </c>
      <c r="CN10" s="921" t="s">
        <v>4251</v>
      </c>
      <c r="CO10" s="921" t="s">
        <v>4252</v>
      </c>
      <c r="CP10" s="979" t="s">
        <v>4253</v>
      </c>
      <c r="CQ10" s="979" t="s">
        <v>4254</v>
      </c>
      <c r="CR10" s="923">
        <v>41</v>
      </c>
      <c r="CS10" s="923" t="s">
        <v>4255</v>
      </c>
      <c r="CT10" s="923">
        <v>18</v>
      </c>
      <c r="CU10" s="968" t="s">
        <v>1153</v>
      </c>
      <c r="CV10" s="923">
        <v>26</v>
      </c>
      <c r="CW10" s="968" t="s">
        <v>1164</v>
      </c>
      <c r="CX10" s="923">
        <v>18</v>
      </c>
      <c r="CY10" s="968" t="s">
        <v>1200</v>
      </c>
      <c r="CZ10" s="923">
        <v>9</v>
      </c>
      <c r="DA10" s="968" t="s">
        <v>4256</v>
      </c>
      <c r="DB10" s="923">
        <v>11</v>
      </c>
      <c r="DC10" s="968" t="s">
        <v>1231</v>
      </c>
      <c r="DD10" s="923">
        <v>13</v>
      </c>
      <c r="DE10" s="968" t="s">
        <v>1249</v>
      </c>
      <c r="DF10" s="923">
        <v>11</v>
      </c>
      <c r="DG10" s="968" t="s">
        <v>4257</v>
      </c>
      <c r="DH10" s="923">
        <v>18</v>
      </c>
      <c r="DI10" s="968" t="s">
        <v>1278</v>
      </c>
      <c r="DJ10" s="923">
        <v>9</v>
      </c>
      <c r="DK10" s="968" t="s">
        <v>1289</v>
      </c>
      <c r="DL10" s="923">
        <v>20</v>
      </c>
      <c r="DM10" s="968" t="s">
        <v>1310</v>
      </c>
      <c r="DN10" s="921" t="s">
        <v>4258</v>
      </c>
      <c r="DO10" s="921" t="s">
        <v>4259</v>
      </c>
      <c r="DP10" s="923">
        <v>41</v>
      </c>
      <c r="DQ10" s="945" t="s">
        <v>4260</v>
      </c>
      <c r="DR10" s="923">
        <v>42</v>
      </c>
      <c r="DS10" s="921" t="s">
        <v>4261</v>
      </c>
      <c r="DT10" s="921" t="s">
        <v>4262</v>
      </c>
      <c r="DU10" s="921" t="s">
        <v>4263</v>
      </c>
      <c r="DV10" s="921" t="s">
        <v>4264</v>
      </c>
      <c r="DW10" s="921" t="s">
        <v>4265</v>
      </c>
      <c r="DX10" s="921" t="s">
        <v>4266</v>
      </c>
      <c r="DY10" s="921" t="s">
        <v>4267</v>
      </c>
      <c r="DZ10" s="923"/>
      <c r="EA10" s="921" t="s">
        <v>4268</v>
      </c>
      <c r="EB10" s="964" t="s">
        <v>4269</v>
      </c>
      <c r="EC10" s="921" t="s">
        <v>4270</v>
      </c>
      <c r="ED10" s="921" t="s">
        <v>4271</v>
      </c>
      <c r="EE10" s="923"/>
      <c r="EF10" s="921" t="s">
        <v>4272</v>
      </c>
      <c r="EG10" s="921" t="s">
        <v>4273</v>
      </c>
      <c r="EH10" s="921" t="s">
        <v>4274</v>
      </c>
      <c r="EI10" s="921" t="s">
        <v>4275</v>
      </c>
      <c r="EJ10" s="921" t="s">
        <v>4961</v>
      </c>
      <c r="EK10" s="921" t="s">
        <v>4276</v>
      </c>
      <c r="EL10" s="921" t="s">
        <v>4277</v>
      </c>
      <c r="EM10" s="921" t="s">
        <v>4278</v>
      </c>
      <c r="EN10" s="668">
        <v>10</v>
      </c>
      <c r="EO10" s="668">
        <v>10</v>
      </c>
      <c r="EP10" s="668">
        <v>10</v>
      </c>
      <c r="ES10" s="970" t="s">
        <v>4710</v>
      </c>
      <c r="ET10" s="971">
        <v>310</v>
      </c>
      <c r="EU10" s="972" t="s">
        <v>4695</v>
      </c>
      <c r="EV10" s="973">
        <v>3</v>
      </c>
      <c r="EW10" s="972" t="s">
        <v>87</v>
      </c>
      <c r="EX10" s="973">
        <v>2</v>
      </c>
      <c r="EY10" s="974" t="s">
        <v>1054</v>
      </c>
      <c r="EZ10" s="973">
        <v>2</v>
      </c>
      <c r="FA10" s="974" t="s">
        <v>4704</v>
      </c>
      <c r="FB10" s="973">
        <v>2</v>
      </c>
      <c r="FC10" s="974" t="s">
        <v>4711</v>
      </c>
      <c r="FD10" s="973">
        <v>2</v>
      </c>
      <c r="FE10" s="974" t="s">
        <v>984</v>
      </c>
    </row>
    <row r="11" spans="1:161 3089:3089" ht="12" customHeight="1" thickBot="1">
      <c r="A11" s="982">
        <v>10</v>
      </c>
      <c r="B11" s="951">
        <v>10</v>
      </c>
      <c r="C11" s="923" t="s">
        <v>4596</v>
      </c>
      <c r="D11" s="924">
        <f ca="1">RANDBETWEEN(1,100)</f>
        <v>73</v>
      </c>
      <c r="E11" s="924"/>
      <c r="F11" s="924"/>
      <c r="G11" s="924"/>
      <c r="H11" s="925" t="str">
        <f ca="1">IF(D9=1,LOOKUP(D11,dLongueur,gpLongueur1),"Chauve nat Ap-2")</f>
        <v>Très longs</v>
      </c>
      <c r="I11" s="925" t="str">
        <f ca="1">IF(D9=1,"Art graphique "&amp;LOOKUP(D11,dLongueur,gpLongueur2),"Chauve")</f>
        <v>Art graphique -4</v>
      </c>
      <c r="J11" s="925"/>
      <c r="K11" s="923" t="str">
        <f t="shared" ca="1" si="0"/>
        <v xml:space="preserve">Longueur = Très longs Art graphique -4 </v>
      </c>
      <c r="L11" s="923">
        <v>41</v>
      </c>
      <c r="M11" s="952" t="s">
        <v>3708</v>
      </c>
      <c r="N11" s="953" t="s">
        <v>3709</v>
      </c>
      <c r="O11" s="923">
        <v>96</v>
      </c>
      <c r="P11" s="952" t="s">
        <v>4279</v>
      </c>
      <c r="Q11" s="923">
        <v>96</v>
      </c>
      <c r="R11" s="954">
        <v>29</v>
      </c>
      <c r="S11" s="954">
        <v>1</v>
      </c>
      <c r="T11" s="955" t="s">
        <v>4280</v>
      </c>
      <c r="U11" s="1135" t="s">
        <v>4281</v>
      </c>
      <c r="V11" s="956" t="s">
        <v>4282</v>
      </c>
      <c r="W11" s="957" t="s">
        <v>4283</v>
      </c>
      <c r="X11" s="958" t="s">
        <v>702</v>
      </c>
      <c r="Y11" s="1704" t="s">
        <v>4284</v>
      </c>
      <c r="Z11" s="958" t="s">
        <v>677</v>
      </c>
      <c r="AA11" s="957" t="s">
        <v>4285</v>
      </c>
      <c r="AB11" s="959"/>
      <c r="AC11" s="959"/>
      <c r="AD11" s="959"/>
      <c r="AE11" s="923"/>
      <c r="AF11" s="923"/>
      <c r="AG11" s="923"/>
      <c r="AH11" s="923"/>
      <c r="AI11" s="962">
        <v>96</v>
      </c>
      <c r="AJ11" s="957" t="s">
        <v>4286</v>
      </c>
      <c r="AK11" s="958">
        <v>5</v>
      </c>
      <c r="AL11" s="1072"/>
      <c r="AM11" s="1072"/>
      <c r="AN11" s="962"/>
      <c r="AO11" s="923"/>
      <c r="AP11" s="923"/>
      <c r="AQ11" s="923"/>
      <c r="AR11" s="923">
        <v>3</v>
      </c>
      <c r="AS11" s="923" t="s">
        <v>4614</v>
      </c>
      <c r="AT11" s="923">
        <v>21</v>
      </c>
      <c r="AU11" s="952" t="s">
        <v>4287</v>
      </c>
      <c r="AV11" s="924"/>
      <c r="AW11" s="923"/>
      <c r="AX11" s="923">
        <v>100</v>
      </c>
      <c r="AY11" s="957" t="s">
        <v>4288</v>
      </c>
      <c r="AZ11" s="958">
        <v>80</v>
      </c>
      <c r="BA11" s="958">
        <v>5</v>
      </c>
      <c r="BB11" s="923"/>
      <c r="BC11" s="923"/>
      <c r="BD11" s="923"/>
      <c r="BE11" s="923"/>
      <c r="BF11" s="923"/>
      <c r="BG11" s="923"/>
      <c r="BH11" s="923"/>
      <c r="BI11" s="923"/>
      <c r="BJ11" s="923"/>
      <c r="BK11" s="923"/>
      <c r="BL11" s="923"/>
      <c r="BM11" s="923">
        <v>10</v>
      </c>
      <c r="BN11" s="964" t="s">
        <v>4070</v>
      </c>
      <c r="BO11" s="923">
        <v>10</v>
      </c>
      <c r="BP11" s="964" t="s">
        <v>4962</v>
      </c>
      <c r="BQ11" s="923">
        <v>100</v>
      </c>
      <c r="BR11" s="923">
        <v>9</v>
      </c>
      <c r="BS11" s="960">
        <v>4000</v>
      </c>
      <c r="BT11" s="923">
        <v>87</v>
      </c>
      <c r="BU11" s="965">
        <v>9</v>
      </c>
      <c r="BV11" s="923">
        <v>100</v>
      </c>
      <c r="BW11" s="923">
        <v>3</v>
      </c>
      <c r="BX11" s="923" t="s">
        <v>4289</v>
      </c>
      <c r="BY11" s="923"/>
      <c r="BZ11" s="923"/>
      <c r="CA11" s="923">
        <v>76</v>
      </c>
      <c r="CB11" s="961" t="s">
        <v>4290</v>
      </c>
      <c r="CC11" s="961" t="s">
        <v>4291</v>
      </c>
      <c r="CD11" s="923">
        <v>36</v>
      </c>
      <c r="CE11" s="966" t="s">
        <v>4963</v>
      </c>
      <c r="CF11" s="923"/>
      <c r="CG11" s="923"/>
      <c r="CH11" s="923">
        <v>12</v>
      </c>
      <c r="CI11" s="966" t="s">
        <v>4964</v>
      </c>
      <c r="CJ11" s="923">
        <v>121</v>
      </c>
      <c r="CK11" s="961" t="s">
        <v>4292</v>
      </c>
      <c r="CL11" s="960">
        <v>9</v>
      </c>
      <c r="CM11" s="960">
        <v>1000</v>
      </c>
      <c r="CN11" s="961" t="s">
        <v>1349</v>
      </c>
      <c r="CO11" s="961" t="s">
        <v>4293</v>
      </c>
      <c r="CP11" s="967" t="s">
        <v>481</v>
      </c>
      <c r="CQ11" s="967" t="s">
        <v>4294</v>
      </c>
      <c r="CR11" s="923">
        <v>45</v>
      </c>
      <c r="CS11" s="923" t="s">
        <v>1036</v>
      </c>
      <c r="CT11" s="923">
        <v>19</v>
      </c>
      <c r="CU11" s="968" t="s">
        <v>1154</v>
      </c>
      <c r="CV11" s="923">
        <v>31</v>
      </c>
      <c r="CW11" s="968" t="s">
        <v>1165</v>
      </c>
      <c r="CX11" s="923">
        <v>19</v>
      </c>
      <c r="CY11" s="968" t="s">
        <v>1201</v>
      </c>
      <c r="CZ11" s="923">
        <v>10</v>
      </c>
      <c r="DA11" s="968" t="s">
        <v>4295</v>
      </c>
      <c r="DB11" s="923">
        <v>12</v>
      </c>
      <c r="DC11" s="968" t="s">
        <v>1232</v>
      </c>
      <c r="DD11" s="923">
        <v>14</v>
      </c>
      <c r="DE11" s="968" t="s">
        <v>1250</v>
      </c>
      <c r="DF11" s="923">
        <v>12</v>
      </c>
      <c r="DG11" s="968" t="s">
        <v>1265</v>
      </c>
      <c r="DH11" s="923">
        <v>19</v>
      </c>
      <c r="DI11" s="968" t="s">
        <v>1279</v>
      </c>
      <c r="DJ11" s="923">
        <v>10</v>
      </c>
      <c r="DK11" s="968" t="s">
        <v>1290</v>
      </c>
      <c r="DL11" s="923"/>
      <c r="DM11" s="923"/>
      <c r="DN11" s="961" t="s">
        <v>4296</v>
      </c>
      <c r="DO11" s="961" t="s">
        <v>4965</v>
      </c>
      <c r="DP11" s="923">
        <v>45</v>
      </c>
      <c r="DQ11" s="945" t="s">
        <v>4297</v>
      </c>
      <c r="DR11" s="923">
        <v>43</v>
      </c>
      <c r="DS11" s="964" t="s">
        <v>4298</v>
      </c>
      <c r="DT11" s="964" t="s">
        <v>4299</v>
      </c>
      <c r="DU11" s="964" t="s">
        <v>4966</v>
      </c>
      <c r="DV11" s="964" t="s">
        <v>4300</v>
      </c>
      <c r="DW11" s="964" t="s">
        <v>4301</v>
      </c>
      <c r="DX11" s="964" t="s">
        <v>4302</v>
      </c>
      <c r="DY11" s="964" t="s">
        <v>4303</v>
      </c>
      <c r="DZ11" s="923"/>
      <c r="EA11" s="964" t="s">
        <v>4304</v>
      </c>
      <c r="EB11" s="921" t="s">
        <v>4305</v>
      </c>
      <c r="EC11" s="964" t="s">
        <v>4306</v>
      </c>
      <c r="ED11" s="964" t="s">
        <v>4307</v>
      </c>
      <c r="EE11" s="923"/>
      <c r="EF11" s="969" t="s">
        <v>4967</v>
      </c>
      <c r="EG11" s="983" t="s">
        <v>4308</v>
      </c>
      <c r="EH11" s="969" t="s">
        <v>4309</v>
      </c>
      <c r="EI11" s="969" t="s">
        <v>4310</v>
      </c>
      <c r="EJ11" s="969" t="s">
        <v>4311</v>
      </c>
      <c r="EK11" s="964" t="s">
        <v>4312</v>
      </c>
      <c r="EL11" s="964" t="s">
        <v>4313</v>
      </c>
      <c r="EM11" s="964" t="s">
        <v>4314</v>
      </c>
      <c r="EN11" s="668">
        <v>11</v>
      </c>
      <c r="EO11" s="668">
        <v>11</v>
      </c>
      <c r="EP11" s="668">
        <v>11</v>
      </c>
      <c r="ES11" s="970" t="s">
        <v>4712</v>
      </c>
      <c r="ET11" s="971">
        <v>630</v>
      </c>
      <c r="EU11" s="972" t="s">
        <v>70</v>
      </c>
      <c r="EV11" s="973">
        <v>3</v>
      </c>
      <c r="EW11" s="972" t="s">
        <v>94</v>
      </c>
      <c r="EX11" s="973">
        <v>2</v>
      </c>
      <c r="EY11" s="980" t="s">
        <v>1958</v>
      </c>
      <c r="EZ11" s="973">
        <v>2</v>
      </c>
      <c r="FA11" s="972" t="s">
        <v>4713</v>
      </c>
      <c r="FB11" s="973">
        <v>2</v>
      </c>
      <c r="FC11" s="972" t="s">
        <v>4714</v>
      </c>
      <c r="FD11" s="973">
        <v>3</v>
      </c>
      <c r="FE11" s="972" t="s">
        <v>1484</v>
      </c>
    </row>
    <row r="12" spans="1:161 3089:3089" ht="12" customHeight="1" thickBot="1">
      <c r="A12" s="922"/>
      <c r="B12" s="951">
        <v>11</v>
      </c>
      <c r="C12" s="923" t="s">
        <v>4598</v>
      </c>
      <c r="D12" s="924">
        <f ca="1">RANDBETWEEN(1,100)</f>
        <v>36</v>
      </c>
      <c r="E12" s="924"/>
      <c r="F12" s="924"/>
      <c r="G12" s="924"/>
      <c r="H12" s="925" t="str">
        <f ca="1">LOOKUP(D12,dPilosite,gpPilosite1)</f>
        <v>Grosse moustache</v>
      </c>
      <c r="I12" s="925" t="str">
        <f ca="1">"Max Ap "&amp;LOOKUP(D12,dPilosite,gpPilosite3)</f>
        <v>Max Ap 2</v>
      </c>
      <c r="J12" s="925"/>
      <c r="K12" s="923" t="str">
        <f t="shared" ca="1" si="0"/>
        <v xml:space="preserve">Pilosite tête(M) = Grosse moustache Max Ap 2 </v>
      </c>
      <c r="L12" s="923">
        <v>48</v>
      </c>
      <c r="M12" s="955" t="s">
        <v>3710</v>
      </c>
      <c r="N12" s="956" t="s">
        <v>3711</v>
      </c>
      <c r="O12" s="923"/>
      <c r="P12" s="923"/>
      <c r="Q12" s="923">
        <v>100</v>
      </c>
      <c r="R12" s="958">
        <v>30</v>
      </c>
      <c r="S12" s="958">
        <v>0</v>
      </c>
      <c r="T12" s="923"/>
      <c r="U12" s="925"/>
      <c r="V12" s="923"/>
      <c r="W12" s="955" t="s">
        <v>4315</v>
      </c>
      <c r="X12" s="954" t="s">
        <v>685</v>
      </c>
      <c r="Y12" s="1704" t="s">
        <v>4284</v>
      </c>
      <c r="Z12" s="939" t="s">
        <v>677</v>
      </c>
      <c r="AA12" s="929" t="s">
        <v>4316</v>
      </c>
      <c r="AB12" s="935"/>
      <c r="AC12" s="935"/>
      <c r="AD12" s="935"/>
      <c r="AE12" s="923"/>
      <c r="AF12" s="923"/>
      <c r="AG12" s="923"/>
      <c r="AH12" s="923"/>
      <c r="AI12" s="923"/>
      <c r="AJ12" s="923"/>
      <c r="AK12" s="923"/>
      <c r="AL12" s="923"/>
      <c r="AM12" s="923"/>
      <c r="AN12" s="923"/>
      <c r="AO12" s="923"/>
      <c r="AP12" s="923"/>
      <c r="AQ12" s="923"/>
      <c r="AR12" s="923">
        <v>4</v>
      </c>
      <c r="AS12" s="923" t="s">
        <v>4614</v>
      </c>
      <c r="AT12" s="923">
        <v>22</v>
      </c>
      <c r="AU12" s="955" t="s">
        <v>4317</v>
      </c>
      <c r="AV12" s="924"/>
      <c r="AW12" s="923"/>
      <c r="AX12" s="923"/>
      <c r="AY12" s="923"/>
      <c r="AZ12" s="923"/>
      <c r="BA12" s="923"/>
      <c r="BB12" s="923"/>
      <c r="BC12" s="923"/>
      <c r="BD12" s="923"/>
      <c r="BE12" s="923"/>
      <c r="BF12" s="923"/>
      <c r="BG12" s="923"/>
      <c r="BH12" s="923"/>
      <c r="BI12" s="923"/>
      <c r="BJ12" s="923"/>
      <c r="BK12" s="923"/>
      <c r="BL12" s="923"/>
      <c r="BM12" s="923"/>
      <c r="BN12" s="923"/>
      <c r="BO12" s="923"/>
      <c r="BP12" s="923"/>
      <c r="BQ12" s="923"/>
      <c r="BR12" s="923"/>
      <c r="BS12" s="923"/>
      <c r="BT12" s="923">
        <v>90</v>
      </c>
      <c r="BU12" s="977">
        <v>10</v>
      </c>
      <c r="BV12" s="923"/>
      <c r="BW12" s="923"/>
      <c r="BX12" s="923"/>
      <c r="BY12" s="923"/>
      <c r="BZ12" s="923"/>
      <c r="CA12" s="923">
        <v>91</v>
      </c>
      <c r="CB12" s="921" t="s">
        <v>4318</v>
      </c>
      <c r="CC12" s="921" t="s">
        <v>4319</v>
      </c>
      <c r="CD12" s="923">
        <v>37</v>
      </c>
      <c r="CE12" s="978" t="s">
        <v>4968</v>
      </c>
      <c r="CF12" s="923"/>
      <c r="CG12" s="923"/>
      <c r="CH12" s="923">
        <v>13</v>
      </c>
      <c r="CI12" s="978" t="s">
        <v>4969</v>
      </c>
      <c r="CJ12" s="923"/>
      <c r="CK12" s="923"/>
      <c r="CL12" s="923"/>
      <c r="CM12" s="923"/>
      <c r="CN12" s="923"/>
      <c r="CO12" s="923"/>
      <c r="CP12" s="923"/>
      <c r="CQ12" s="923"/>
      <c r="CR12" s="923">
        <v>53</v>
      </c>
      <c r="CS12" s="923" t="s">
        <v>4320</v>
      </c>
      <c r="CT12" s="923"/>
      <c r="CU12" s="923"/>
      <c r="CV12" s="923">
        <v>34</v>
      </c>
      <c r="CW12" s="968" t="s">
        <v>1166</v>
      </c>
      <c r="CX12" s="923"/>
      <c r="CY12" s="923"/>
      <c r="CZ12" s="923">
        <v>11</v>
      </c>
      <c r="DA12" s="968" t="s">
        <v>1213</v>
      </c>
      <c r="DB12" s="923">
        <v>13</v>
      </c>
      <c r="DC12" s="968" t="s">
        <v>1233</v>
      </c>
      <c r="DD12" s="923">
        <v>15</v>
      </c>
      <c r="DE12" s="968" t="s">
        <v>4321</v>
      </c>
      <c r="DF12" s="923">
        <v>14</v>
      </c>
      <c r="DG12" s="968" t="s">
        <v>1266</v>
      </c>
      <c r="DH12" s="923"/>
      <c r="DI12" s="923"/>
      <c r="DJ12" s="923">
        <v>11</v>
      </c>
      <c r="DK12" s="968" t="s">
        <v>1291</v>
      </c>
      <c r="DL12" s="923"/>
      <c r="DM12" s="923"/>
      <c r="DN12" s="923"/>
      <c r="DO12" s="921" t="s">
        <v>4970</v>
      </c>
      <c r="DP12" s="923">
        <v>49</v>
      </c>
      <c r="DQ12" s="945" t="s">
        <v>4322</v>
      </c>
      <c r="DR12" s="923">
        <v>44</v>
      </c>
      <c r="DS12" s="921" t="s">
        <v>4323</v>
      </c>
      <c r="DT12" s="921" t="s">
        <v>4324</v>
      </c>
      <c r="DU12" s="921" t="s">
        <v>4325</v>
      </c>
      <c r="DV12" s="921" t="s">
        <v>4326</v>
      </c>
      <c r="DW12" s="921" t="s">
        <v>4971</v>
      </c>
      <c r="DX12" s="923"/>
      <c r="DY12" s="921" t="s">
        <v>4327</v>
      </c>
      <c r="DZ12" s="923"/>
      <c r="EA12" s="921" t="s">
        <v>4972</v>
      </c>
      <c r="EB12" s="923"/>
      <c r="EC12" s="921" t="s">
        <v>4328</v>
      </c>
      <c r="ED12" s="923"/>
      <c r="EE12" s="923"/>
      <c r="EF12" s="921" t="s">
        <v>4329</v>
      </c>
      <c r="EG12" s="921" t="s">
        <v>4330</v>
      </c>
      <c r="EH12" s="921" t="s">
        <v>4331</v>
      </c>
      <c r="EI12" s="921" t="s">
        <v>4332</v>
      </c>
      <c r="EJ12" s="921" t="s">
        <v>4333</v>
      </c>
      <c r="EK12" s="923"/>
      <c r="EL12" s="923"/>
      <c r="EM12" s="923"/>
      <c r="EN12" s="668">
        <v>10</v>
      </c>
      <c r="EO12" s="668">
        <v>12</v>
      </c>
      <c r="EP12" s="668">
        <v>12</v>
      </c>
      <c r="ES12" s="970" t="s">
        <v>4715</v>
      </c>
      <c r="ET12" s="971">
        <v>550</v>
      </c>
      <c r="EU12" s="972" t="s">
        <v>4716</v>
      </c>
      <c r="EV12" s="973">
        <v>3</v>
      </c>
      <c r="EW12" s="972" t="s">
        <v>4702</v>
      </c>
      <c r="EX12" s="973">
        <v>1</v>
      </c>
      <c r="EY12" s="972" t="s">
        <v>4694</v>
      </c>
      <c r="EZ12" s="973">
        <v>2</v>
      </c>
      <c r="FA12" s="972" t="s">
        <v>152</v>
      </c>
      <c r="FB12" s="973">
        <v>1</v>
      </c>
      <c r="FC12" s="972" t="s">
        <v>38</v>
      </c>
      <c r="FD12" s="973">
        <v>1</v>
      </c>
      <c r="FE12" s="972" t="s">
        <v>4717</v>
      </c>
    </row>
    <row r="13" spans="1:161 3089:3089" ht="12" customHeight="1" thickBot="1">
      <c r="A13" s="922"/>
      <c r="B13" s="951">
        <v>12</v>
      </c>
      <c r="C13" s="923" t="s">
        <v>4599</v>
      </c>
      <c r="D13" s="924">
        <f ca="1">RANDBETWEEN(1,100)</f>
        <v>89</v>
      </c>
      <c r="E13" s="924"/>
      <c r="F13" s="924"/>
      <c r="G13" s="924"/>
      <c r="H13" s="925" t="str">
        <f ca="1">LOOKUP(D13,dPilosite,gpPilosite2)</f>
        <v>Épaisse toison</v>
      </c>
      <c r="I13" s="925" t="str">
        <f ca="1">"Max Ap "&amp;LOOKUP(D13,dPilosite,gpPilosite3)</f>
        <v>Max Ap -1</v>
      </c>
      <c r="J13" s="925"/>
      <c r="K13" s="923" t="str">
        <f t="shared" ca="1" si="0"/>
        <v xml:space="preserve">Pilosite corps(M) = Épaisse toison Max Ap -1 </v>
      </c>
      <c r="L13" s="923">
        <v>54</v>
      </c>
      <c r="M13" s="952" t="s">
        <v>3712</v>
      </c>
      <c r="N13" s="953" t="s">
        <v>3713</v>
      </c>
      <c r="O13" s="923"/>
      <c r="P13" s="923"/>
      <c r="Q13" s="923"/>
      <c r="R13" s="923"/>
      <c r="S13" s="923"/>
      <c r="T13" s="923"/>
      <c r="U13" s="925"/>
      <c r="V13" s="923"/>
      <c r="W13" s="957" t="s">
        <v>4334</v>
      </c>
      <c r="X13" s="958" t="s">
        <v>4605</v>
      </c>
      <c r="Y13" s="1704" t="s">
        <v>4284</v>
      </c>
      <c r="Z13" s="984" t="s">
        <v>677</v>
      </c>
      <c r="AA13" s="957" t="s">
        <v>4973</v>
      </c>
      <c r="AB13" s="959"/>
      <c r="AC13" s="959"/>
      <c r="AD13" s="959"/>
      <c r="AE13" s="923"/>
      <c r="AF13" s="923"/>
      <c r="AG13" s="923"/>
      <c r="AH13" s="923"/>
      <c r="AI13" s="923"/>
      <c r="AJ13" s="923"/>
      <c r="AK13" s="923"/>
      <c r="AL13" s="923"/>
      <c r="AM13" s="923"/>
      <c r="AN13" s="923"/>
      <c r="AO13" s="923"/>
      <c r="AP13" s="923"/>
      <c r="AQ13" s="923"/>
      <c r="AR13" s="923">
        <v>5</v>
      </c>
      <c r="AS13" s="923" t="s">
        <v>4615</v>
      </c>
      <c r="AT13" s="923">
        <v>24</v>
      </c>
      <c r="AU13" s="952" t="s">
        <v>4335</v>
      </c>
      <c r="AV13" s="924"/>
      <c r="AW13" s="923"/>
      <c r="AX13" s="923"/>
      <c r="AY13" s="923"/>
      <c r="AZ13" s="923"/>
      <c r="BA13" s="923"/>
      <c r="BB13" s="923"/>
      <c r="BC13" s="923"/>
      <c r="BD13" s="923"/>
      <c r="BE13" s="923"/>
      <c r="BF13" s="923"/>
      <c r="BG13" s="923"/>
      <c r="BH13" s="923"/>
      <c r="BI13" s="923"/>
      <c r="BJ13" s="923"/>
      <c r="BK13" s="923"/>
      <c r="BL13" s="923"/>
      <c r="BM13" s="923"/>
      <c r="BN13" s="923"/>
      <c r="BO13" s="923"/>
      <c r="BP13" s="923"/>
      <c r="BQ13" s="923"/>
      <c r="BR13" s="923"/>
      <c r="BS13" s="923"/>
      <c r="BT13" s="923">
        <v>92</v>
      </c>
      <c r="BU13" s="965" t="s">
        <v>748</v>
      </c>
      <c r="BV13" s="923"/>
      <c r="BW13" s="923"/>
      <c r="BX13" s="923"/>
      <c r="BY13" s="923"/>
      <c r="BZ13" s="923"/>
      <c r="CA13" s="923">
        <v>96</v>
      </c>
      <c r="CB13" s="961" t="s">
        <v>2712</v>
      </c>
      <c r="CC13" s="961" t="s">
        <v>4336</v>
      </c>
      <c r="CD13" s="923">
        <v>38</v>
      </c>
      <c r="CE13" s="966" t="s">
        <v>4974</v>
      </c>
      <c r="CF13" s="923"/>
      <c r="CG13" s="923"/>
      <c r="CH13" s="923">
        <v>14</v>
      </c>
      <c r="CI13" s="966" t="s">
        <v>4975</v>
      </c>
      <c r="CJ13" s="923"/>
      <c r="CK13" s="923"/>
      <c r="CL13" s="923"/>
      <c r="CM13" s="923"/>
      <c r="CN13" s="923"/>
      <c r="CO13" s="923"/>
      <c r="CP13" s="923"/>
      <c r="CQ13" s="923"/>
      <c r="CR13" s="923">
        <v>64</v>
      </c>
      <c r="CS13" s="923" t="s">
        <v>222</v>
      </c>
      <c r="CT13" s="923"/>
      <c r="CU13" s="923"/>
      <c r="CV13" s="923">
        <v>39</v>
      </c>
      <c r="CW13" s="968" t="s">
        <v>1167</v>
      </c>
      <c r="CX13" s="923"/>
      <c r="CY13" s="923"/>
      <c r="CZ13" s="923">
        <v>12</v>
      </c>
      <c r="DA13" s="968" t="s">
        <v>1214</v>
      </c>
      <c r="DB13" s="923">
        <v>14</v>
      </c>
      <c r="DC13" s="968" t="s">
        <v>1235</v>
      </c>
      <c r="DD13" s="923">
        <v>16</v>
      </c>
      <c r="DE13" s="968" t="s">
        <v>1252</v>
      </c>
      <c r="DF13" s="923">
        <v>15</v>
      </c>
      <c r="DG13" s="968" t="s">
        <v>1267</v>
      </c>
      <c r="DH13" s="923"/>
      <c r="DI13" s="923"/>
      <c r="DJ13" s="923">
        <v>12</v>
      </c>
      <c r="DK13" s="968" t="s">
        <v>1292</v>
      </c>
      <c r="DL13" s="923"/>
      <c r="DM13" s="923"/>
      <c r="DN13" s="923"/>
      <c r="DO13" s="961" t="s">
        <v>4337</v>
      </c>
      <c r="DP13" s="923">
        <v>53</v>
      </c>
      <c r="DQ13" s="945" t="s">
        <v>4338</v>
      </c>
      <c r="DR13" s="923">
        <v>46</v>
      </c>
      <c r="DS13" s="964" t="s">
        <v>4339</v>
      </c>
      <c r="DT13" s="964" t="s">
        <v>4340</v>
      </c>
      <c r="DU13" s="964" t="s">
        <v>4341</v>
      </c>
      <c r="DV13" s="964" t="s">
        <v>4342</v>
      </c>
      <c r="DW13" s="964" t="s">
        <v>4343</v>
      </c>
      <c r="DX13" s="923"/>
      <c r="DY13" s="964" t="s">
        <v>4344</v>
      </c>
      <c r="DZ13" s="923"/>
      <c r="EA13" s="964" t="s">
        <v>4345</v>
      </c>
      <c r="EB13" s="923"/>
      <c r="EC13" s="923"/>
      <c r="ED13" s="923"/>
      <c r="EE13" s="923"/>
      <c r="EF13" s="969" t="s">
        <v>4346</v>
      </c>
      <c r="EG13" s="983" t="s">
        <v>4347</v>
      </c>
      <c r="EH13" s="969" t="s">
        <v>4348</v>
      </c>
      <c r="EI13" s="969" t="s">
        <v>4349</v>
      </c>
      <c r="EJ13" s="969" t="s">
        <v>4350</v>
      </c>
      <c r="EK13" s="923"/>
      <c r="EL13" s="923"/>
      <c r="EM13" s="923"/>
      <c r="EN13" s="668">
        <v>7</v>
      </c>
      <c r="EO13" s="668">
        <v>13</v>
      </c>
      <c r="EP13" s="668">
        <v>13</v>
      </c>
      <c r="ES13" s="970" t="s">
        <v>4718</v>
      </c>
      <c r="ET13" s="971">
        <v>350</v>
      </c>
      <c r="EU13" s="972" t="s">
        <v>4719</v>
      </c>
      <c r="EV13" s="973">
        <v>2</v>
      </c>
      <c r="EW13" s="972" t="s">
        <v>87</v>
      </c>
      <c r="EX13" s="973">
        <v>3</v>
      </c>
      <c r="EY13" s="972" t="s">
        <v>1526</v>
      </c>
      <c r="EZ13" s="973">
        <v>2</v>
      </c>
      <c r="FA13" s="972" t="s">
        <v>4693</v>
      </c>
      <c r="FB13" s="973">
        <v>1</v>
      </c>
      <c r="FC13" s="972" t="s">
        <v>4713</v>
      </c>
      <c r="FD13" s="973">
        <v>1</v>
      </c>
      <c r="FE13" s="980" t="s">
        <v>4720</v>
      </c>
    </row>
    <row r="14" spans="1:161 3089:3089" ht="12" customHeight="1" thickBot="1">
      <c r="A14" s="922"/>
      <c r="B14" s="951">
        <v>13</v>
      </c>
      <c r="C14" s="923" t="s">
        <v>4609</v>
      </c>
      <c r="D14" s="924">
        <f ca="1">RANDBETWEEN(1,100)</f>
        <v>48</v>
      </c>
      <c r="E14" s="1078" t="s">
        <v>1325</v>
      </c>
      <c r="F14" s="1079">
        <f ca="1">RANDBETWEEN(1,100)</f>
        <v>37</v>
      </c>
      <c r="G14" s="1080" t="str">
        <f ca="1">LOOKUP(F14,dYeux,gpYeux)</f>
        <v>Noisette</v>
      </c>
      <c r="H14" s="925" t="str">
        <f ca="1">LOOKUP(D14,dTeinte,gpTeinte)</f>
        <v>Normale</v>
      </c>
      <c r="I14" s="925" t="s">
        <v>4610</v>
      </c>
      <c r="J14" s="925"/>
      <c r="K14" s="923" t="str">
        <f t="shared" ca="1" si="0"/>
        <v xml:space="preserve">Teinte de la peau = Normale Mod nat Ap-2 à +2 </v>
      </c>
      <c r="L14" s="923">
        <v>60</v>
      </c>
      <c r="M14" s="955" t="s">
        <v>3714</v>
      </c>
      <c r="N14" s="956" t="s">
        <v>3715</v>
      </c>
      <c r="O14" s="923"/>
      <c r="P14" s="923"/>
      <c r="Q14" s="923"/>
      <c r="R14" s="923"/>
      <c r="S14" s="923"/>
      <c r="T14" s="923"/>
      <c r="U14" s="925"/>
      <c r="V14" s="923"/>
      <c r="W14" s="923"/>
      <c r="X14" s="923"/>
      <c r="Y14" s="1705" t="s">
        <v>4351</v>
      </c>
      <c r="Z14" s="939" t="s">
        <v>684</v>
      </c>
      <c r="AA14" s="955" t="s">
        <v>4316</v>
      </c>
      <c r="AB14" s="935"/>
      <c r="AC14" s="935"/>
      <c r="AD14" s="935"/>
      <c r="AE14" s="923"/>
      <c r="AF14" s="923"/>
      <c r="AG14" s="923"/>
      <c r="AH14" s="923"/>
      <c r="AI14" s="923"/>
      <c r="AJ14" s="923"/>
      <c r="AK14" s="923"/>
      <c r="AL14" s="923"/>
      <c r="AM14" s="923"/>
      <c r="AN14" s="923"/>
      <c r="AO14" s="923"/>
      <c r="AP14" s="923"/>
      <c r="AQ14" s="923"/>
      <c r="AR14" s="923">
        <v>6</v>
      </c>
      <c r="AS14" s="923" t="s">
        <v>4615</v>
      </c>
      <c r="AT14" s="923">
        <v>27</v>
      </c>
      <c r="AU14" s="955" t="s">
        <v>4352</v>
      </c>
      <c r="AV14" s="924"/>
      <c r="AW14" s="923"/>
      <c r="AX14" s="923"/>
      <c r="AY14" s="923"/>
      <c r="AZ14" s="923"/>
      <c r="BA14" s="923"/>
      <c r="BB14" s="923"/>
      <c r="BC14" s="923"/>
      <c r="BD14" s="923"/>
      <c r="BE14" s="923"/>
      <c r="BF14" s="923"/>
      <c r="BG14" s="923"/>
      <c r="BH14" s="923"/>
      <c r="BI14" s="923"/>
      <c r="BJ14" s="923"/>
      <c r="BK14" s="923"/>
      <c r="BL14" s="923"/>
      <c r="BM14" s="923"/>
      <c r="BN14" s="923"/>
      <c r="BO14" s="923"/>
      <c r="BP14" s="923"/>
      <c r="BQ14" s="923"/>
      <c r="BR14" s="923"/>
      <c r="BS14" s="923"/>
      <c r="BT14" s="923">
        <v>93</v>
      </c>
      <c r="BU14" s="977" t="s">
        <v>4625</v>
      </c>
      <c r="BV14" s="923"/>
      <c r="BW14" s="923"/>
      <c r="BX14" s="923"/>
      <c r="BY14" s="923"/>
      <c r="BZ14" s="923"/>
      <c r="CA14" s="923"/>
      <c r="CB14" s="923"/>
      <c r="CC14" s="923"/>
      <c r="CD14" s="923">
        <v>41</v>
      </c>
      <c r="CE14" s="978" t="s">
        <v>4976</v>
      </c>
      <c r="CF14" s="923"/>
      <c r="CG14" s="923"/>
      <c r="CH14" s="923">
        <v>16</v>
      </c>
      <c r="CI14" s="978" t="s">
        <v>4977</v>
      </c>
      <c r="CJ14" s="923"/>
      <c r="CK14" s="923"/>
      <c r="CL14" s="923"/>
      <c r="CM14" s="923"/>
      <c r="CN14" s="923"/>
      <c r="CO14" s="923"/>
      <c r="CP14" s="923"/>
      <c r="CQ14" s="923"/>
      <c r="CR14" s="923">
        <v>67</v>
      </c>
      <c r="CS14" s="923" t="s">
        <v>927</v>
      </c>
      <c r="CT14" s="923"/>
      <c r="CU14" s="923"/>
      <c r="CV14" s="923">
        <v>40</v>
      </c>
      <c r="CW14" s="968" t="s">
        <v>1168</v>
      </c>
      <c r="CX14" s="923"/>
      <c r="CY14" s="923"/>
      <c r="CZ14" s="923">
        <v>13</v>
      </c>
      <c r="DA14" s="968" t="s">
        <v>1215</v>
      </c>
      <c r="DB14" s="923">
        <v>16</v>
      </c>
      <c r="DC14" s="968" t="s">
        <v>1236</v>
      </c>
      <c r="DD14" s="923">
        <v>18</v>
      </c>
      <c r="DE14" s="968" t="s">
        <v>1253</v>
      </c>
      <c r="DF14" s="923">
        <v>18</v>
      </c>
      <c r="DG14" s="968" t="s">
        <v>1234</v>
      </c>
      <c r="DH14" s="923"/>
      <c r="DI14" s="923"/>
      <c r="DJ14" s="923">
        <v>13</v>
      </c>
      <c r="DK14" s="968" t="s">
        <v>1293</v>
      </c>
      <c r="DL14" s="923"/>
      <c r="DM14" s="923"/>
      <c r="DN14" s="923"/>
      <c r="DO14" s="921" t="s">
        <v>4978</v>
      </c>
      <c r="DP14" s="923">
        <v>57</v>
      </c>
      <c r="DQ14" s="945" t="s">
        <v>4353</v>
      </c>
      <c r="DR14" s="923">
        <v>47</v>
      </c>
      <c r="DS14" s="921" t="s">
        <v>4979</v>
      </c>
      <c r="DT14" s="921" t="s">
        <v>4354</v>
      </c>
      <c r="DU14" s="923"/>
      <c r="DV14" s="921" t="s">
        <v>4355</v>
      </c>
      <c r="DW14" s="921" t="s">
        <v>4356</v>
      </c>
      <c r="DX14" s="923"/>
      <c r="DY14" s="921" t="s">
        <v>4357</v>
      </c>
      <c r="DZ14" s="923"/>
      <c r="EA14" s="921" t="s">
        <v>4980</v>
      </c>
      <c r="EB14" s="923"/>
      <c r="EC14" s="923"/>
      <c r="ED14" s="923"/>
      <c r="EE14" s="923"/>
      <c r="EF14" s="921" t="s">
        <v>4981</v>
      </c>
      <c r="EG14" s="921" t="s">
        <v>4982</v>
      </c>
      <c r="EH14" s="921" t="s">
        <v>4358</v>
      </c>
      <c r="EI14" s="921" t="s">
        <v>4359</v>
      </c>
      <c r="EJ14" s="921" t="s">
        <v>4360</v>
      </c>
      <c r="EK14" s="923"/>
      <c r="EL14" s="923"/>
      <c r="EM14" s="923"/>
      <c r="EN14" s="668">
        <v>14</v>
      </c>
      <c r="EO14" s="668">
        <v>14</v>
      </c>
      <c r="EP14" s="668">
        <v>14</v>
      </c>
      <c r="ES14" s="970" t="s">
        <v>1159</v>
      </c>
      <c r="ET14" s="971">
        <v>200</v>
      </c>
      <c r="EU14" s="972" t="s">
        <v>152</v>
      </c>
      <c r="EV14" s="973">
        <v>2</v>
      </c>
      <c r="EW14" s="972" t="s">
        <v>4721</v>
      </c>
      <c r="EX14" s="973">
        <v>2</v>
      </c>
      <c r="EY14" s="972" t="s">
        <v>1022</v>
      </c>
      <c r="EZ14" s="973">
        <v>2</v>
      </c>
      <c r="FA14" s="972" t="s">
        <v>4722</v>
      </c>
      <c r="FB14" s="973">
        <v>2</v>
      </c>
      <c r="FC14" s="972"/>
      <c r="FD14" s="973">
        <v>0</v>
      </c>
      <c r="FE14" s="972"/>
    </row>
    <row r="15" spans="1:161 3089:3089" ht="12" customHeight="1" thickBot="1">
      <c r="A15" s="922"/>
      <c r="B15" s="951">
        <v>14</v>
      </c>
      <c r="C15" s="923" t="s">
        <v>4611</v>
      </c>
      <c r="D15" s="924">
        <f ca="1">RANDBETWEEN(1,10)</f>
        <v>10</v>
      </c>
      <c r="E15" s="924">
        <f ca="1">RANDBETWEEN(1,100)</f>
        <v>2</v>
      </c>
      <c r="F15" s="924">
        <f ca="1">RANDBETWEEN(1,10)</f>
        <v>9</v>
      </c>
      <c r="G15" s="924"/>
      <c r="H15" s="925">
        <f ca="1">IF(D15=1,LOOKUP(E15,dMarque,gpMarque),0)</f>
        <v>0</v>
      </c>
      <c r="I15" s="925">
        <f ca="1">IF(D15=1,LOOKUP(F15,dMarque2,gpMarque2),0)</f>
        <v>0</v>
      </c>
      <c r="J15" s="925">
        <f ca="1">IF(D15=1,"nat C-1 ou -2, max Ap-2 V+2",0)</f>
        <v>0</v>
      </c>
      <c r="K15" s="923" t="str">
        <f t="shared" ca="1" si="0"/>
        <v>Marque de peau = 0 0 0</v>
      </c>
      <c r="L15" s="923">
        <v>68</v>
      </c>
      <c r="M15" s="952" t="s">
        <v>3716</v>
      </c>
      <c r="N15" s="953" t="s">
        <v>3717</v>
      </c>
      <c r="O15" s="923"/>
      <c r="P15" s="923"/>
      <c r="Q15" s="923"/>
      <c r="R15" s="923"/>
      <c r="S15" s="923"/>
      <c r="T15" s="923"/>
      <c r="U15" s="925"/>
      <c r="V15" s="923"/>
      <c r="W15" s="923"/>
      <c r="X15" s="923"/>
      <c r="Y15" s="1705" t="s">
        <v>4351</v>
      </c>
      <c r="Z15" s="984" t="s">
        <v>684</v>
      </c>
      <c r="AA15" s="957" t="s">
        <v>4983</v>
      </c>
      <c r="AB15" s="959"/>
      <c r="AC15" s="959"/>
      <c r="AD15" s="959"/>
      <c r="AE15" s="923"/>
      <c r="AF15" s="923"/>
      <c r="AG15" s="923"/>
      <c r="AH15" s="923"/>
      <c r="AI15" s="923"/>
      <c r="AJ15" s="985"/>
      <c r="AK15" s="986"/>
      <c r="AL15" s="986"/>
      <c r="AM15" s="986"/>
      <c r="AN15" s="986"/>
      <c r="AO15" s="987"/>
      <c r="AP15" s="987"/>
      <c r="AQ15" s="923"/>
      <c r="AR15" s="923">
        <v>7</v>
      </c>
      <c r="AS15" s="923" t="s">
        <v>4615</v>
      </c>
      <c r="AT15" s="923">
        <v>30</v>
      </c>
      <c r="AU15" s="952" t="s">
        <v>4361</v>
      </c>
      <c r="AV15" s="924"/>
      <c r="AW15" s="923"/>
      <c r="AX15" s="923"/>
      <c r="AY15" s="923"/>
      <c r="AZ15" s="923"/>
      <c r="BA15" s="923"/>
      <c r="BB15" s="923"/>
      <c r="BC15" s="923"/>
      <c r="BD15" s="923"/>
      <c r="BE15" s="923"/>
      <c r="BF15" s="923"/>
      <c r="BG15" s="923"/>
      <c r="BH15" s="923"/>
      <c r="BI15" s="923"/>
      <c r="BJ15" s="923"/>
      <c r="BK15" s="923"/>
      <c r="BL15" s="923"/>
      <c r="BM15" s="923"/>
      <c r="BN15" s="923"/>
      <c r="BO15" s="923"/>
      <c r="BP15" s="923"/>
      <c r="BQ15" s="923"/>
      <c r="BR15" s="923"/>
      <c r="BS15" s="923"/>
      <c r="BT15" s="923">
        <v>98</v>
      </c>
      <c r="BU15" s="965" t="s">
        <v>4626</v>
      </c>
      <c r="BV15" s="923"/>
      <c r="BW15" s="923"/>
      <c r="BX15" s="923"/>
      <c r="BY15" s="923"/>
      <c r="BZ15" s="923"/>
      <c r="CA15" s="923"/>
      <c r="CB15" s="923"/>
      <c r="CC15" s="923"/>
      <c r="CD15" s="923">
        <v>42</v>
      </c>
      <c r="CE15" s="966" t="s">
        <v>4984</v>
      </c>
      <c r="CF15" s="923"/>
      <c r="CG15" s="923"/>
      <c r="CH15" s="923">
        <v>17</v>
      </c>
      <c r="CI15" s="966" t="s">
        <v>4985</v>
      </c>
      <c r="CJ15" s="923"/>
      <c r="CK15" s="923"/>
      <c r="CL15" s="923"/>
      <c r="CM15" s="923"/>
      <c r="CN15" s="923"/>
      <c r="CO15" s="923"/>
      <c r="CP15" s="923"/>
      <c r="CQ15" s="923"/>
      <c r="CR15" s="923">
        <v>70</v>
      </c>
      <c r="CS15" s="923" t="s">
        <v>152</v>
      </c>
      <c r="CT15" s="923"/>
      <c r="CU15" s="923"/>
      <c r="CV15" s="923">
        <v>46</v>
      </c>
      <c r="CW15" s="968" t="s">
        <v>4362</v>
      </c>
      <c r="CX15" s="923"/>
      <c r="CY15" s="923"/>
      <c r="CZ15" s="923">
        <v>14</v>
      </c>
      <c r="DA15" s="968" t="s">
        <v>1216</v>
      </c>
      <c r="DB15" s="923">
        <v>17</v>
      </c>
      <c r="DC15" s="968" t="s">
        <v>1237</v>
      </c>
      <c r="DD15" s="923">
        <v>20</v>
      </c>
      <c r="DE15" s="968" t="s">
        <v>1254</v>
      </c>
      <c r="DF15" s="923">
        <v>20</v>
      </c>
      <c r="DG15" s="968" t="s">
        <v>4363</v>
      </c>
      <c r="DH15" s="923"/>
      <c r="DI15" s="923"/>
      <c r="DJ15" s="923">
        <v>14</v>
      </c>
      <c r="DK15" s="968" t="s">
        <v>1294</v>
      </c>
      <c r="DL15" s="923"/>
      <c r="DM15" s="923"/>
      <c r="DN15" s="923"/>
      <c r="DO15" s="961" t="s">
        <v>4364</v>
      </c>
      <c r="DP15" s="923">
        <v>61</v>
      </c>
      <c r="DQ15" s="945" t="s">
        <v>4365</v>
      </c>
      <c r="DR15" s="923">
        <v>49</v>
      </c>
      <c r="DS15" s="964" t="s">
        <v>4986</v>
      </c>
      <c r="DT15" s="964" t="s">
        <v>4341</v>
      </c>
      <c r="DU15" s="923"/>
      <c r="DV15" s="964" t="s">
        <v>4366</v>
      </c>
      <c r="DW15" s="964" t="s">
        <v>4367</v>
      </c>
      <c r="DX15" s="923"/>
      <c r="DY15" s="923"/>
      <c r="DZ15" s="923"/>
      <c r="EA15" s="964" t="s">
        <v>4368</v>
      </c>
      <c r="EB15" s="923"/>
      <c r="EC15" s="923"/>
      <c r="ED15" s="923"/>
      <c r="EE15" s="923"/>
      <c r="EF15" s="969" t="s">
        <v>4369</v>
      </c>
      <c r="EG15" s="969" t="s">
        <v>4370</v>
      </c>
      <c r="EH15" s="969" t="s">
        <v>4371</v>
      </c>
      <c r="EI15" s="969" t="s">
        <v>4372</v>
      </c>
      <c r="EJ15" s="969" t="s">
        <v>4373</v>
      </c>
      <c r="EK15" s="923"/>
      <c r="EL15" s="923"/>
      <c r="EM15" s="923"/>
      <c r="EN15" s="668">
        <v>17</v>
      </c>
      <c r="EO15" s="668">
        <v>15</v>
      </c>
      <c r="EP15" s="668">
        <v>15</v>
      </c>
      <c r="ES15" s="970" t="s">
        <v>4723</v>
      </c>
      <c r="ET15" s="971">
        <v>420</v>
      </c>
      <c r="EU15" s="972" t="s">
        <v>4693</v>
      </c>
      <c r="EV15" s="973">
        <v>2</v>
      </c>
      <c r="EW15" s="972" t="s">
        <v>4694</v>
      </c>
      <c r="EX15" s="973">
        <v>2</v>
      </c>
      <c r="EY15" s="972" t="s">
        <v>94</v>
      </c>
      <c r="EZ15" s="973">
        <v>1</v>
      </c>
      <c r="FA15" s="972" t="s">
        <v>4724</v>
      </c>
      <c r="FB15" s="973">
        <v>1</v>
      </c>
      <c r="FC15" s="972" t="s">
        <v>87</v>
      </c>
      <c r="FD15" s="973">
        <v>2</v>
      </c>
      <c r="FE15" s="972" t="s">
        <v>4725</v>
      </c>
    </row>
    <row r="16" spans="1:161 3089:3089" ht="12" customHeight="1" thickBot="1">
      <c r="A16" s="922"/>
      <c r="B16" s="951">
        <v>15</v>
      </c>
      <c r="C16" s="923" t="s">
        <v>4618</v>
      </c>
      <c r="D16" s="924">
        <f t="shared" ref="D16:D22" ca="1" si="1">RANDBETWEEN(1,100)</f>
        <v>18</v>
      </c>
      <c r="E16" s="924"/>
      <c r="F16" s="924"/>
      <c r="G16" s="924"/>
      <c r="H16" s="925" t="str">
        <f ca="1">LOOKUP(D16,dOdeur,gpOdeur)</f>
        <v>Aucun, cou Ap+d3-d3</v>
      </c>
      <c r="I16" s="925"/>
      <c r="J16" s="925"/>
      <c r="K16" s="923" t="str">
        <f t="shared" ca="1" si="0"/>
        <v xml:space="preserve">Odeur = Aucun, cou Ap+d3-d3  </v>
      </c>
      <c r="L16" s="923">
        <v>71</v>
      </c>
      <c r="M16" s="955" t="s">
        <v>3718</v>
      </c>
      <c r="N16" s="956" t="s">
        <v>3719</v>
      </c>
      <c r="O16" s="923"/>
      <c r="P16" s="923"/>
      <c r="Q16" s="923"/>
      <c r="R16" s="923"/>
      <c r="S16" s="923"/>
      <c r="T16" s="923"/>
      <c r="U16" s="925"/>
      <c r="V16" s="923"/>
      <c r="W16" s="923"/>
      <c r="X16" s="923"/>
      <c r="Y16" s="1705" t="s">
        <v>4351</v>
      </c>
      <c r="Z16" s="939" t="s">
        <v>684</v>
      </c>
      <c r="AA16" s="955" t="s">
        <v>4316</v>
      </c>
      <c r="AB16" s="935"/>
      <c r="AC16" s="935"/>
      <c r="AD16" s="935"/>
      <c r="AE16" s="923"/>
      <c r="AF16" s="923"/>
      <c r="AG16" s="923"/>
      <c r="AH16" s="923"/>
      <c r="AI16" s="923"/>
      <c r="AJ16" s="923"/>
      <c r="AK16" s="923"/>
      <c r="AL16" s="923"/>
      <c r="AM16" s="923"/>
      <c r="AN16" s="923"/>
      <c r="AO16" s="923"/>
      <c r="AP16" s="923"/>
      <c r="AQ16" s="923"/>
      <c r="AR16" s="923">
        <v>8</v>
      </c>
      <c r="AS16" s="923" t="s">
        <v>4616</v>
      </c>
      <c r="AT16" s="923">
        <v>32</v>
      </c>
      <c r="AU16" s="955" t="s">
        <v>4374</v>
      </c>
      <c r="AV16" s="924"/>
      <c r="AW16" s="923"/>
      <c r="AX16" s="923"/>
      <c r="AY16" s="923"/>
      <c r="AZ16" s="923"/>
      <c r="BA16" s="923"/>
      <c r="BB16" s="923"/>
      <c r="BC16" s="923"/>
      <c r="BD16" s="923"/>
      <c r="BE16" s="923"/>
      <c r="BF16" s="923"/>
      <c r="BG16" s="923"/>
      <c r="BH16" s="923"/>
      <c r="BI16" s="923"/>
      <c r="BJ16" s="923"/>
      <c r="BK16" s="923"/>
      <c r="BL16" s="923"/>
      <c r="BM16" s="923"/>
      <c r="BN16" s="923"/>
      <c r="BO16" s="923"/>
      <c r="BP16" s="923"/>
      <c r="BQ16" s="923"/>
      <c r="BR16" s="923"/>
      <c r="BS16" s="923"/>
      <c r="BT16" s="923">
        <v>100</v>
      </c>
      <c r="BU16" s="977" t="s">
        <v>1327</v>
      </c>
      <c r="BV16" s="923"/>
      <c r="BW16" s="923"/>
      <c r="BX16" s="923"/>
      <c r="BY16" s="923"/>
      <c r="BZ16" s="923"/>
      <c r="CA16" s="923"/>
      <c r="CB16" s="923"/>
      <c r="CC16" s="923"/>
      <c r="CD16" s="923">
        <v>43</v>
      </c>
      <c r="CE16" s="978" t="s">
        <v>4987</v>
      </c>
      <c r="CF16" s="923"/>
      <c r="CG16" s="923"/>
      <c r="CH16" s="923">
        <v>18</v>
      </c>
      <c r="CI16" s="978" t="s">
        <v>4988</v>
      </c>
      <c r="CJ16" s="923"/>
      <c r="CK16" s="923"/>
      <c r="CL16" s="923"/>
      <c r="CM16" s="923"/>
      <c r="CN16" s="923"/>
      <c r="CO16" s="923"/>
      <c r="CP16" s="923"/>
      <c r="CQ16" s="923"/>
      <c r="CR16" s="923">
        <v>74</v>
      </c>
      <c r="CS16" s="923" t="s">
        <v>2376</v>
      </c>
      <c r="CT16" s="923"/>
      <c r="CU16" s="923"/>
      <c r="CV16" s="923">
        <v>47</v>
      </c>
      <c r="CW16" s="968" t="s">
        <v>1170</v>
      </c>
      <c r="CX16" s="923"/>
      <c r="CY16" s="923"/>
      <c r="CZ16" s="923">
        <v>15</v>
      </c>
      <c r="DA16" s="968" t="s">
        <v>1217</v>
      </c>
      <c r="DB16" s="923">
        <v>18</v>
      </c>
      <c r="DC16" s="968" t="s">
        <v>1238</v>
      </c>
      <c r="DD16" s="923"/>
      <c r="DE16" s="923"/>
      <c r="DF16" s="923"/>
      <c r="DG16" s="923"/>
      <c r="DH16" s="923"/>
      <c r="DI16" s="923"/>
      <c r="DJ16" s="923">
        <v>15</v>
      </c>
      <c r="DK16" s="968" t="s">
        <v>1295</v>
      </c>
      <c r="DL16" s="923"/>
      <c r="DM16" s="923"/>
      <c r="DN16" s="923"/>
      <c r="DO16" s="921" t="s">
        <v>4375</v>
      </c>
      <c r="DP16" s="923">
        <v>65</v>
      </c>
      <c r="DQ16" s="945" t="s">
        <v>4376</v>
      </c>
      <c r="DR16" s="923">
        <v>50</v>
      </c>
      <c r="DS16" s="921" t="s">
        <v>4989</v>
      </c>
      <c r="DT16" s="923"/>
      <c r="DU16" s="923"/>
      <c r="DV16" s="921" t="s">
        <v>4377</v>
      </c>
      <c r="DW16" s="921" t="s">
        <v>4378</v>
      </c>
      <c r="DX16" s="923"/>
      <c r="DY16" s="923"/>
      <c r="DZ16" s="923"/>
      <c r="EA16" s="921" t="s">
        <v>4990</v>
      </c>
      <c r="EB16" s="923"/>
      <c r="EC16" s="923"/>
      <c r="ED16" s="923"/>
      <c r="EE16" s="923"/>
      <c r="EF16" s="923"/>
      <c r="EG16" s="921" t="s">
        <v>4379</v>
      </c>
      <c r="EH16" s="921" t="s">
        <v>4380</v>
      </c>
      <c r="EI16" s="921" t="s">
        <v>4381</v>
      </c>
      <c r="EJ16" s="921" t="s">
        <v>4382</v>
      </c>
      <c r="EK16" s="923"/>
      <c r="EL16" s="923"/>
      <c r="EM16" s="923"/>
      <c r="EN16" s="668">
        <v>20</v>
      </c>
      <c r="EO16" s="668">
        <v>16</v>
      </c>
      <c r="EP16" s="668">
        <v>16</v>
      </c>
      <c r="ES16" s="970" t="s">
        <v>4726</v>
      </c>
      <c r="ET16" s="971">
        <v>460</v>
      </c>
      <c r="EU16" s="972" t="s">
        <v>4693</v>
      </c>
      <c r="EV16" s="973">
        <v>2</v>
      </c>
      <c r="EW16" s="972" t="s">
        <v>94</v>
      </c>
      <c r="EX16" s="973">
        <v>1</v>
      </c>
      <c r="EY16" s="980" t="s">
        <v>4727</v>
      </c>
      <c r="EZ16" s="973">
        <v>2</v>
      </c>
      <c r="FA16" s="972" t="s">
        <v>4728</v>
      </c>
      <c r="FB16" s="973">
        <v>2</v>
      </c>
      <c r="FC16" s="972" t="s">
        <v>4725</v>
      </c>
      <c r="FD16" s="973">
        <v>1</v>
      </c>
      <c r="FE16" s="972" t="s">
        <v>4729</v>
      </c>
    </row>
    <row r="17" spans="1:161" ht="12" customHeight="1" thickBot="1">
      <c r="A17" s="922"/>
      <c r="B17" s="951">
        <v>16</v>
      </c>
      <c r="C17" s="923" t="s">
        <v>2241</v>
      </c>
      <c r="D17" s="924">
        <f t="shared" ca="1" si="1"/>
        <v>23</v>
      </c>
      <c r="E17" s="924"/>
      <c r="F17" s="924"/>
      <c r="G17" s="924"/>
      <c r="H17" s="925" t="str">
        <f ca="1">LOOKUP(D17,dArt,gpArt1)&amp;" --&gt; NE="</f>
        <v>Médiocre, max Em-d3 --&gt; NE=</v>
      </c>
      <c r="I17" s="975">
        <f ca="1">LOOKUP(D17,dArt,gpArt2)</f>
        <v>10</v>
      </c>
      <c r="J17" s="925" t="str">
        <f ca="1">"NS "&amp;LOOKUP(D17,dArt,gpArt3)</f>
        <v>NS 0</v>
      </c>
      <c r="K17" s="923" t="str">
        <f t="shared" ca="1" si="0"/>
        <v>Art Graphique = Médiocre, max Em-d3 --&gt; NE= 10 NS 0</v>
      </c>
      <c r="L17" s="923">
        <v>73</v>
      </c>
      <c r="M17" s="952" t="s">
        <v>3720</v>
      </c>
      <c r="N17" s="953" t="s">
        <v>3721</v>
      </c>
      <c r="O17" s="923"/>
      <c r="P17" s="923"/>
      <c r="Q17" s="923"/>
      <c r="R17" s="923"/>
      <c r="S17" s="923"/>
      <c r="T17" s="923"/>
      <c r="U17" s="925"/>
      <c r="V17" s="923"/>
      <c r="W17" s="923"/>
      <c r="X17" s="923"/>
      <c r="Y17" s="1704" t="s">
        <v>2214</v>
      </c>
      <c r="Z17" s="984" t="s">
        <v>685</v>
      </c>
      <c r="AA17" s="957" t="s">
        <v>4991</v>
      </c>
      <c r="AB17" s="959"/>
      <c r="AC17" s="959"/>
      <c r="AD17" s="959"/>
      <c r="AE17" s="923"/>
      <c r="AF17" s="923"/>
      <c r="AG17" s="923"/>
      <c r="AH17" s="923"/>
      <c r="AI17" s="923"/>
      <c r="AJ17" s="923"/>
      <c r="AK17" s="923"/>
      <c r="AL17" s="923"/>
      <c r="AM17" s="923"/>
      <c r="AN17" s="923"/>
      <c r="AO17" s="923"/>
      <c r="AP17" s="923"/>
      <c r="AQ17" s="923"/>
      <c r="AR17" s="923">
        <v>9</v>
      </c>
      <c r="AS17" s="923" t="s">
        <v>4616</v>
      </c>
      <c r="AT17" s="923">
        <v>33</v>
      </c>
      <c r="AU17" s="952" t="s">
        <v>4383</v>
      </c>
      <c r="AV17" s="924"/>
      <c r="AW17" s="923"/>
      <c r="AX17" s="923"/>
      <c r="AY17" s="923"/>
      <c r="AZ17" s="923"/>
      <c r="BA17" s="923"/>
      <c r="BB17" s="923"/>
      <c r="BC17" s="923"/>
      <c r="BD17" s="923"/>
      <c r="BE17" s="923"/>
      <c r="BF17" s="923"/>
      <c r="BG17" s="923"/>
      <c r="BH17" s="923"/>
      <c r="BI17" s="923"/>
      <c r="BJ17" s="923"/>
      <c r="BK17" s="923"/>
      <c r="BL17" s="923"/>
      <c r="BM17" s="923"/>
      <c r="BN17" s="923"/>
      <c r="BO17" s="923"/>
      <c r="BP17" s="923"/>
      <c r="BQ17" s="923"/>
      <c r="BR17" s="923"/>
      <c r="BS17" s="923"/>
      <c r="BT17" s="923"/>
      <c r="BU17" s="923"/>
      <c r="BV17" s="923"/>
      <c r="BW17" s="923"/>
      <c r="BX17" s="923"/>
      <c r="BY17" s="923"/>
      <c r="BZ17" s="923"/>
      <c r="CA17" s="923"/>
      <c r="CB17" s="923"/>
      <c r="CC17" s="923"/>
      <c r="CD17" s="923">
        <v>44</v>
      </c>
      <c r="CE17" s="966" t="s">
        <v>4992</v>
      </c>
      <c r="CF17" s="923"/>
      <c r="CG17" s="923"/>
      <c r="CH17" s="923">
        <v>19</v>
      </c>
      <c r="CI17" s="966" t="s">
        <v>4993</v>
      </c>
      <c r="CJ17" s="923"/>
      <c r="CK17" s="923"/>
      <c r="CL17" s="923"/>
      <c r="CM17" s="923"/>
      <c r="CN17" s="923"/>
      <c r="CO17" s="923"/>
      <c r="CP17" s="923"/>
      <c r="CQ17" s="923"/>
      <c r="CR17" s="923">
        <v>81</v>
      </c>
      <c r="CS17" s="923" t="s">
        <v>4384</v>
      </c>
      <c r="CT17" s="923"/>
      <c r="CU17" s="923"/>
      <c r="CV17" s="923">
        <v>48</v>
      </c>
      <c r="CW17" s="968" t="s">
        <v>1171</v>
      </c>
      <c r="CX17" s="923"/>
      <c r="CY17" s="923"/>
      <c r="CZ17" s="923">
        <v>17</v>
      </c>
      <c r="DA17" s="968" t="s">
        <v>4385</v>
      </c>
      <c r="DB17" s="923">
        <v>19</v>
      </c>
      <c r="DC17" s="968" t="s">
        <v>1239</v>
      </c>
      <c r="DD17" s="923"/>
      <c r="DE17" s="923"/>
      <c r="DF17" s="923"/>
      <c r="DG17" s="923"/>
      <c r="DH17" s="923"/>
      <c r="DI17" s="923"/>
      <c r="DJ17" s="923">
        <v>16</v>
      </c>
      <c r="DK17" s="968" t="s">
        <v>1296</v>
      </c>
      <c r="DL17" s="923"/>
      <c r="DM17" s="923"/>
      <c r="DN17" s="923"/>
      <c r="DO17" s="961" t="s">
        <v>4386</v>
      </c>
      <c r="DP17" s="923">
        <v>69</v>
      </c>
      <c r="DQ17" s="945" t="s">
        <v>4994</v>
      </c>
      <c r="DR17" s="923">
        <v>51</v>
      </c>
      <c r="DS17" s="964" t="s">
        <v>4995</v>
      </c>
      <c r="DT17" s="923"/>
      <c r="DU17" s="923"/>
      <c r="DV17" s="964" t="s">
        <v>4996</v>
      </c>
      <c r="DW17" s="964" t="s">
        <v>4387</v>
      </c>
      <c r="DX17" s="923"/>
      <c r="DY17" s="923"/>
      <c r="DZ17" s="923"/>
      <c r="EA17" s="964" t="s">
        <v>4388</v>
      </c>
      <c r="EB17" s="923"/>
      <c r="EC17" s="923"/>
      <c r="ED17" s="923"/>
      <c r="EE17" s="923"/>
      <c r="EF17" s="923"/>
      <c r="EG17" s="969" t="s">
        <v>4389</v>
      </c>
      <c r="EH17" s="969" t="s">
        <v>4390</v>
      </c>
      <c r="EI17" s="969" t="s">
        <v>4391</v>
      </c>
      <c r="EJ17" s="969" t="s">
        <v>4392</v>
      </c>
      <c r="EK17" s="923"/>
      <c r="EL17" s="923"/>
      <c r="EM17" s="923"/>
      <c r="EN17" s="668">
        <v>24</v>
      </c>
      <c r="EO17" s="668">
        <v>17</v>
      </c>
      <c r="EP17" s="668">
        <v>18</v>
      </c>
      <c r="ES17" s="970" t="s">
        <v>4730</v>
      </c>
      <c r="ET17" s="971">
        <v>260</v>
      </c>
      <c r="EU17" s="972" t="s">
        <v>4681</v>
      </c>
      <c r="EV17" s="973">
        <v>3</v>
      </c>
      <c r="EW17" s="980" t="s">
        <v>4731</v>
      </c>
      <c r="EX17" s="973">
        <v>2</v>
      </c>
      <c r="EY17" s="972" t="s">
        <v>1526</v>
      </c>
      <c r="EZ17" s="973">
        <v>2</v>
      </c>
      <c r="FA17" s="972" t="s">
        <v>4708</v>
      </c>
      <c r="FB17" s="973">
        <v>2</v>
      </c>
      <c r="FC17" s="972" t="s">
        <v>4732</v>
      </c>
      <c r="FD17" s="973">
        <v>2</v>
      </c>
      <c r="FE17" s="972" t="s">
        <v>4707</v>
      </c>
    </row>
    <row r="18" spans="1:161" ht="12" customHeight="1" thickBot="1">
      <c r="A18" s="922"/>
      <c r="B18" s="951">
        <v>17</v>
      </c>
      <c r="C18" s="923" t="s">
        <v>4619</v>
      </c>
      <c r="D18" s="924">
        <f t="shared" ca="1" si="1"/>
        <v>88</v>
      </c>
      <c r="E18" s="924"/>
      <c r="F18" s="924"/>
      <c r="G18" s="924"/>
      <c r="H18" s="925" t="str">
        <f ca="1">LOOKUP(D18,dHumour,gpHumour)</f>
        <v>Sombre, ne sourit que rarement : nat E-2, cou I+1, Foi+1</v>
      </c>
      <c r="I18" s="925"/>
      <c r="J18" s="925"/>
      <c r="K18" s="923" t="str">
        <f t="shared" ca="1" si="0"/>
        <v xml:space="preserve">Humour = Sombre, ne sourit que rarement : nat E-2, cou I+1, Foi+1  </v>
      </c>
      <c r="L18" s="923">
        <v>80</v>
      </c>
      <c r="M18" s="955" t="s">
        <v>3722</v>
      </c>
      <c r="N18" s="956" t="s">
        <v>3723</v>
      </c>
      <c r="O18" s="923"/>
      <c r="P18" s="923"/>
      <c r="Q18" s="923"/>
      <c r="R18" s="923"/>
      <c r="S18" s="923"/>
      <c r="T18" s="923"/>
      <c r="U18" s="925"/>
      <c r="V18" s="923"/>
      <c r="W18" s="923"/>
      <c r="X18" s="923"/>
      <c r="Y18" s="1704" t="s">
        <v>2214</v>
      </c>
      <c r="Z18" s="939" t="s">
        <v>685</v>
      </c>
      <c r="AA18" s="955" t="s">
        <v>4316</v>
      </c>
      <c r="AB18" s="935"/>
      <c r="AC18" s="935"/>
      <c r="AD18" s="935"/>
      <c r="AE18" s="923"/>
      <c r="AF18" s="923"/>
      <c r="AG18" s="923"/>
      <c r="AH18" s="923"/>
      <c r="AI18" s="923"/>
      <c r="AJ18" s="923"/>
      <c r="AK18" s="923"/>
      <c r="AL18" s="923"/>
      <c r="AM18" s="923"/>
      <c r="AN18" s="923"/>
      <c r="AO18" s="923"/>
      <c r="AP18" s="923"/>
      <c r="AQ18" s="923"/>
      <c r="AR18" s="923">
        <v>10</v>
      </c>
      <c r="AS18" s="923" t="s">
        <v>4617</v>
      </c>
      <c r="AT18" s="923">
        <v>36</v>
      </c>
      <c r="AU18" s="955" t="s">
        <v>4393</v>
      </c>
      <c r="AV18" s="924"/>
      <c r="AW18" s="923"/>
      <c r="AX18" s="923"/>
      <c r="AY18" s="923"/>
      <c r="AZ18" s="923"/>
      <c r="BA18" s="923"/>
      <c r="BB18" s="923"/>
      <c r="BC18" s="923"/>
      <c r="BD18" s="923"/>
      <c r="BE18" s="923"/>
      <c r="BF18" s="923"/>
      <c r="BG18" s="923"/>
      <c r="BH18" s="923"/>
      <c r="BI18" s="923"/>
      <c r="BJ18" s="923"/>
      <c r="BK18" s="923"/>
      <c r="BL18" s="923"/>
      <c r="BM18" s="923"/>
      <c r="BN18" s="923"/>
      <c r="BO18" s="923"/>
      <c r="BP18" s="923"/>
      <c r="BQ18" s="923"/>
      <c r="BR18" s="923"/>
      <c r="BS18" s="923"/>
      <c r="BT18" s="923"/>
      <c r="BU18" s="923"/>
      <c r="BV18" s="923"/>
      <c r="BW18" s="923"/>
      <c r="BX18" s="923"/>
      <c r="BY18" s="923"/>
      <c r="BZ18" s="923"/>
      <c r="CA18" s="923"/>
      <c r="CB18" s="923"/>
      <c r="CC18" s="923"/>
      <c r="CD18" s="923">
        <v>48</v>
      </c>
      <c r="CE18" s="978" t="s">
        <v>4997</v>
      </c>
      <c r="CF18" s="923"/>
      <c r="CG18" s="923"/>
      <c r="CH18" s="923">
        <v>21</v>
      </c>
      <c r="CI18" s="978" t="s">
        <v>4998</v>
      </c>
      <c r="CJ18" s="923"/>
      <c r="CK18" s="923"/>
      <c r="CL18" s="923"/>
      <c r="CM18" s="923"/>
      <c r="CN18" s="923"/>
      <c r="CO18" s="923"/>
      <c r="CP18" s="923"/>
      <c r="CQ18" s="923"/>
      <c r="CR18" s="923">
        <v>85</v>
      </c>
      <c r="CS18" s="923" t="s">
        <v>4394</v>
      </c>
      <c r="CT18" s="923"/>
      <c r="CU18" s="923"/>
      <c r="CV18" s="923">
        <v>60</v>
      </c>
      <c r="CW18" s="968" t="s">
        <v>4395</v>
      </c>
      <c r="CX18" s="923"/>
      <c r="CY18" s="923"/>
      <c r="CZ18" s="923">
        <v>18</v>
      </c>
      <c r="DA18" s="968" t="s">
        <v>4396</v>
      </c>
      <c r="DB18" s="923"/>
      <c r="DC18" s="923"/>
      <c r="DD18" s="923"/>
      <c r="DE18" s="923"/>
      <c r="DF18" s="923"/>
      <c r="DG18" s="923"/>
      <c r="DH18" s="923"/>
      <c r="DI18" s="923"/>
      <c r="DJ18" s="923">
        <v>17</v>
      </c>
      <c r="DK18" s="968" t="s">
        <v>1297</v>
      </c>
      <c r="DL18" s="923"/>
      <c r="DM18" s="923"/>
      <c r="DN18" s="923"/>
      <c r="DO18" s="921" t="s">
        <v>4999</v>
      </c>
      <c r="DP18" s="923">
        <v>73</v>
      </c>
      <c r="DQ18" s="945" t="s">
        <v>5000</v>
      </c>
      <c r="DR18" s="923">
        <v>54</v>
      </c>
      <c r="DS18" s="921" t="s">
        <v>5001</v>
      </c>
      <c r="DT18" s="923"/>
      <c r="DU18" s="923"/>
      <c r="DV18" s="921" t="s">
        <v>4397</v>
      </c>
      <c r="DW18" s="921" t="s">
        <v>4398</v>
      </c>
      <c r="DX18" s="923"/>
      <c r="DY18" s="923"/>
      <c r="DZ18" s="923"/>
      <c r="EA18" s="921" t="s">
        <v>4399</v>
      </c>
      <c r="EB18" s="923"/>
      <c r="EC18" s="923"/>
      <c r="ED18" s="923"/>
      <c r="EE18" s="923"/>
      <c r="EF18" s="923"/>
      <c r="EG18" s="921" t="s">
        <v>4400</v>
      </c>
      <c r="EH18" s="921" t="s">
        <v>4401</v>
      </c>
      <c r="EI18" s="921" t="s">
        <v>4402</v>
      </c>
      <c r="EJ18" s="921" t="s">
        <v>4403</v>
      </c>
      <c r="EK18" s="923"/>
      <c r="EL18" s="923"/>
      <c r="EM18" s="923"/>
      <c r="EN18" s="668">
        <v>31</v>
      </c>
      <c r="EO18" s="668">
        <v>18</v>
      </c>
      <c r="EP18" s="668">
        <v>19</v>
      </c>
      <c r="ES18" s="970" t="s">
        <v>4733</v>
      </c>
      <c r="ET18" s="971">
        <v>480</v>
      </c>
      <c r="EU18" s="972" t="s">
        <v>4693</v>
      </c>
      <c r="EV18" s="973">
        <v>2</v>
      </c>
      <c r="EW18" s="972" t="s">
        <v>94</v>
      </c>
      <c r="EX18" s="973">
        <v>2</v>
      </c>
      <c r="EY18" s="972" t="s">
        <v>4694</v>
      </c>
      <c r="EZ18" s="973">
        <v>1</v>
      </c>
      <c r="FA18" s="972" t="s">
        <v>4729</v>
      </c>
      <c r="FB18" s="973">
        <v>1</v>
      </c>
      <c r="FC18" s="972" t="s">
        <v>4725</v>
      </c>
      <c r="FD18" s="973">
        <v>1</v>
      </c>
      <c r="FE18" s="972" t="s">
        <v>4728</v>
      </c>
    </row>
    <row r="19" spans="1:161" ht="12" customHeight="1" thickTop="1" thickBot="1">
      <c r="A19" s="922"/>
      <c r="B19" s="951">
        <v>18</v>
      </c>
      <c r="C19" s="923" t="s">
        <v>4620</v>
      </c>
      <c r="D19" s="924">
        <f t="shared" ca="1" si="1"/>
        <v>63</v>
      </c>
      <c r="E19" s="924"/>
      <c r="F19" s="924"/>
      <c r="G19" s="924"/>
      <c r="H19" s="925" t="str">
        <f ca="1">LOOKUP(D19,dCroyance,gpCroyance)</f>
        <v>Croyance liée à son histoire, ethnie et origines : NS+1</v>
      </c>
      <c r="I19" s="975">
        <f ca="1">LOOKUP(D19,dCroyance,gpFoi)</f>
        <v>43</v>
      </c>
      <c r="J19" s="925"/>
      <c r="K19" s="923" t="str">
        <f t="shared" ca="1" si="0"/>
        <v xml:space="preserve">Croyance = Croyance liée à son histoire, ethnie et origines : NS+1 43 </v>
      </c>
      <c r="L19" s="923">
        <v>86</v>
      </c>
      <c r="M19" s="952" t="s">
        <v>3724</v>
      </c>
      <c r="N19" s="953" t="s">
        <v>3725</v>
      </c>
      <c r="O19" s="923"/>
      <c r="P19" s="923"/>
      <c r="Q19" s="923"/>
      <c r="R19" s="923"/>
      <c r="S19" s="923"/>
      <c r="T19" s="923"/>
      <c r="U19" s="925"/>
      <c r="V19" s="923"/>
      <c r="W19" s="923"/>
      <c r="X19" s="923"/>
      <c r="Y19" s="1704" t="s">
        <v>2214</v>
      </c>
      <c r="Z19" s="984" t="s">
        <v>685</v>
      </c>
      <c r="AA19" s="957" t="s">
        <v>5002</v>
      </c>
      <c r="AB19" s="959"/>
      <c r="AC19" s="959"/>
      <c r="AD19" s="959"/>
      <c r="AE19" s="923"/>
      <c r="AF19" s="923"/>
      <c r="AG19" s="923"/>
      <c r="AH19" s="923"/>
      <c r="AI19" s="923"/>
      <c r="AJ19" s="923"/>
      <c r="AL19" s="1074"/>
      <c r="AM19" s="1073"/>
      <c r="AN19" s="1075"/>
      <c r="AO19" s="1075"/>
      <c r="AP19" s="1075"/>
      <c r="AQ19" s="1075"/>
      <c r="AR19" s="1075"/>
      <c r="AS19" s="1075"/>
      <c r="AT19" s="1075">
        <v>38</v>
      </c>
      <c r="AU19" s="952" t="s">
        <v>4404</v>
      </c>
      <c r="AV19" s="924"/>
      <c r="AW19" s="923"/>
      <c r="AX19" s="923"/>
      <c r="AY19" s="923"/>
      <c r="AZ19" s="923"/>
      <c r="BA19" s="923"/>
      <c r="BB19" s="923"/>
      <c r="BC19" s="923"/>
      <c r="BD19" s="923"/>
      <c r="BE19" s="923"/>
      <c r="BF19" s="923"/>
      <c r="BG19" s="923"/>
      <c r="BH19" s="923"/>
      <c r="BI19" s="923"/>
      <c r="BJ19" s="923"/>
      <c r="BK19" s="923"/>
      <c r="BL19" s="923"/>
      <c r="BM19" s="923"/>
      <c r="BN19" s="923"/>
      <c r="BO19" s="923"/>
      <c r="BP19" s="923"/>
      <c r="BQ19" s="923"/>
      <c r="BR19" s="923"/>
      <c r="BS19" s="923"/>
      <c r="BT19" s="923"/>
      <c r="BU19" s="923"/>
      <c r="BV19" s="923"/>
      <c r="BW19" s="923"/>
      <c r="BX19" s="923"/>
      <c r="BY19" s="923"/>
      <c r="BZ19" s="923"/>
      <c r="CA19" s="923"/>
      <c r="CB19" s="923"/>
      <c r="CC19" s="923"/>
      <c r="CD19" s="923">
        <v>56</v>
      </c>
      <c r="CE19" s="966" t="s">
        <v>5003</v>
      </c>
      <c r="CF19" s="923"/>
      <c r="CG19" s="923"/>
      <c r="CH19" s="923">
        <v>22</v>
      </c>
      <c r="CI19" s="966" t="s">
        <v>5004</v>
      </c>
      <c r="CJ19" s="923"/>
      <c r="CK19" s="923"/>
      <c r="CL19" s="923"/>
      <c r="CM19" s="923"/>
      <c r="CN19" s="923"/>
      <c r="CO19" s="923"/>
      <c r="CP19" s="923"/>
      <c r="CQ19" s="923"/>
      <c r="CR19" s="923">
        <v>91</v>
      </c>
      <c r="CS19" s="923" t="s">
        <v>55</v>
      </c>
      <c r="CT19" s="923"/>
      <c r="CU19" s="923"/>
      <c r="CV19" s="923">
        <v>63</v>
      </c>
      <c r="CW19" s="968" t="s">
        <v>1173</v>
      </c>
      <c r="CX19" s="923"/>
      <c r="CY19" s="923"/>
      <c r="CZ19" s="923">
        <v>19</v>
      </c>
      <c r="DA19" s="968" t="s">
        <v>1220</v>
      </c>
      <c r="DB19" s="923"/>
      <c r="DC19" s="923"/>
      <c r="DD19" s="923"/>
      <c r="DE19" s="923"/>
      <c r="DF19" s="923"/>
      <c r="DG19" s="923"/>
      <c r="DH19" s="923"/>
      <c r="DI19" s="923"/>
      <c r="DJ19" s="923">
        <v>18</v>
      </c>
      <c r="DK19" s="968" t="s">
        <v>1298</v>
      </c>
      <c r="DL19" s="923"/>
      <c r="DM19" s="923"/>
      <c r="DN19" s="923"/>
      <c r="DO19" s="961" t="s">
        <v>4405</v>
      </c>
      <c r="DP19" s="923">
        <v>76</v>
      </c>
      <c r="DQ19" s="945" t="s">
        <v>5005</v>
      </c>
      <c r="DR19" s="923">
        <v>55</v>
      </c>
      <c r="DS19" s="964" t="s">
        <v>4406</v>
      </c>
      <c r="DT19" s="923"/>
      <c r="DU19" s="923"/>
      <c r="DV19" s="964" t="s">
        <v>4407</v>
      </c>
      <c r="DW19" s="964" t="s">
        <v>4408</v>
      </c>
      <c r="DX19" s="923"/>
      <c r="DY19" s="923"/>
      <c r="DZ19" s="923"/>
      <c r="EA19" s="964" t="s">
        <v>5006</v>
      </c>
      <c r="EB19" s="923"/>
      <c r="EC19" s="923"/>
      <c r="ED19" s="923"/>
      <c r="EE19" s="923"/>
      <c r="EF19" s="923"/>
      <c r="EG19" s="923"/>
      <c r="EH19" s="969" t="s">
        <v>4409</v>
      </c>
      <c r="EI19" s="969" t="s">
        <v>4410</v>
      </c>
      <c r="EJ19" s="969" t="s">
        <v>4411</v>
      </c>
      <c r="EK19" s="923"/>
      <c r="EL19" s="923"/>
      <c r="EM19" s="923"/>
      <c r="EN19" s="668">
        <v>10</v>
      </c>
      <c r="EO19" s="668">
        <v>19</v>
      </c>
      <c r="EP19" s="668">
        <v>20</v>
      </c>
      <c r="ES19" s="970" t="s">
        <v>4734</v>
      </c>
      <c r="ET19" s="971">
        <v>320</v>
      </c>
      <c r="EU19" s="972" t="s">
        <v>4698</v>
      </c>
      <c r="EV19" s="973">
        <v>3</v>
      </c>
      <c r="EW19" s="972" t="s">
        <v>4735</v>
      </c>
      <c r="EX19" s="973">
        <v>3</v>
      </c>
      <c r="EY19" s="972" t="s">
        <v>4736</v>
      </c>
      <c r="EZ19" s="973">
        <v>2</v>
      </c>
      <c r="FA19" s="972" t="s">
        <v>887</v>
      </c>
      <c r="FB19" s="973">
        <v>2</v>
      </c>
      <c r="FC19" s="972" t="s">
        <v>87</v>
      </c>
      <c r="FD19" s="973">
        <v>1</v>
      </c>
      <c r="FE19" s="972" t="s">
        <v>4699</v>
      </c>
    </row>
    <row r="20" spans="1:161" ht="12" customHeight="1" thickBot="1">
      <c r="A20" s="922"/>
      <c r="B20" s="951">
        <v>19</v>
      </c>
      <c r="C20" s="923" t="s">
        <v>866</v>
      </c>
      <c r="D20" s="924">
        <f t="shared" ca="1" si="1"/>
        <v>82</v>
      </c>
      <c r="E20" s="924"/>
      <c r="F20" s="924"/>
      <c r="G20" s="924"/>
      <c r="H20" s="925" t="str">
        <f ca="1">LOOKUP(D20,dOrigine,gpOrigine)</f>
        <v>Montagneuse ou très riche, BM+10</v>
      </c>
      <c r="I20" s="925"/>
      <c r="J20" s="925"/>
      <c r="K20" s="923" t="str">
        <f t="shared" ca="1" si="0"/>
        <v xml:space="preserve">Origine = Montagneuse ou très riche, BM+10  </v>
      </c>
      <c r="L20" s="923">
        <v>88</v>
      </c>
      <c r="M20" s="955" t="s">
        <v>3726</v>
      </c>
      <c r="N20" s="956" t="s">
        <v>3717</v>
      </c>
      <c r="O20" s="923"/>
      <c r="P20" s="923"/>
      <c r="Q20" s="923"/>
      <c r="R20" s="923"/>
      <c r="S20" s="923"/>
      <c r="T20" s="923"/>
      <c r="U20" s="925"/>
      <c r="V20" s="923"/>
      <c r="W20" s="923"/>
      <c r="X20" s="923"/>
      <c r="Y20" s="1705" t="s">
        <v>1445</v>
      </c>
      <c r="Z20" s="939" t="s">
        <v>681</v>
      </c>
      <c r="AA20" s="955" t="s">
        <v>4316</v>
      </c>
      <c r="AB20" s="935"/>
      <c r="AC20" s="935"/>
      <c r="AD20" s="935"/>
      <c r="AE20" s="923"/>
      <c r="AF20" s="923"/>
      <c r="AG20" s="923"/>
      <c r="AH20" s="923"/>
      <c r="AI20" s="923"/>
      <c r="AJ20" s="923"/>
      <c r="AL20" s="134"/>
      <c r="AM20" s="1074"/>
      <c r="AN20" s="134"/>
      <c r="AO20" s="134"/>
      <c r="AP20" s="134"/>
      <c r="AQ20" s="134"/>
      <c r="AR20" s="134"/>
      <c r="AS20" s="134"/>
      <c r="AT20" s="134">
        <v>39</v>
      </c>
      <c r="AU20" s="955" t="s">
        <v>5007</v>
      </c>
      <c r="AV20" s="924"/>
      <c r="AW20" s="923"/>
      <c r="AX20" s="923"/>
      <c r="AY20" s="923"/>
      <c r="AZ20" s="923"/>
      <c r="BA20" s="923"/>
      <c r="BB20" s="923"/>
      <c r="BC20" s="923"/>
      <c r="BD20" s="923"/>
      <c r="BE20" s="923"/>
      <c r="BF20" s="923"/>
      <c r="BG20" s="923"/>
      <c r="BH20" s="923"/>
      <c r="BI20" s="923"/>
      <c r="BJ20" s="923"/>
      <c r="BK20" s="923"/>
      <c r="BL20" s="923"/>
      <c r="BM20" s="923"/>
      <c r="BN20" s="923"/>
      <c r="BO20" s="923"/>
      <c r="BP20" s="923"/>
      <c r="BQ20" s="923"/>
      <c r="BR20" s="923"/>
      <c r="BS20" s="923"/>
      <c r="BT20" s="923"/>
      <c r="BU20" s="923"/>
      <c r="BV20" s="923"/>
      <c r="BW20" s="923"/>
      <c r="BX20" s="923"/>
      <c r="BY20" s="923"/>
      <c r="BZ20" s="923"/>
      <c r="CA20" s="923"/>
      <c r="CB20" s="923"/>
      <c r="CC20" s="923"/>
      <c r="CD20" s="923">
        <v>58</v>
      </c>
      <c r="CE20" s="978" t="s">
        <v>5008</v>
      </c>
      <c r="CF20" s="923"/>
      <c r="CG20" s="923"/>
      <c r="CH20" s="923">
        <v>23</v>
      </c>
      <c r="CI20" s="978" t="s">
        <v>5009</v>
      </c>
      <c r="CJ20" s="923"/>
      <c r="CK20" s="923"/>
      <c r="CL20" s="923"/>
      <c r="CM20" s="923"/>
      <c r="CN20" s="923"/>
      <c r="CO20" s="923"/>
      <c r="CP20" s="923"/>
      <c r="CQ20" s="923"/>
      <c r="CR20" s="923">
        <v>97</v>
      </c>
      <c r="CS20" s="923" t="s">
        <v>997</v>
      </c>
      <c r="CT20" s="923"/>
      <c r="CU20" s="923"/>
      <c r="CV20" s="923">
        <v>64</v>
      </c>
      <c r="CW20" s="968" t="s">
        <v>4412</v>
      </c>
      <c r="CX20" s="923"/>
      <c r="CY20" s="923"/>
      <c r="CZ20" s="923">
        <v>20</v>
      </c>
      <c r="DA20" s="968" t="s">
        <v>1221</v>
      </c>
      <c r="DB20" s="923"/>
      <c r="DC20" s="923"/>
      <c r="DD20" s="923"/>
      <c r="DE20" s="923"/>
      <c r="DF20" s="923"/>
      <c r="DG20" s="923"/>
      <c r="DH20" s="923"/>
      <c r="DI20" s="923"/>
      <c r="DJ20" s="923">
        <v>19</v>
      </c>
      <c r="DK20" s="968" t="s">
        <v>1299</v>
      </c>
      <c r="DL20" s="923"/>
      <c r="DM20" s="923"/>
      <c r="DN20" s="923"/>
      <c r="DO20" s="921" t="s">
        <v>4413</v>
      </c>
      <c r="DP20" s="923">
        <v>79</v>
      </c>
      <c r="DQ20" s="945" t="s">
        <v>4414</v>
      </c>
      <c r="DR20" s="923">
        <v>57</v>
      </c>
      <c r="DS20" s="921" t="s">
        <v>5010</v>
      </c>
      <c r="DT20" s="923"/>
      <c r="DU20" s="923"/>
      <c r="DV20" s="921" t="s">
        <v>4415</v>
      </c>
      <c r="DW20" s="921" t="s">
        <v>4416</v>
      </c>
      <c r="DX20" s="923"/>
      <c r="DY20" s="923"/>
      <c r="DZ20" s="923"/>
      <c r="EA20" s="921" t="s">
        <v>4417</v>
      </c>
      <c r="EB20" s="923"/>
      <c r="EC20" s="923"/>
      <c r="ED20" s="923"/>
      <c r="EE20" s="923"/>
      <c r="EF20" s="923"/>
      <c r="EG20" s="923"/>
      <c r="EH20" s="921" t="s">
        <v>5011</v>
      </c>
      <c r="EI20" s="921" t="s">
        <v>4418</v>
      </c>
      <c r="EJ20" s="921" t="s">
        <v>4419</v>
      </c>
      <c r="EK20" s="923"/>
      <c r="EL20" s="923"/>
      <c r="EM20" s="923"/>
      <c r="EN20" s="668">
        <v>10</v>
      </c>
      <c r="EO20" s="668">
        <v>20</v>
      </c>
      <c r="EP20" s="668">
        <v>21</v>
      </c>
      <c r="ES20" s="970" t="s">
        <v>4737</v>
      </c>
      <c r="ET20" s="971">
        <v>140</v>
      </c>
      <c r="EU20" s="972" t="s">
        <v>901</v>
      </c>
      <c r="EV20" s="973">
        <v>3</v>
      </c>
      <c r="EW20" s="972" t="s">
        <v>1022</v>
      </c>
      <c r="EX20" s="973">
        <v>2</v>
      </c>
      <c r="EY20" s="972" t="s">
        <v>2016</v>
      </c>
      <c r="EZ20" s="973">
        <v>1</v>
      </c>
      <c r="FA20" s="972" t="s">
        <v>4738</v>
      </c>
      <c r="FB20" s="973">
        <v>1</v>
      </c>
      <c r="FC20" s="972"/>
      <c r="FD20" s="973">
        <v>0</v>
      </c>
      <c r="FE20" s="972"/>
    </row>
    <row r="21" spans="1:161" ht="12" customHeight="1" thickBot="1">
      <c r="A21" s="922"/>
      <c r="B21" s="951">
        <v>20</v>
      </c>
      <c r="C21" s="923" t="s">
        <v>142</v>
      </c>
      <c r="D21" s="924">
        <f t="shared" ca="1" si="1"/>
        <v>35</v>
      </c>
      <c r="E21" s="924"/>
      <c r="F21" s="924"/>
      <c r="G21" s="924"/>
      <c r="H21" s="925" t="str">
        <f ca="1">LOOKUP(D21,dLieu,gpLieu)</f>
        <v>Village, N1 S(plaine)</v>
      </c>
      <c r="I21" s="925"/>
      <c r="J21" s="925"/>
      <c r="K21" s="923" t="str">
        <f t="shared" ca="1" si="0"/>
        <v xml:space="preserve">Lieu = Village, N1 S(plaine)  </v>
      </c>
      <c r="L21" s="923">
        <v>95</v>
      </c>
      <c r="M21" s="952" t="s">
        <v>3727</v>
      </c>
      <c r="N21" s="953" t="s">
        <v>3728</v>
      </c>
      <c r="O21" s="923"/>
      <c r="P21" s="923"/>
      <c r="Q21" s="923"/>
      <c r="R21" s="923"/>
      <c r="S21" s="923"/>
      <c r="T21" s="923"/>
      <c r="U21" s="925"/>
      <c r="V21" s="923"/>
      <c r="W21" s="923"/>
      <c r="X21" s="923"/>
      <c r="Y21" s="1705" t="s">
        <v>1445</v>
      </c>
      <c r="Z21" s="984" t="s">
        <v>4420</v>
      </c>
      <c r="AA21" s="957" t="s">
        <v>5012</v>
      </c>
      <c r="AB21" s="959"/>
      <c r="AC21" s="959"/>
      <c r="AD21" s="959"/>
      <c r="AE21" s="923"/>
      <c r="AF21" s="923"/>
      <c r="AG21" s="923"/>
      <c r="AH21" s="923"/>
      <c r="AI21" s="923"/>
      <c r="AJ21" s="923"/>
      <c r="AL21" s="134"/>
      <c r="AM21" s="923"/>
      <c r="AN21" s="923"/>
      <c r="AO21" s="923"/>
      <c r="AP21" s="923"/>
      <c r="AQ21" s="923"/>
      <c r="AR21" s="923"/>
      <c r="AS21" s="923"/>
      <c r="AT21" s="923">
        <v>41</v>
      </c>
      <c r="AU21" s="952" t="s">
        <v>5013</v>
      </c>
      <c r="AV21" s="924"/>
      <c r="AW21" s="923"/>
      <c r="AX21" s="923"/>
      <c r="AY21" s="923"/>
      <c r="AZ21" s="923"/>
      <c r="BA21" s="923"/>
      <c r="BB21" s="923"/>
      <c r="BC21" s="923"/>
      <c r="BD21" s="923"/>
      <c r="BE21" s="923"/>
      <c r="BF21" s="923"/>
      <c r="BG21" s="923"/>
      <c r="BH21" s="923"/>
      <c r="BI21" s="923"/>
      <c r="BJ21" s="923"/>
      <c r="BK21" s="923"/>
      <c r="BL21" s="923"/>
      <c r="BM21" s="923"/>
      <c r="BN21" s="923"/>
      <c r="BO21" s="923"/>
      <c r="BP21" s="923"/>
      <c r="BQ21" s="923"/>
      <c r="BR21" s="923"/>
      <c r="BS21" s="923"/>
      <c r="BT21" s="923"/>
      <c r="BU21" s="923"/>
      <c r="BV21" s="923"/>
      <c r="BW21" s="923"/>
      <c r="BX21" s="923"/>
      <c r="BY21" s="923"/>
      <c r="BZ21" s="923"/>
      <c r="CA21" s="923"/>
      <c r="CB21" s="923"/>
      <c r="CC21" s="923"/>
      <c r="CD21" s="923">
        <v>62</v>
      </c>
      <c r="CE21" s="961" t="s">
        <v>4421</v>
      </c>
      <c r="CF21" s="923"/>
      <c r="CG21" s="923"/>
      <c r="CH21" s="923">
        <v>24</v>
      </c>
      <c r="CI21" s="966" t="s">
        <v>5014</v>
      </c>
      <c r="CJ21" s="923"/>
      <c r="CK21" s="923"/>
      <c r="CL21" s="923"/>
      <c r="CM21" s="923"/>
      <c r="CN21" s="923"/>
      <c r="CO21" s="923"/>
      <c r="CP21" s="923"/>
      <c r="CQ21" s="923"/>
      <c r="CR21" s="923">
        <v>99</v>
      </c>
      <c r="CS21" s="923" t="s">
        <v>90</v>
      </c>
      <c r="CT21" s="923"/>
      <c r="CU21" s="923"/>
      <c r="CV21" s="923">
        <v>67</v>
      </c>
      <c r="CW21" s="968" t="s">
        <v>1175</v>
      </c>
      <c r="CX21" s="923"/>
      <c r="CY21" s="923"/>
      <c r="CZ21" s="923"/>
      <c r="DA21" s="923"/>
      <c r="DB21" s="923"/>
      <c r="DC21" s="923"/>
      <c r="DD21" s="923"/>
      <c r="DE21" s="923"/>
      <c r="DF21" s="923"/>
      <c r="DG21" s="923"/>
      <c r="DH21" s="923"/>
      <c r="DI21" s="923"/>
      <c r="DJ21" s="923">
        <v>20</v>
      </c>
      <c r="DK21" s="968" t="s">
        <v>1300</v>
      </c>
      <c r="DL21" s="923"/>
      <c r="DM21" s="923"/>
      <c r="DN21" s="923"/>
      <c r="DO21" s="961" t="s">
        <v>4422</v>
      </c>
      <c r="DP21" s="923">
        <v>82</v>
      </c>
      <c r="DQ21" s="945" t="s">
        <v>4423</v>
      </c>
      <c r="DR21" s="923">
        <v>58</v>
      </c>
      <c r="DS21" s="964" t="s">
        <v>4424</v>
      </c>
      <c r="DT21" s="923"/>
      <c r="DU21" s="923"/>
      <c r="DV21" s="964" t="s">
        <v>4425</v>
      </c>
      <c r="DW21" s="964" t="s">
        <v>4426</v>
      </c>
      <c r="DX21" s="923"/>
      <c r="DY21" s="923"/>
      <c r="DZ21" s="923"/>
      <c r="EA21" s="964" t="s">
        <v>4427</v>
      </c>
      <c r="EB21" s="923"/>
      <c r="EC21" s="923"/>
      <c r="ED21" s="923"/>
      <c r="EE21" s="923"/>
      <c r="EF21" s="923"/>
      <c r="EG21" s="923"/>
      <c r="EH21" s="969" t="s">
        <v>4428</v>
      </c>
      <c r="EI21" s="969" t="s">
        <v>4429</v>
      </c>
      <c r="EJ21" s="969" t="s">
        <v>4430</v>
      </c>
      <c r="EK21" s="923"/>
      <c r="EL21" s="923"/>
      <c r="EM21" s="923"/>
      <c r="EN21" s="668">
        <v>10</v>
      </c>
      <c r="ES21" s="970" t="s">
        <v>1243</v>
      </c>
      <c r="ET21" s="971">
        <v>370</v>
      </c>
      <c r="EU21" s="972" t="s">
        <v>2397</v>
      </c>
      <c r="EV21" s="973">
        <v>2</v>
      </c>
      <c r="EW21" s="972" t="s">
        <v>87</v>
      </c>
      <c r="EX21" s="973">
        <v>3</v>
      </c>
      <c r="EY21" s="980" t="s">
        <v>4727</v>
      </c>
      <c r="EZ21" s="973">
        <v>2</v>
      </c>
      <c r="FA21" s="972" t="s">
        <v>4739</v>
      </c>
      <c r="FB21" s="973">
        <v>3</v>
      </c>
      <c r="FC21" s="972" t="s">
        <v>4707</v>
      </c>
      <c r="FD21" s="973">
        <v>1</v>
      </c>
      <c r="FE21" s="980" t="s">
        <v>4740</v>
      </c>
    </row>
    <row r="22" spans="1:161" ht="12" customHeight="1" thickBot="1">
      <c r="A22" s="922"/>
      <c r="B22" s="951">
        <v>21</v>
      </c>
      <c r="C22" s="923" t="s">
        <v>523</v>
      </c>
      <c r="D22" s="924">
        <f t="shared" ca="1" si="1"/>
        <v>66</v>
      </c>
      <c r="E22" s="924"/>
      <c r="F22" s="924"/>
      <c r="G22" s="924"/>
      <c r="H22" s="925" t="str">
        <f ca="1">LOOKUP(D22,dTerrain,gpTerrain)</f>
        <v>Marais/Souterrain, N1 S(Mar/Sout)</v>
      </c>
      <c r="I22" s="925"/>
      <c r="J22" s="925"/>
      <c r="K22" s="923" t="str">
        <f t="shared" ca="1" si="0"/>
        <v xml:space="preserve">Terrain = Marais/Souterrain, N1 S(Mar/Sout)  </v>
      </c>
      <c r="O22" s="923"/>
      <c r="P22" s="923"/>
      <c r="Q22" s="923"/>
      <c r="R22" s="923"/>
      <c r="S22" s="923"/>
      <c r="T22" s="923"/>
      <c r="U22" s="925"/>
      <c r="V22" s="923"/>
      <c r="W22" s="923"/>
      <c r="X22" s="923"/>
      <c r="Y22" s="1705" t="s">
        <v>1445</v>
      </c>
      <c r="Z22" s="939" t="s">
        <v>681</v>
      </c>
      <c r="AA22" s="929" t="s">
        <v>5015</v>
      </c>
      <c r="AB22" s="935"/>
      <c r="AC22" s="935"/>
      <c r="AD22" s="935"/>
      <c r="AE22" s="923"/>
      <c r="AF22" s="923"/>
      <c r="AG22" s="923"/>
      <c r="AH22" s="923"/>
      <c r="AI22" s="923"/>
      <c r="AJ22" s="923"/>
      <c r="AL22" s="134"/>
      <c r="AM22" s="923"/>
      <c r="AN22" s="923"/>
      <c r="AO22" s="923"/>
      <c r="AP22" s="923"/>
      <c r="AQ22" s="923"/>
      <c r="AR22" s="923"/>
      <c r="AS22" s="923"/>
      <c r="AT22" s="923">
        <v>42</v>
      </c>
      <c r="AU22" s="955" t="s">
        <v>4431</v>
      </c>
      <c r="AV22" s="924"/>
      <c r="AW22" s="923"/>
      <c r="AX22" s="923"/>
      <c r="AY22" s="923"/>
      <c r="AZ22" s="923"/>
      <c r="BA22" s="923"/>
      <c r="BB22" s="923"/>
      <c r="BC22" s="923"/>
      <c r="BD22" s="923"/>
      <c r="BE22" s="923"/>
      <c r="BF22" s="923"/>
      <c r="BG22" s="923"/>
      <c r="BH22" s="923"/>
      <c r="BI22" s="923"/>
      <c r="BJ22" s="923"/>
      <c r="BK22" s="923"/>
      <c r="BL22" s="923"/>
      <c r="BM22" s="923"/>
      <c r="BN22" s="923"/>
      <c r="BO22" s="923"/>
      <c r="BP22" s="923"/>
      <c r="BQ22" s="923"/>
      <c r="BR22" s="923"/>
      <c r="BS22" s="923"/>
      <c r="BT22" s="923"/>
      <c r="BU22" s="923"/>
      <c r="BV22" s="923"/>
      <c r="BW22" s="923"/>
      <c r="BX22" s="923"/>
      <c r="BY22" s="923"/>
      <c r="BZ22" s="923"/>
      <c r="CA22" s="923"/>
      <c r="CB22" s="923"/>
      <c r="CC22" s="923"/>
      <c r="CD22" s="923">
        <v>66</v>
      </c>
      <c r="CE22" s="921" t="s">
        <v>5016</v>
      </c>
      <c r="CF22" s="923"/>
      <c r="CG22" s="923"/>
      <c r="CH22" s="923">
        <v>25</v>
      </c>
      <c r="CI22" s="978" t="s">
        <v>5017</v>
      </c>
      <c r="CJ22" s="923"/>
      <c r="CK22" s="923"/>
      <c r="CL22" s="923"/>
      <c r="CM22" s="923"/>
      <c r="CN22" s="923"/>
      <c r="CO22" s="923"/>
      <c r="CP22" s="923"/>
      <c r="CQ22" s="923"/>
      <c r="CR22" s="923"/>
      <c r="CS22" s="923"/>
      <c r="CT22" s="923"/>
      <c r="CU22" s="923"/>
      <c r="CV22" s="923">
        <v>69</v>
      </c>
      <c r="CW22" s="968" t="s">
        <v>1176</v>
      </c>
      <c r="CX22" s="923"/>
      <c r="CY22" s="923"/>
      <c r="CZ22" s="923"/>
      <c r="DA22" s="923"/>
      <c r="DB22" s="923"/>
      <c r="DC22" s="923"/>
      <c r="DD22" s="923"/>
      <c r="DE22" s="923"/>
      <c r="DF22" s="923"/>
      <c r="DG22" s="923"/>
      <c r="DH22" s="923"/>
      <c r="DI22" s="923"/>
      <c r="DJ22" s="923"/>
      <c r="DK22" s="923"/>
      <c r="DL22" s="923"/>
      <c r="DM22" s="923"/>
      <c r="DN22" s="923"/>
      <c r="DO22" s="961" t="s">
        <v>4432</v>
      </c>
      <c r="DP22" s="923">
        <v>85</v>
      </c>
      <c r="DQ22" s="945" t="s">
        <v>5018</v>
      </c>
      <c r="DR22" s="923">
        <v>59</v>
      </c>
      <c r="DS22" s="921" t="s">
        <v>4433</v>
      </c>
      <c r="DT22" s="923"/>
      <c r="DU22" s="923"/>
      <c r="DV22" s="921" t="s">
        <v>4434</v>
      </c>
      <c r="DW22" s="921" t="s">
        <v>4435</v>
      </c>
      <c r="DX22" s="923"/>
      <c r="DY22" s="923"/>
      <c r="DZ22" s="923"/>
      <c r="EA22" s="921" t="s">
        <v>4436</v>
      </c>
      <c r="EB22" s="923"/>
      <c r="EC22" s="923"/>
      <c r="ED22" s="923"/>
      <c r="EE22" s="923"/>
      <c r="EF22" s="923"/>
      <c r="EG22" s="923"/>
      <c r="EH22" s="923"/>
      <c r="EI22" s="921" t="s">
        <v>4437</v>
      </c>
      <c r="EJ22" s="921" t="s">
        <v>4438</v>
      </c>
      <c r="EK22" s="923"/>
      <c r="EL22" s="923"/>
      <c r="EM22" s="923"/>
      <c r="ES22" s="970" t="s">
        <v>1226</v>
      </c>
      <c r="ET22" s="971">
        <v>240</v>
      </c>
      <c r="EU22" s="972" t="s">
        <v>895</v>
      </c>
      <c r="EV22" s="973">
        <v>2</v>
      </c>
      <c r="EW22" s="972" t="s">
        <v>4739</v>
      </c>
      <c r="EX22" s="973">
        <v>3</v>
      </c>
      <c r="EY22" s="972" t="s">
        <v>87</v>
      </c>
      <c r="EZ22" s="973">
        <v>2</v>
      </c>
      <c r="FA22" s="972" t="s">
        <v>893</v>
      </c>
      <c r="FB22" s="973">
        <v>2</v>
      </c>
      <c r="FC22" s="972" t="s">
        <v>4693</v>
      </c>
      <c r="FD22" s="973">
        <v>1</v>
      </c>
      <c r="FE22" s="972"/>
    </row>
    <row r="23" spans="1:161" ht="12" customHeight="1" thickBot="1">
      <c r="A23" s="922"/>
      <c r="B23" s="951">
        <v>22</v>
      </c>
      <c r="C23" s="923" t="s">
        <v>4621</v>
      </c>
      <c r="D23" s="924">
        <f ca="1">RANDBETWEEN(1,10)</f>
        <v>3</v>
      </c>
      <c r="E23" s="924"/>
      <c r="F23" s="924"/>
      <c r="G23" s="924"/>
      <c r="H23" s="925" t="str">
        <f ca="1">LOOKUP(D23,dDirection,gpDirection)</f>
        <v>Nord-est</v>
      </c>
      <c r="I23" s="925"/>
      <c r="J23" s="925"/>
      <c r="K23" s="923" t="str">
        <f t="shared" ca="1" si="0"/>
        <v xml:space="preserve">Direction = Nord-est  </v>
      </c>
      <c r="O23" s="923"/>
      <c r="P23" s="923"/>
      <c r="Q23" s="923"/>
      <c r="R23" s="923"/>
      <c r="S23" s="923"/>
      <c r="T23" s="923"/>
      <c r="U23" s="925"/>
      <c r="V23" s="923"/>
      <c r="W23" s="923"/>
      <c r="X23" s="923"/>
      <c r="Y23" s="1704" t="s">
        <v>4439</v>
      </c>
      <c r="Z23" s="984" t="s">
        <v>704</v>
      </c>
      <c r="AA23" s="957" t="s">
        <v>4316</v>
      </c>
      <c r="AB23" s="959"/>
      <c r="AC23" s="959"/>
      <c r="AD23" s="959"/>
      <c r="AE23" s="923"/>
      <c r="AF23" s="923"/>
      <c r="AG23" s="923"/>
      <c r="AH23" s="923"/>
      <c r="AI23" s="923"/>
      <c r="AJ23" s="923"/>
      <c r="AL23" s="134"/>
      <c r="AM23" s="923"/>
      <c r="AN23" s="923"/>
      <c r="AO23" s="923"/>
      <c r="AP23" s="923"/>
      <c r="AQ23" s="923"/>
      <c r="AR23" s="923"/>
      <c r="AS23" s="923"/>
      <c r="AT23" s="923">
        <v>45</v>
      </c>
      <c r="AU23" s="952" t="s">
        <v>4440</v>
      </c>
      <c r="AV23" s="924"/>
      <c r="AW23" s="923"/>
      <c r="AX23" s="923"/>
      <c r="AY23" s="923"/>
      <c r="AZ23" s="923"/>
      <c r="BA23" s="923"/>
      <c r="BB23" s="923"/>
      <c r="BC23" s="923"/>
      <c r="BD23" s="923"/>
      <c r="BE23" s="923"/>
      <c r="BF23" s="923"/>
      <c r="BG23" s="923"/>
      <c r="BH23" s="923"/>
      <c r="BI23" s="923"/>
      <c r="BJ23" s="923"/>
      <c r="BK23" s="923"/>
      <c r="BL23" s="923"/>
      <c r="BM23" s="923"/>
      <c r="BN23" s="923"/>
      <c r="BO23" s="923"/>
      <c r="BP23" s="923"/>
      <c r="BQ23" s="923"/>
      <c r="BR23" s="923"/>
      <c r="BS23" s="923"/>
      <c r="BT23" s="923"/>
      <c r="BU23" s="923"/>
      <c r="BV23" s="923"/>
      <c r="BW23" s="923"/>
      <c r="BX23" s="923"/>
      <c r="BY23" s="923"/>
      <c r="BZ23" s="923"/>
      <c r="CA23" s="923"/>
      <c r="CB23" s="923"/>
      <c r="CC23" s="923"/>
      <c r="CD23" s="923"/>
      <c r="CE23" s="923"/>
      <c r="CF23" s="923"/>
      <c r="CG23" s="923"/>
      <c r="CH23" s="923">
        <v>26</v>
      </c>
      <c r="CI23" s="966" t="s">
        <v>5019</v>
      </c>
      <c r="CJ23" s="923"/>
      <c r="CK23" s="923"/>
      <c r="CL23" s="923"/>
      <c r="CM23" s="923"/>
      <c r="CN23" s="923"/>
      <c r="CO23" s="923"/>
      <c r="CP23" s="923"/>
      <c r="CQ23" s="923"/>
      <c r="CR23" s="923"/>
      <c r="CS23" s="923"/>
      <c r="CT23" s="923"/>
      <c r="CU23" s="923"/>
      <c r="CV23" s="923">
        <v>73</v>
      </c>
      <c r="CW23" s="968" t="s">
        <v>1177</v>
      </c>
      <c r="CX23" s="923"/>
      <c r="CY23" s="923"/>
      <c r="CZ23" s="923"/>
      <c r="DA23" s="923"/>
      <c r="DB23" s="923"/>
      <c r="DC23" s="923"/>
      <c r="DD23" s="923"/>
      <c r="DE23" s="923"/>
      <c r="DF23" s="923"/>
      <c r="DG23" s="923"/>
      <c r="DH23" s="923"/>
      <c r="DI23" s="923"/>
      <c r="DJ23" s="923"/>
      <c r="DK23" s="923"/>
      <c r="DL23" s="923"/>
      <c r="DM23" s="923"/>
      <c r="DN23" s="923"/>
      <c r="DO23" s="961" t="s">
        <v>4441</v>
      </c>
      <c r="DP23" s="923">
        <v>88</v>
      </c>
      <c r="DQ23" s="945" t="s">
        <v>5020</v>
      </c>
      <c r="DR23" s="923">
        <v>60</v>
      </c>
      <c r="DS23" s="964" t="s">
        <v>4442</v>
      </c>
      <c r="DT23" s="923"/>
      <c r="DU23" s="923"/>
      <c r="DV23" s="964" t="s">
        <v>4443</v>
      </c>
      <c r="DW23" s="964" t="s">
        <v>4444</v>
      </c>
      <c r="DX23" s="923"/>
      <c r="DY23" s="923"/>
      <c r="DZ23" s="923"/>
      <c r="EA23" s="964" t="s">
        <v>4445</v>
      </c>
      <c r="EB23" s="923"/>
      <c r="EC23" s="923"/>
      <c r="ED23" s="923"/>
      <c r="EE23" s="923"/>
      <c r="EF23" s="923"/>
      <c r="EG23" s="923"/>
      <c r="EH23" s="923"/>
      <c r="EI23" s="969" t="s">
        <v>4446</v>
      </c>
      <c r="EJ23" s="969" t="s">
        <v>4447</v>
      </c>
      <c r="EK23" s="923"/>
      <c r="EL23" s="923"/>
      <c r="EM23" s="923"/>
      <c r="ES23" s="970" t="s">
        <v>4741</v>
      </c>
      <c r="ET23" s="971">
        <v>200</v>
      </c>
      <c r="EU23" s="972" t="s">
        <v>4742</v>
      </c>
      <c r="EV23" s="973">
        <v>3</v>
      </c>
      <c r="EW23" s="972" t="s">
        <v>4743</v>
      </c>
      <c r="EX23" s="973">
        <v>2</v>
      </c>
      <c r="EY23" s="980" t="s">
        <v>1400</v>
      </c>
      <c r="EZ23" s="973">
        <v>2</v>
      </c>
      <c r="FA23" s="972"/>
      <c r="FB23" s="973">
        <v>0</v>
      </c>
      <c r="FC23" s="972"/>
      <c r="FD23" s="973">
        <v>0</v>
      </c>
      <c r="FE23" s="972"/>
    </row>
    <row r="24" spans="1:161" ht="12" customHeight="1" thickBot="1">
      <c r="A24" s="922"/>
      <c r="B24" s="951">
        <v>23</v>
      </c>
      <c r="C24" s="923" t="s">
        <v>4622</v>
      </c>
      <c r="D24" s="924">
        <f ca="1">RANDBETWEEN(1,10)</f>
        <v>5</v>
      </c>
      <c r="E24" s="924"/>
      <c r="F24" s="924"/>
      <c r="G24" s="924"/>
      <c r="H24" s="925" t="str">
        <f ca="1">LOOKUP(D24,dDistance,gpDistance)</f>
        <v>1D10 x 50m, BM-3</v>
      </c>
      <c r="I24" s="925"/>
      <c r="J24" s="925"/>
      <c r="K24" s="923" t="str">
        <f t="shared" ca="1" si="0"/>
        <v xml:space="preserve">Distance = 1D10 x 50m, BM-3  </v>
      </c>
      <c r="O24" s="923"/>
      <c r="P24" s="923"/>
      <c r="Q24" s="923"/>
      <c r="R24" s="923"/>
      <c r="S24" s="923"/>
      <c r="T24" s="923"/>
      <c r="U24" s="925"/>
      <c r="V24" s="923"/>
      <c r="W24" s="923"/>
      <c r="X24" s="923"/>
      <c r="Y24" s="1704" t="s">
        <v>4439</v>
      </c>
      <c r="Z24" s="939" t="s">
        <v>704</v>
      </c>
      <c r="AA24" s="955" t="s">
        <v>5021</v>
      </c>
      <c r="AB24" s="935"/>
      <c r="AC24" s="935"/>
      <c r="AD24" s="935"/>
      <c r="AE24" s="923"/>
      <c r="AF24" s="923"/>
      <c r="AG24" s="923"/>
      <c r="AH24" s="923"/>
      <c r="AI24" s="923"/>
      <c r="AJ24" s="923"/>
      <c r="AL24" s="134"/>
      <c r="AM24" s="923"/>
      <c r="AN24" s="923"/>
      <c r="AO24" s="923"/>
      <c r="AP24" s="923"/>
      <c r="AQ24" s="923"/>
      <c r="AR24" s="923"/>
      <c r="AS24" s="923"/>
      <c r="AT24" s="923">
        <v>47</v>
      </c>
      <c r="AU24" s="955" t="s">
        <v>4448</v>
      </c>
      <c r="AV24" s="924"/>
      <c r="AW24" s="923"/>
      <c r="AX24" s="923"/>
      <c r="AY24" s="923"/>
      <c r="AZ24" s="923"/>
      <c r="BA24" s="923"/>
      <c r="BB24" s="923"/>
      <c r="BC24" s="923"/>
      <c r="BD24" s="923"/>
      <c r="BE24" s="923"/>
      <c r="BF24" s="923"/>
      <c r="BG24" s="923"/>
      <c r="BH24" s="923"/>
      <c r="BI24" s="923"/>
      <c r="BJ24" s="923"/>
      <c r="BK24" s="923"/>
      <c r="BL24" s="923"/>
      <c r="BM24" s="923"/>
      <c r="BN24" s="923"/>
      <c r="BO24" s="923"/>
      <c r="BP24" s="923"/>
      <c r="BQ24" s="923"/>
      <c r="BR24" s="923"/>
      <c r="BS24" s="923"/>
      <c r="BT24" s="923"/>
      <c r="BU24" s="923"/>
      <c r="BV24" s="923"/>
      <c r="BW24" s="923"/>
      <c r="BX24" s="923"/>
      <c r="BY24" s="923"/>
      <c r="BZ24" s="923"/>
      <c r="CA24" s="923"/>
      <c r="CB24" s="923"/>
      <c r="CC24" s="923"/>
      <c r="CD24" s="923"/>
      <c r="CE24" s="923"/>
      <c r="CF24" s="923"/>
      <c r="CG24" s="923"/>
      <c r="CH24" s="923">
        <v>27</v>
      </c>
      <c r="CI24" s="978" t="s">
        <v>5022</v>
      </c>
      <c r="CJ24" s="923"/>
      <c r="CK24" s="923"/>
      <c r="CL24" s="923"/>
      <c r="CM24" s="923"/>
      <c r="CN24" s="923"/>
      <c r="CO24" s="923"/>
      <c r="CP24" s="923"/>
      <c r="CQ24" s="923"/>
      <c r="CR24" s="923"/>
      <c r="CS24" s="923"/>
      <c r="CT24" s="923"/>
      <c r="CU24" s="923"/>
      <c r="CV24" s="923">
        <v>75</v>
      </c>
      <c r="CW24" s="968" t="s">
        <v>1626</v>
      </c>
      <c r="CX24" s="923"/>
      <c r="CY24" s="923"/>
      <c r="CZ24" s="923"/>
      <c r="DA24" s="923"/>
      <c r="DB24" s="923"/>
      <c r="DC24" s="923"/>
      <c r="DD24" s="923"/>
      <c r="DE24" s="923"/>
      <c r="DF24" s="923"/>
      <c r="DG24" s="923"/>
      <c r="DH24" s="923"/>
      <c r="DI24" s="923"/>
      <c r="DJ24" s="923"/>
      <c r="DK24" s="923"/>
      <c r="DL24" s="923"/>
      <c r="DM24" s="923"/>
      <c r="DN24" s="923"/>
      <c r="DO24" s="961" t="s">
        <v>4449</v>
      </c>
      <c r="DP24" s="923">
        <v>91</v>
      </c>
      <c r="DQ24" s="945" t="s">
        <v>4450</v>
      </c>
      <c r="DR24" s="923">
        <v>61</v>
      </c>
      <c r="DS24" s="921" t="s">
        <v>4451</v>
      </c>
      <c r="DT24" s="923"/>
      <c r="DU24" s="923"/>
      <c r="DV24" s="921" t="s">
        <v>4452</v>
      </c>
      <c r="DW24" s="921" t="s">
        <v>4453</v>
      </c>
      <c r="DX24" s="923"/>
      <c r="DY24" s="923"/>
      <c r="DZ24" s="923"/>
      <c r="EA24" s="921" t="s">
        <v>4454</v>
      </c>
      <c r="EB24" s="923"/>
      <c r="EC24" s="923"/>
      <c r="ED24" s="923"/>
      <c r="EE24" s="923"/>
      <c r="EF24" s="923"/>
      <c r="EG24" s="923"/>
      <c r="EH24" s="923"/>
      <c r="EI24" s="921" t="s">
        <v>4455</v>
      </c>
      <c r="EJ24" s="921" t="s">
        <v>5023</v>
      </c>
      <c r="EK24" s="923"/>
      <c r="EL24" s="923"/>
      <c r="EM24" s="923"/>
      <c r="ES24" s="970" t="s">
        <v>4744</v>
      </c>
      <c r="ET24" s="971">
        <v>240</v>
      </c>
      <c r="EU24" s="972" t="s">
        <v>4724</v>
      </c>
      <c r="EV24" s="973">
        <v>3</v>
      </c>
      <c r="EW24" s="972" t="s">
        <v>1022</v>
      </c>
      <c r="EX24" s="973">
        <v>2</v>
      </c>
      <c r="EY24" s="972" t="s">
        <v>87</v>
      </c>
      <c r="EZ24" s="973">
        <v>2</v>
      </c>
      <c r="FA24" s="972" t="s">
        <v>4738</v>
      </c>
      <c r="FB24" s="973">
        <v>1</v>
      </c>
      <c r="FC24" s="972"/>
      <c r="FD24" s="973">
        <v>0</v>
      </c>
      <c r="FE24" s="972"/>
    </row>
    <row r="25" spans="1:161" ht="12" customHeight="1" thickBot="1">
      <c r="A25" s="922"/>
      <c r="B25" s="951">
        <v>24</v>
      </c>
      <c r="C25" s="923" t="s">
        <v>4623</v>
      </c>
      <c r="D25" s="924">
        <f ca="1">RANDBETWEEN(1,100)</f>
        <v>5</v>
      </c>
      <c r="E25" s="924"/>
      <c r="F25" s="924"/>
      <c r="G25" s="924"/>
      <c r="H25" s="975">
        <f ca="1">LOOKUP(D25,dNSp,gpNSp)</f>
        <v>0</v>
      </c>
      <c r="I25" s="975">
        <f ca="1">LOOKUP(D25,dNSp,gpBMp)</f>
        <v>20</v>
      </c>
      <c r="K25" s="923" t="str">
        <f ca="1">C25&amp;" = "&amp;H25&amp;" "&amp;I25&amp;" "&amp;J41</f>
        <v xml:space="preserve">NS père = 0 20 </v>
      </c>
      <c r="O25" s="923"/>
      <c r="P25" s="923"/>
      <c r="Q25" s="923"/>
      <c r="R25" s="923"/>
      <c r="S25" s="923"/>
      <c r="T25" s="923"/>
      <c r="U25" s="925"/>
      <c r="V25" s="923"/>
      <c r="W25" s="923"/>
      <c r="X25" s="923"/>
      <c r="Y25" s="1704" t="s">
        <v>4439</v>
      </c>
      <c r="Z25" s="984" t="s">
        <v>704</v>
      </c>
      <c r="AA25" s="957" t="s">
        <v>4316</v>
      </c>
      <c r="AB25" s="959"/>
      <c r="AC25" s="959"/>
      <c r="AD25" s="959"/>
      <c r="AE25" s="923"/>
      <c r="AF25" s="923"/>
      <c r="AG25" s="923"/>
      <c r="AH25" s="923"/>
      <c r="AI25" s="923"/>
      <c r="AJ25" s="923"/>
      <c r="AL25" s="134"/>
      <c r="AM25" s="923"/>
      <c r="AN25" s="923"/>
      <c r="AO25" s="923"/>
      <c r="AP25" s="923"/>
      <c r="AQ25" s="923"/>
      <c r="AR25" s="923"/>
      <c r="AS25" s="923"/>
      <c r="AT25" s="923">
        <v>49</v>
      </c>
      <c r="AU25" s="952" t="s">
        <v>4456</v>
      </c>
      <c r="AV25" s="924"/>
      <c r="AW25" s="923"/>
      <c r="AX25" s="923"/>
      <c r="AY25" s="923"/>
      <c r="AZ25" s="923"/>
      <c r="BA25" s="923"/>
      <c r="BB25" s="923"/>
      <c r="BC25" s="923"/>
      <c r="BD25" s="923"/>
      <c r="BE25" s="923"/>
      <c r="BF25" s="923"/>
      <c r="BG25" s="923"/>
      <c r="BH25" s="923"/>
      <c r="BI25" s="923"/>
      <c r="BJ25" s="923"/>
      <c r="BK25" s="923"/>
      <c r="BL25" s="923"/>
      <c r="BM25" s="923"/>
      <c r="BN25" s="923"/>
      <c r="BO25" s="923"/>
      <c r="BP25" s="923"/>
      <c r="BQ25" s="923"/>
      <c r="BR25" s="923"/>
      <c r="BS25" s="923"/>
      <c r="BT25" s="923"/>
      <c r="BU25" s="923"/>
      <c r="BV25" s="923"/>
      <c r="BW25" s="923"/>
      <c r="BX25" s="923"/>
      <c r="BY25" s="923"/>
      <c r="BZ25" s="923"/>
      <c r="CA25" s="923"/>
      <c r="CB25" s="923"/>
      <c r="CC25" s="923"/>
      <c r="CD25" s="923"/>
      <c r="CE25" s="923"/>
      <c r="CF25" s="923"/>
      <c r="CG25" s="923"/>
      <c r="CH25" s="923">
        <v>29</v>
      </c>
      <c r="CI25" s="966" t="s">
        <v>5024</v>
      </c>
      <c r="CJ25" s="923"/>
      <c r="CK25" s="923"/>
      <c r="CL25" s="923"/>
      <c r="CM25" s="923"/>
      <c r="CN25" s="923"/>
      <c r="CO25" s="923"/>
      <c r="CP25" s="923"/>
      <c r="CQ25" s="923"/>
      <c r="CR25" s="923"/>
      <c r="CS25" s="923"/>
      <c r="CT25" s="923"/>
      <c r="CU25" s="923"/>
      <c r="CV25" s="923">
        <v>79</v>
      </c>
      <c r="CW25" s="968" t="s">
        <v>4457</v>
      </c>
      <c r="CX25" s="923"/>
      <c r="CY25" s="923"/>
      <c r="CZ25" s="923"/>
      <c r="DA25" s="923"/>
      <c r="DB25" s="923"/>
      <c r="DC25" s="923"/>
      <c r="DD25" s="923"/>
      <c r="DE25" s="923"/>
      <c r="DF25" s="923"/>
      <c r="DG25" s="923"/>
      <c r="DH25" s="923"/>
      <c r="DI25" s="923"/>
      <c r="DJ25" s="923"/>
      <c r="DK25" s="923"/>
      <c r="DL25" s="923"/>
      <c r="DM25" s="923"/>
      <c r="DN25" s="923"/>
      <c r="DO25" s="961" t="s">
        <v>4458</v>
      </c>
      <c r="DP25" s="923">
        <v>93</v>
      </c>
      <c r="DQ25" s="945" t="s">
        <v>4459</v>
      </c>
      <c r="DR25" s="923">
        <v>62</v>
      </c>
      <c r="DS25" s="964" t="s">
        <v>5025</v>
      </c>
      <c r="DT25" s="923"/>
      <c r="DU25" s="923"/>
      <c r="DV25" s="964" t="s">
        <v>5026</v>
      </c>
      <c r="DW25" s="964" t="s">
        <v>4460</v>
      </c>
      <c r="DX25" s="923"/>
      <c r="DY25" s="923"/>
      <c r="DZ25" s="923"/>
      <c r="EA25" s="923"/>
      <c r="EB25" s="923"/>
      <c r="EC25" s="923"/>
      <c r="ED25" s="923"/>
      <c r="EE25" s="923"/>
      <c r="EF25" s="923"/>
      <c r="EG25" s="923"/>
      <c r="EH25" s="923"/>
      <c r="EI25" s="969" t="s">
        <v>4461</v>
      </c>
      <c r="EJ25" s="969" t="s">
        <v>4462</v>
      </c>
      <c r="EK25" s="923"/>
      <c r="EL25" s="923"/>
      <c r="EM25" s="923"/>
      <c r="ES25" s="970" t="s">
        <v>4745</v>
      </c>
      <c r="ET25" s="971">
        <v>250</v>
      </c>
      <c r="EU25" s="972" t="s">
        <v>4705</v>
      </c>
      <c r="EV25" s="973">
        <v>2</v>
      </c>
      <c r="EW25" s="972" t="s">
        <v>4746</v>
      </c>
      <c r="EX25" s="973">
        <v>1</v>
      </c>
      <c r="EY25" s="972" t="s">
        <v>1022</v>
      </c>
      <c r="EZ25" s="973">
        <v>2</v>
      </c>
      <c r="FA25" s="972" t="s">
        <v>1054</v>
      </c>
      <c r="FB25" s="973">
        <v>3</v>
      </c>
      <c r="FC25" s="972"/>
      <c r="FD25" s="973">
        <v>0</v>
      </c>
      <c r="FE25" s="972"/>
    </row>
    <row r="26" spans="1:161" ht="12" customHeight="1" thickBot="1">
      <c r="A26" s="922"/>
      <c r="B26" s="951">
        <v>25</v>
      </c>
      <c r="C26" s="923" t="s">
        <v>4627</v>
      </c>
      <c r="D26" s="924">
        <f ca="1">RANDBETWEEN(1,100)</f>
        <v>37</v>
      </c>
      <c r="E26" s="924">
        <f ca="1">RANDBETWEEN(1,20)</f>
        <v>16</v>
      </c>
      <c r="F26" s="924">
        <f ca="1">RANDBETWEEN(1,10)</f>
        <v>7</v>
      </c>
      <c r="H26" s="1065" t="str">
        <f ca="1">IF(H25=0,LOOKUP(E26,dNS0,gpNS0),IF(H25=1,LOOKUP(D26,déNS1,gpNS1),IF(H25=2,LOOKUP(E26,déNS2,gpNS2),IF(H25=3,LOOKUP(E26,déNS3,gpNS3),IF(H25=4,LOOKUP(E26,déNS4,gpNS4),IF(H25=5,LOOKUP(E26,déNS5,gpNS5),IF(H25=6,LOOKUP(E26,déNS6,gpNS6),IF(H25=7,LOOKUP(E26,déNS7,gpNS7),IF(H25=8,LOOKUP(E26,déNS8,gpNS8),LOOKUP(E26,déNS9,gpNS9))))))))))</f>
        <v>Mendiant </v>
      </c>
      <c r="I26" s="925"/>
      <c r="J26" s="925"/>
      <c r="K26" s="923" t="str">
        <f ca="1">C27&amp;" = "&amp;H27&amp;" "&amp;I26&amp;" "&amp;J26</f>
        <v xml:space="preserve">Nb Frères &amp; Sœurs = 9  </v>
      </c>
      <c r="O26" s="923"/>
      <c r="P26" s="923"/>
      <c r="Q26" s="923"/>
      <c r="R26" s="923"/>
      <c r="S26" s="923"/>
      <c r="T26" s="923"/>
      <c r="U26" s="925"/>
      <c r="V26" s="923"/>
      <c r="W26" s="923"/>
      <c r="X26" s="923"/>
      <c r="Y26" s="1705" t="s">
        <v>4463</v>
      </c>
      <c r="Z26" s="939" t="s">
        <v>702</v>
      </c>
      <c r="AA26" s="955" t="s">
        <v>5027</v>
      </c>
      <c r="AB26" s="935"/>
      <c r="AC26" s="935"/>
      <c r="AD26" s="935"/>
      <c r="AE26" s="923"/>
      <c r="AF26" s="923"/>
      <c r="AG26" s="923"/>
      <c r="AH26" s="923"/>
      <c r="AI26" s="923"/>
      <c r="AJ26" s="923"/>
      <c r="AL26" s="134"/>
      <c r="AM26" s="923"/>
      <c r="AN26" s="923"/>
      <c r="AO26" s="923"/>
      <c r="AP26" s="923"/>
      <c r="AQ26" s="923"/>
      <c r="AR26" s="923"/>
      <c r="AS26" s="923"/>
      <c r="AT26" s="923">
        <v>52</v>
      </c>
      <c r="AU26" s="955" t="s">
        <v>4464</v>
      </c>
      <c r="AV26" s="924"/>
      <c r="AW26" s="923"/>
      <c r="AX26" s="923"/>
      <c r="AY26" s="923"/>
      <c r="AZ26" s="923"/>
      <c r="BA26" s="923"/>
      <c r="BB26" s="923"/>
      <c r="BC26" s="923"/>
      <c r="BD26" s="923"/>
      <c r="BE26" s="923"/>
      <c r="BF26" s="923"/>
      <c r="BG26" s="923"/>
      <c r="BH26" s="923"/>
      <c r="BI26" s="923"/>
      <c r="BJ26" s="923"/>
      <c r="BK26" s="923"/>
      <c r="BL26" s="923"/>
      <c r="BM26" s="923"/>
      <c r="BN26" s="923"/>
      <c r="BO26" s="923"/>
      <c r="BP26" s="923"/>
      <c r="BQ26" s="923"/>
      <c r="BR26" s="923"/>
      <c r="BS26" s="923"/>
      <c r="BT26" s="923"/>
      <c r="BU26" s="923"/>
      <c r="BV26" s="923"/>
      <c r="BW26" s="923"/>
      <c r="BX26" s="923"/>
      <c r="BY26" s="923"/>
      <c r="BZ26" s="923"/>
      <c r="CA26" s="923"/>
      <c r="CB26" s="923"/>
      <c r="CC26" s="923"/>
      <c r="CD26" s="923"/>
      <c r="CE26" s="923"/>
      <c r="CF26" s="923"/>
      <c r="CG26" s="923"/>
      <c r="CH26" s="923">
        <v>30</v>
      </c>
      <c r="CI26" s="978" t="s">
        <v>5028</v>
      </c>
      <c r="CJ26" s="923"/>
      <c r="CK26" s="923"/>
      <c r="CL26" s="923"/>
      <c r="CM26" s="923"/>
      <c r="CN26" s="923"/>
      <c r="CO26" s="923"/>
      <c r="CP26" s="923"/>
      <c r="CQ26" s="923"/>
      <c r="CR26" s="923"/>
      <c r="CS26" s="923"/>
      <c r="CT26" s="923"/>
      <c r="CU26" s="923"/>
      <c r="CV26" s="923">
        <v>81</v>
      </c>
      <c r="CW26" s="968" t="s">
        <v>1180</v>
      </c>
      <c r="CX26" s="923"/>
      <c r="CY26" s="923"/>
      <c r="CZ26" s="923"/>
      <c r="DA26" s="923"/>
      <c r="DB26" s="923"/>
      <c r="DC26" s="923"/>
      <c r="DD26" s="923"/>
      <c r="DE26" s="923"/>
      <c r="DF26" s="923"/>
      <c r="DG26" s="923"/>
      <c r="DH26" s="923"/>
      <c r="DI26" s="923"/>
      <c r="DJ26" s="923"/>
      <c r="DK26" s="923"/>
      <c r="DL26" s="923"/>
      <c r="DM26" s="923"/>
      <c r="DN26" s="923"/>
      <c r="DO26" s="961" t="s">
        <v>4465</v>
      </c>
      <c r="DP26" s="923">
        <v>95</v>
      </c>
      <c r="DQ26" s="945" t="s">
        <v>4466</v>
      </c>
      <c r="DR26" s="923">
        <v>63</v>
      </c>
      <c r="DS26" s="921" t="s">
        <v>4467</v>
      </c>
      <c r="DT26" s="923"/>
      <c r="DU26" s="923"/>
      <c r="DV26" s="921" t="s">
        <v>4468</v>
      </c>
      <c r="DW26" s="921" t="s">
        <v>4469</v>
      </c>
      <c r="DX26" s="923"/>
      <c r="DY26" s="923"/>
      <c r="DZ26" s="923"/>
      <c r="EA26" s="923"/>
      <c r="EB26" s="923"/>
      <c r="EC26" s="923"/>
      <c r="ED26" s="923"/>
      <c r="EE26" s="923"/>
      <c r="EF26" s="923"/>
      <c r="EG26" s="923"/>
      <c r="EH26" s="923"/>
      <c r="EI26" s="923"/>
      <c r="EJ26" s="921" t="s">
        <v>4470</v>
      </c>
      <c r="EK26" s="923"/>
      <c r="EL26" s="923"/>
      <c r="EM26" s="923"/>
      <c r="ES26" s="970" t="s">
        <v>4747</v>
      </c>
      <c r="ET26" s="971">
        <v>510</v>
      </c>
      <c r="EU26" s="972" t="s">
        <v>4694</v>
      </c>
      <c r="EV26" s="973">
        <v>2</v>
      </c>
      <c r="EW26" s="972" t="s">
        <v>4711</v>
      </c>
      <c r="EX26" s="973">
        <v>1</v>
      </c>
      <c r="EY26" s="972" t="s">
        <v>4702</v>
      </c>
      <c r="EZ26" s="973">
        <v>2</v>
      </c>
      <c r="FA26" s="972" t="s">
        <v>4701</v>
      </c>
      <c r="FB26" s="973">
        <v>3</v>
      </c>
      <c r="FC26" s="972" t="s">
        <v>4748</v>
      </c>
      <c r="FD26" s="973">
        <v>2</v>
      </c>
      <c r="FE26" s="972" t="s">
        <v>4699</v>
      </c>
    </row>
    <row r="27" spans="1:161" ht="12" customHeight="1" thickBot="1">
      <c r="A27" s="922"/>
      <c r="B27" s="951">
        <v>26</v>
      </c>
      <c r="C27" s="923" t="s">
        <v>4624</v>
      </c>
      <c r="D27" s="924">
        <f ca="1">RANDBETWEEN(1,100)</f>
        <v>87</v>
      </c>
      <c r="E27" s="924"/>
      <c r="F27" s="924"/>
      <c r="G27" s="924"/>
      <c r="H27" s="925">
        <f ca="1">LOOKUP(D27,dFreSoe,gpFreSoe)</f>
        <v>9</v>
      </c>
      <c r="I27" s="975">
        <f ca="1">IF(D27&lt;92,H27,0)</f>
        <v>9</v>
      </c>
      <c r="J27" s="925"/>
      <c r="K27" s="923"/>
      <c r="O27" s="923"/>
      <c r="P27" s="923"/>
      <c r="Q27" s="923"/>
      <c r="R27" s="923"/>
      <c r="S27" s="923"/>
      <c r="T27" s="923"/>
      <c r="U27" s="925"/>
      <c r="V27" s="923"/>
      <c r="W27" s="923"/>
      <c r="X27" s="923"/>
      <c r="Y27" s="1705" t="s">
        <v>4463</v>
      </c>
      <c r="Z27" s="984" t="s">
        <v>702</v>
      </c>
      <c r="AA27" s="957" t="s">
        <v>4316</v>
      </c>
      <c r="AB27" s="959"/>
      <c r="AC27" s="959"/>
      <c r="AD27" s="959"/>
      <c r="AE27" s="923"/>
      <c r="AF27" s="923"/>
      <c r="AG27" s="923"/>
      <c r="AH27" s="923"/>
      <c r="AI27" s="923"/>
      <c r="AJ27" s="923"/>
      <c r="AK27" s="923"/>
      <c r="AL27" s="923"/>
      <c r="AM27" s="923"/>
      <c r="AN27" s="923"/>
      <c r="AO27" s="923"/>
      <c r="AP27" s="923"/>
      <c r="AQ27" s="923"/>
      <c r="AR27" s="923"/>
      <c r="AS27" s="923"/>
      <c r="AT27" s="923">
        <v>53</v>
      </c>
      <c r="AU27" s="952" t="s">
        <v>4471</v>
      </c>
      <c r="AV27" s="924"/>
      <c r="AW27" s="923"/>
      <c r="AX27" s="923"/>
      <c r="AY27" s="923"/>
      <c r="AZ27" s="923"/>
      <c r="BA27" s="923"/>
      <c r="BB27" s="923"/>
      <c r="BC27" s="923"/>
      <c r="BD27" s="923"/>
      <c r="BE27" s="923"/>
      <c r="BF27" s="923"/>
      <c r="BG27" s="923"/>
      <c r="BH27" s="923"/>
      <c r="BI27" s="923"/>
      <c r="BJ27" s="923"/>
      <c r="BK27" s="923"/>
      <c r="BL27" s="923"/>
      <c r="BM27" s="923"/>
      <c r="BN27" s="923"/>
      <c r="BO27" s="923"/>
      <c r="BP27" s="923"/>
      <c r="BQ27" s="923"/>
      <c r="BR27" s="923"/>
      <c r="BS27" s="923"/>
      <c r="BT27" s="923"/>
      <c r="BU27" s="923"/>
      <c r="BV27" s="923"/>
      <c r="BW27" s="923"/>
      <c r="BX27" s="923"/>
      <c r="BY27" s="923"/>
      <c r="BZ27" s="923"/>
      <c r="CA27" s="923"/>
      <c r="CB27" s="923"/>
      <c r="CC27" s="923"/>
      <c r="CD27" s="923"/>
      <c r="CE27" s="923"/>
      <c r="CF27" s="923"/>
      <c r="CG27" s="923"/>
      <c r="CH27" s="923">
        <v>31</v>
      </c>
      <c r="CI27" s="966" t="s">
        <v>5029</v>
      </c>
      <c r="CJ27" s="923"/>
      <c r="CK27" s="923"/>
      <c r="CL27" s="923"/>
      <c r="CM27" s="923"/>
      <c r="CN27" s="923"/>
      <c r="CO27" s="923"/>
      <c r="CP27" s="923"/>
      <c r="CQ27" s="923"/>
      <c r="CR27" s="923"/>
      <c r="CS27" s="923"/>
      <c r="CT27" s="923"/>
      <c r="CU27" s="923"/>
      <c r="CV27" s="923">
        <v>82</v>
      </c>
      <c r="CW27" s="968" t="s">
        <v>1181</v>
      </c>
      <c r="CX27" s="923"/>
      <c r="CY27" s="923"/>
      <c r="CZ27" s="923"/>
      <c r="DA27" s="923"/>
      <c r="DB27" s="923"/>
      <c r="DC27" s="923"/>
      <c r="DD27" s="923"/>
      <c r="DE27" s="923"/>
      <c r="DF27" s="923"/>
      <c r="DG27" s="923"/>
      <c r="DH27" s="923"/>
      <c r="DI27" s="923"/>
      <c r="DJ27" s="923"/>
      <c r="DK27" s="923"/>
      <c r="DL27" s="923"/>
      <c r="DM27" s="923"/>
      <c r="DN27" s="923"/>
      <c r="DO27" s="961" t="s">
        <v>4472</v>
      </c>
      <c r="DP27" s="923">
        <v>97</v>
      </c>
      <c r="DQ27" s="945" t="s">
        <v>4473</v>
      </c>
      <c r="DR27" s="923">
        <v>65</v>
      </c>
      <c r="DS27" s="964" t="s">
        <v>5030</v>
      </c>
      <c r="DT27" s="923"/>
      <c r="DU27" s="923"/>
      <c r="DV27" s="964" t="s">
        <v>4474</v>
      </c>
      <c r="DW27" s="964" t="s">
        <v>4475</v>
      </c>
      <c r="DX27" s="923"/>
      <c r="DY27" s="923"/>
      <c r="DZ27" s="923"/>
      <c r="EA27" s="923"/>
      <c r="EB27" s="923"/>
      <c r="EC27" s="923"/>
      <c r="ED27" s="923"/>
      <c r="EE27" s="923"/>
      <c r="EF27" s="923"/>
      <c r="EG27" s="923"/>
      <c r="EH27" s="923"/>
      <c r="EI27" s="923"/>
      <c r="EJ27" s="969" t="s">
        <v>5031</v>
      </c>
      <c r="EK27" s="923"/>
      <c r="EL27" s="923"/>
      <c r="EM27" s="923"/>
      <c r="ES27" s="970" t="s">
        <v>1283</v>
      </c>
      <c r="ET27" s="971">
        <v>400</v>
      </c>
      <c r="EU27" s="972" t="s">
        <v>4749</v>
      </c>
      <c r="EV27" s="973">
        <v>2</v>
      </c>
      <c r="EW27" s="972" t="s">
        <v>4694</v>
      </c>
      <c r="EX27" s="973">
        <v>3</v>
      </c>
      <c r="EY27" s="972" t="s">
        <v>87</v>
      </c>
      <c r="EZ27" s="973">
        <v>3</v>
      </c>
      <c r="FA27" s="972" t="s">
        <v>4708</v>
      </c>
      <c r="FB27" s="973">
        <v>2</v>
      </c>
      <c r="FC27" s="972" t="s">
        <v>591</v>
      </c>
      <c r="FD27" s="973">
        <v>1</v>
      </c>
      <c r="FE27" s="972" t="s">
        <v>237</v>
      </c>
    </row>
    <row r="28" spans="1:161" ht="12" customHeight="1" thickBot="1">
      <c r="A28" s="922"/>
      <c r="B28" s="951">
        <v>27</v>
      </c>
      <c r="C28" s="923" t="s">
        <v>4634</v>
      </c>
      <c r="D28" s="924"/>
      <c r="E28" s="924"/>
      <c r="F28" s="924"/>
      <c r="G28" s="924"/>
      <c r="H28" s="925">
        <f ca="1">IF(persoFreSoe&gt;0,RANDBETWEEN(1,persoFreSoe),0)</f>
        <v>7</v>
      </c>
      <c r="I28" s="925">
        <f ca="1">persoAge+(persoFreSoe-H28)*2</f>
        <v>25</v>
      </c>
      <c r="J28" s="925"/>
      <c r="K28" s="923" t="str">
        <f t="shared" ca="1" si="0"/>
        <v xml:space="preserve">Position = 7 25 </v>
      </c>
      <c r="O28" s="923"/>
      <c r="P28" s="923"/>
      <c r="Q28" s="923"/>
      <c r="R28" s="923"/>
      <c r="S28" s="923"/>
      <c r="T28" s="923"/>
      <c r="U28" s="925"/>
      <c r="V28" s="923"/>
      <c r="W28" s="923"/>
      <c r="X28" s="923"/>
      <c r="Y28" s="1705" t="s">
        <v>4463</v>
      </c>
      <c r="Z28" s="939" t="s">
        <v>702</v>
      </c>
      <c r="AA28" s="955" t="s">
        <v>5032</v>
      </c>
      <c r="AB28" s="935"/>
      <c r="AC28" s="935"/>
      <c r="AD28" s="935"/>
      <c r="AE28" s="923"/>
      <c r="AF28" s="923"/>
      <c r="AG28" s="923"/>
      <c r="AH28" s="923"/>
      <c r="AI28" s="923"/>
      <c r="AJ28" s="923"/>
      <c r="AK28" s="923"/>
      <c r="AL28" s="923"/>
      <c r="AM28" s="923"/>
      <c r="AN28" s="923"/>
      <c r="AO28" s="923"/>
      <c r="AP28" s="923"/>
      <c r="AQ28" s="923"/>
      <c r="AR28" s="923"/>
      <c r="AS28" s="923"/>
      <c r="AT28" s="923">
        <v>54</v>
      </c>
      <c r="AU28" s="955" t="s">
        <v>4476</v>
      </c>
      <c r="AV28" s="924"/>
      <c r="AW28" s="923"/>
      <c r="AX28" s="923"/>
      <c r="AY28" s="923"/>
      <c r="AZ28" s="923"/>
      <c r="BA28" s="923"/>
      <c r="BB28" s="923"/>
      <c r="BC28" s="923"/>
      <c r="BD28" s="923"/>
      <c r="BE28" s="923"/>
      <c r="BF28" s="923"/>
      <c r="BG28" s="923"/>
      <c r="BH28" s="923"/>
      <c r="BI28" s="923"/>
      <c r="BJ28" s="923"/>
      <c r="BK28" s="923"/>
      <c r="BL28" s="923"/>
      <c r="BM28" s="923"/>
      <c r="BN28" s="923"/>
      <c r="BO28" s="923"/>
      <c r="BP28" s="923"/>
      <c r="BQ28" s="923"/>
      <c r="BR28" s="923"/>
      <c r="BS28" s="923"/>
      <c r="BT28" s="923"/>
      <c r="BU28" s="923"/>
      <c r="BV28" s="923"/>
      <c r="BW28" s="923"/>
      <c r="BX28" s="923"/>
      <c r="BY28" s="923"/>
      <c r="BZ28" s="923"/>
      <c r="CA28" s="923"/>
      <c r="CB28" s="923"/>
      <c r="CC28" s="923"/>
      <c r="CD28" s="923"/>
      <c r="CE28" s="923"/>
      <c r="CF28" s="923"/>
      <c r="CG28" s="923"/>
      <c r="CH28" s="923">
        <v>33</v>
      </c>
      <c r="CI28" s="978" t="s">
        <v>5033</v>
      </c>
      <c r="CJ28" s="923"/>
      <c r="CK28" s="923"/>
      <c r="CL28" s="923"/>
      <c r="CM28" s="923"/>
      <c r="CN28" s="923"/>
      <c r="CO28" s="923"/>
      <c r="CP28" s="923"/>
      <c r="CQ28" s="923"/>
      <c r="CR28" s="923"/>
      <c r="CS28" s="923"/>
      <c r="CT28" s="923"/>
      <c r="CU28" s="923"/>
      <c r="CV28" s="923">
        <v>87</v>
      </c>
      <c r="CW28" s="968" t="s">
        <v>1182</v>
      </c>
      <c r="CX28" s="923"/>
      <c r="CY28" s="923"/>
      <c r="CZ28" s="923"/>
      <c r="DA28" s="923"/>
      <c r="DB28" s="923"/>
      <c r="DC28" s="923"/>
      <c r="DD28" s="923"/>
      <c r="DE28" s="923"/>
      <c r="DF28" s="923"/>
      <c r="DG28" s="923"/>
      <c r="DH28" s="923"/>
      <c r="DI28" s="923"/>
      <c r="DJ28" s="923"/>
      <c r="DK28" s="923"/>
      <c r="DL28" s="923"/>
      <c r="DM28" s="923"/>
      <c r="DN28" s="923"/>
      <c r="DO28" s="961" t="s">
        <v>4477</v>
      </c>
      <c r="DP28" s="923">
        <v>99</v>
      </c>
      <c r="DQ28" s="945" t="s">
        <v>5034</v>
      </c>
      <c r="DR28" s="923">
        <v>66</v>
      </c>
      <c r="DS28" s="921" t="s">
        <v>5035</v>
      </c>
      <c r="DT28" s="923"/>
      <c r="DU28" s="923"/>
      <c r="DV28" s="921" t="s">
        <v>4478</v>
      </c>
      <c r="DW28" s="921" t="s">
        <v>4479</v>
      </c>
      <c r="DX28" s="923"/>
      <c r="DY28" s="923"/>
      <c r="DZ28" s="923"/>
      <c r="EA28" s="923"/>
      <c r="EB28" s="923"/>
      <c r="EC28" s="923"/>
      <c r="ED28" s="923"/>
      <c r="EE28" s="923"/>
      <c r="EF28" s="923"/>
      <c r="EG28" s="923"/>
      <c r="EH28" s="923"/>
      <c r="EI28" s="923"/>
      <c r="EJ28" s="921" t="s">
        <v>4480</v>
      </c>
      <c r="EK28" s="923"/>
      <c r="EL28" s="923"/>
      <c r="EM28" s="923"/>
      <c r="ES28" s="970" t="s">
        <v>4750</v>
      </c>
      <c r="ET28" s="971">
        <v>440</v>
      </c>
      <c r="EU28" s="972" t="s">
        <v>152</v>
      </c>
      <c r="EV28" s="973">
        <v>2</v>
      </c>
      <c r="EW28" s="972" t="s">
        <v>4721</v>
      </c>
      <c r="EX28" s="973">
        <v>3</v>
      </c>
      <c r="EY28" s="972" t="s">
        <v>1526</v>
      </c>
      <c r="EZ28" s="973">
        <v>2</v>
      </c>
      <c r="FA28" s="972" t="s">
        <v>94</v>
      </c>
      <c r="FB28" s="973">
        <v>2</v>
      </c>
      <c r="FC28" s="972" t="s">
        <v>4694</v>
      </c>
      <c r="FD28" s="973">
        <v>2</v>
      </c>
      <c r="FE28" s="972" t="s">
        <v>167</v>
      </c>
    </row>
    <row r="29" spans="1:161" ht="12" customHeight="1" thickBot="1">
      <c r="A29" s="922"/>
      <c r="B29" s="951">
        <v>28</v>
      </c>
      <c r="C29" s="923" t="s">
        <v>4635</v>
      </c>
      <c r="D29" s="924">
        <f ca="1">RANDBETWEEN(1,10)</f>
        <v>3</v>
      </c>
      <c r="E29" s="924">
        <f ca="1">RANDBETWEEN(1,10)</f>
        <v>1</v>
      </c>
      <c r="F29" s="924"/>
      <c r="G29" s="924"/>
      <c r="H29" s="925">
        <f ca="1">I28+D29+E29+14</f>
        <v>43</v>
      </c>
      <c r="I29" s="925"/>
      <c r="J29" s="925"/>
      <c r="K29" s="923" t="str">
        <f t="shared" ca="1" si="0"/>
        <v xml:space="preserve">Age père = 43  </v>
      </c>
      <c r="O29" s="923"/>
      <c r="P29" s="923"/>
      <c r="Q29" s="923"/>
      <c r="R29" s="923"/>
      <c r="S29" s="923"/>
      <c r="T29" s="923"/>
      <c r="U29" s="925"/>
      <c r="V29" s="923"/>
      <c r="W29" s="923"/>
      <c r="X29" s="923"/>
      <c r="Y29" s="1704" t="s">
        <v>4481</v>
      </c>
      <c r="Z29" s="984" t="s">
        <v>703</v>
      </c>
      <c r="AA29" s="957" t="s">
        <v>4316</v>
      </c>
      <c r="AB29" s="959"/>
      <c r="AC29" s="959"/>
      <c r="AD29" s="959"/>
      <c r="AE29" s="923"/>
      <c r="AF29" s="923"/>
      <c r="AG29" s="923"/>
      <c r="AH29" s="923"/>
      <c r="AI29" s="923"/>
      <c r="AJ29" s="923"/>
      <c r="AK29" s="923"/>
      <c r="AL29" s="923"/>
      <c r="AM29" s="923"/>
      <c r="AN29" s="923"/>
      <c r="AO29" s="923"/>
      <c r="AP29" s="923"/>
      <c r="AQ29" s="923"/>
      <c r="AR29" s="923"/>
      <c r="AS29" s="923"/>
      <c r="AT29" s="923">
        <v>56</v>
      </c>
      <c r="AU29" s="952" t="s">
        <v>5036</v>
      </c>
      <c r="AV29" s="924"/>
      <c r="AW29" s="923"/>
      <c r="AX29" s="923"/>
      <c r="AY29" s="923"/>
      <c r="AZ29" s="923"/>
      <c r="BA29" s="923"/>
      <c r="BB29" s="923"/>
      <c r="BC29" s="923"/>
      <c r="BD29" s="923"/>
      <c r="BE29" s="923"/>
      <c r="BF29" s="923"/>
      <c r="BG29" s="923"/>
      <c r="BH29" s="923"/>
      <c r="BI29" s="923"/>
      <c r="BJ29" s="923"/>
      <c r="BK29" s="923"/>
      <c r="BL29" s="923"/>
      <c r="BM29" s="923"/>
      <c r="BN29" s="923"/>
      <c r="BO29" s="923"/>
      <c r="BP29" s="923"/>
      <c r="BQ29" s="923"/>
      <c r="BR29" s="923"/>
      <c r="BS29" s="923"/>
      <c r="BT29" s="923"/>
      <c r="BU29" s="923"/>
      <c r="BV29" s="923"/>
      <c r="BW29" s="923"/>
      <c r="BX29" s="923"/>
      <c r="BY29" s="923"/>
      <c r="BZ29" s="923"/>
      <c r="CA29" s="923"/>
      <c r="CB29" s="923"/>
      <c r="CC29" s="923"/>
      <c r="CD29" s="923"/>
      <c r="CE29" s="923"/>
      <c r="CF29" s="923"/>
      <c r="CG29" s="923"/>
      <c r="CH29" s="923">
        <v>35</v>
      </c>
      <c r="CI29" s="966" t="s">
        <v>5037</v>
      </c>
      <c r="CJ29" s="923"/>
      <c r="CK29" s="923"/>
      <c r="CL29" s="923"/>
      <c r="CM29" s="923"/>
      <c r="CN29" s="923"/>
      <c r="CO29" s="923"/>
      <c r="CP29" s="923"/>
      <c r="CQ29" s="923"/>
      <c r="CR29" s="923"/>
      <c r="CS29" s="923"/>
      <c r="CT29" s="923"/>
      <c r="CU29" s="923"/>
      <c r="CV29" s="923">
        <v>91</v>
      </c>
      <c r="CW29" s="968" t="s">
        <v>1183</v>
      </c>
      <c r="CX29" s="923"/>
      <c r="CY29" s="923"/>
      <c r="CZ29" s="923"/>
      <c r="DA29" s="923"/>
      <c r="DB29" s="923"/>
      <c r="DC29" s="923"/>
      <c r="DD29" s="923"/>
      <c r="DE29" s="923"/>
      <c r="DF29" s="923"/>
      <c r="DG29" s="923"/>
      <c r="DH29" s="923"/>
      <c r="DI29" s="923"/>
      <c r="DJ29" s="923"/>
      <c r="DK29" s="923"/>
      <c r="DL29" s="923"/>
      <c r="DM29" s="923"/>
      <c r="DN29" s="923"/>
      <c r="DO29" s="961" t="s">
        <v>4482</v>
      </c>
      <c r="DP29" s="923"/>
      <c r="DQ29" s="921"/>
      <c r="DR29" s="923">
        <v>67</v>
      </c>
      <c r="DS29" s="964" t="s">
        <v>5038</v>
      </c>
      <c r="DT29" s="923"/>
      <c r="DU29" s="923"/>
      <c r="DV29" s="964" t="s">
        <v>5039</v>
      </c>
      <c r="DW29" s="964" t="s">
        <v>4483</v>
      </c>
      <c r="DX29" s="923"/>
      <c r="DY29" s="923"/>
      <c r="DZ29" s="923"/>
      <c r="EA29" s="923"/>
      <c r="EB29" s="923"/>
      <c r="EC29" s="923"/>
      <c r="ED29" s="923"/>
      <c r="EE29" s="923"/>
      <c r="EF29" s="923"/>
      <c r="EG29" s="923"/>
      <c r="EH29" s="923"/>
      <c r="EI29" s="923"/>
      <c r="EJ29" s="969" t="s">
        <v>4484</v>
      </c>
      <c r="EK29" s="923"/>
      <c r="EL29" s="923"/>
      <c r="EM29" s="923"/>
      <c r="ES29" s="970" t="s">
        <v>1163</v>
      </c>
      <c r="ET29" s="971">
        <v>210</v>
      </c>
      <c r="EU29" s="972" t="s">
        <v>4743</v>
      </c>
      <c r="EV29" s="973">
        <v>2</v>
      </c>
      <c r="EW29" s="972" t="s">
        <v>4742</v>
      </c>
      <c r="EX29" s="989">
        <v>2</v>
      </c>
      <c r="EY29" s="972" t="s">
        <v>4705</v>
      </c>
      <c r="EZ29" s="973">
        <v>1</v>
      </c>
      <c r="FA29" s="972" t="s">
        <v>2016</v>
      </c>
      <c r="FB29" s="973">
        <v>1</v>
      </c>
      <c r="FC29" s="972" t="s">
        <v>237</v>
      </c>
      <c r="FD29" s="973">
        <v>1</v>
      </c>
      <c r="FE29" s="972"/>
    </row>
    <row r="30" spans="1:161" ht="12" customHeight="1" thickBot="1">
      <c r="A30" s="922"/>
      <c r="B30" s="951">
        <v>29</v>
      </c>
      <c r="C30" s="923" t="s">
        <v>4636</v>
      </c>
      <c r="D30" s="924">
        <f ca="1">RANDBETWEEN(1,10)</f>
        <v>4</v>
      </c>
      <c r="E30" s="924">
        <f ca="1">RANDBETWEEN(1,10)</f>
        <v>6</v>
      </c>
      <c r="F30" s="924"/>
      <c r="G30" s="924"/>
      <c r="H30" s="925">
        <f ca="1">I28+D30+E30+12</f>
        <v>47</v>
      </c>
      <c r="I30" s="925"/>
      <c r="J30" s="925"/>
      <c r="K30" s="923" t="str">
        <f t="shared" ca="1" si="0"/>
        <v xml:space="preserve">Age mère = 47  </v>
      </c>
      <c r="O30" s="923"/>
      <c r="P30" s="923"/>
      <c r="Q30" s="923"/>
      <c r="R30" s="923"/>
      <c r="S30" s="923"/>
      <c r="T30" s="923"/>
      <c r="U30" s="925"/>
      <c r="V30" s="923"/>
      <c r="W30" s="923"/>
      <c r="X30" s="923"/>
      <c r="Y30" s="1704" t="s">
        <v>4481</v>
      </c>
      <c r="Z30" s="939" t="s">
        <v>703</v>
      </c>
      <c r="AA30" s="955" t="s">
        <v>5040</v>
      </c>
      <c r="AB30" s="935"/>
      <c r="AC30" s="935"/>
      <c r="AD30" s="935"/>
      <c r="AE30" s="923"/>
      <c r="AF30" s="923"/>
      <c r="AG30" s="923"/>
      <c r="AH30" s="923"/>
      <c r="AI30" s="923"/>
      <c r="AJ30" s="923"/>
      <c r="AK30" s="923"/>
      <c r="AL30" s="923"/>
      <c r="AM30" s="923"/>
      <c r="AN30" s="923"/>
      <c r="AO30" s="923"/>
      <c r="AP30" s="923"/>
      <c r="AQ30" s="923"/>
      <c r="AR30" s="923"/>
      <c r="AS30" s="923"/>
      <c r="AT30" s="923">
        <v>58</v>
      </c>
      <c r="AU30" s="955" t="s">
        <v>4485</v>
      </c>
      <c r="AV30" s="924"/>
      <c r="AW30" s="923"/>
      <c r="AX30" s="923"/>
      <c r="AY30" s="923"/>
      <c r="AZ30" s="923"/>
      <c r="BA30" s="923"/>
      <c r="BB30" s="923"/>
      <c r="BC30" s="923"/>
      <c r="BD30" s="923"/>
      <c r="BE30" s="923"/>
      <c r="BF30" s="923"/>
      <c r="BG30" s="923"/>
      <c r="BH30" s="923"/>
      <c r="BI30" s="923"/>
      <c r="BJ30" s="923"/>
      <c r="BK30" s="923"/>
      <c r="BL30" s="923"/>
      <c r="BM30" s="923"/>
      <c r="BN30" s="923"/>
      <c r="BO30" s="923"/>
      <c r="BP30" s="923"/>
      <c r="BQ30" s="923"/>
      <c r="BR30" s="923"/>
      <c r="BS30" s="923"/>
      <c r="BT30" s="923"/>
      <c r="BU30" s="923"/>
      <c r="BV30" s="923"/>
      <c r="BW30" s="923"/>
      <c r="BX30" s="923"/>
      <c r="BY30" s="923"/>
      <c r="BZ30" s="923"/>
      <c r="CA30" s="923"/>
      <c r="CB30" s="923"/>
      <c r="CC30" s="923"/>
      <c r="CD30" s="923"/>
      <c r="CE30" s="923"/>
      <c r="CF30" s="923"/>
      <c r="CG30" s="923"/>
      <c r="CH30" s="923">
        <v>36</v>
      </c>
      <c r="CI30" s="978" t="s">
        <v>5041</v>
      </c>
      <c r="CJ30" s="923"/>
      <c r="CK30" s="923"/>
      <c r="CL30" s="923"/>
      <c r="CM30" s="923"/>
      <c r="CN30" s="923"/>
      <c r="CO30" s="923"/>
      <c r="CP30" s="923"/>
      <c r="CQ30" s="923"/>
      <c r="CR30" s="923"/>
      <c r="CS30" s="923"/>
      <c r="CT30" s="923"/>
      <c r="CU30" s="923"/>
      <c r="CV30" s="923">
        <v>94</v>
      </c>
      <c r="CW30" s="968" t="s">
        <v>1184</v>
      </c>
      <c r="CX30" s="923"/>
      <c r="CY30" s="923"/>
      <c r="CZ30" s="923"/>
      <c r="DA30" s="923"/>
      <c r="DB30" s="923"/>
      <c r="DC30" s="923"/>
      <c r="DD30" s="923"/>
      <c r="DE30" s="923"/>
      <c r="DF30" s="923"/>
      <c r="DG30" s="923"/>
      <c r="DH30" s="923"/>
      <c r="DI30" s="923"/>
      <c r="DJ30" s="923"/>
      <c r="DK30" s="923"/>
      <c r="DL30" s="923"/>
      <c r="DM30" s="923"/>
      <c r="DN30" s="923"/>
      <c r="DO30" s="961" t="s">
        <v>4486</v>
      </c>
      <c r="DP30" s="923"/>
      <c r="DQ30" s="990"/>
      <c r="DR30" s="923">
        <v>68</v>
      </c>
      <c r="DS30" s="921" t="s">
        <v>5042</v>
      </c>
      <c r="DT30" s="923"/>
      <c r="DU30" s="923"/>
      <c r="DV30" s="921" t="s">
        <v>4487</v>
      </c>
      <c r="DW30" s="921" t="s">
        <v>5043</v>
      </c>
      <c r="DX30" s="923"/>
      <c r="DY30" s="923"/>
      <c r="DZ30" s="923"/>
      <c r="EA30" s="923"/>
      <c r="EB30" s="923"/>
      <c r="EC30" s="923"/>
      <c r="ED30" s="923"/>
      <c r="EE30" s="923"/>
      <c r="EF30" s="923"/>
      <c r="EG30" s="923"/>
      <c r="EH30" s="923"/>
      <c r="EI30" s="923"/>
      <c r="EJ30" s="921" t="s">
        <v>4488</v>
      </c>
      <c r="EK30" s="923"/>
      <c r="EL30" s="923"/>
      <c r="EM30" s="923"/>
      <c r="ES30" s="970" t="s">
        <v>4751</v>
      </c>
      <c r="ET30" s="971">
        <v>310</v>
      </c>
      <c r="EU30" s="972" t="s">
        <v>4700</v>
      </c>
      <c r="EV30" s="973">
        <v>3</v>
      </c>
      <c r="EW30" s="972" t="s">
        <v>4752</v>
      </c>
      <c r="EX30" s="973">
        <v>2</v>
      </c>
      <c r="EY30" s="972" t="s">
        <v>4753</v>
      </c>
      <c r="EZ30" s="973">
        <v>2</v>
      </c>
      <c r="FA30" s="972" t="s">
        <v>4754</v>
      </c>
      <c r="FB30" s="973">
        <v>1</v>
      </c>
      <c r="FC30" s="972" t="s">
        <v>4742</v>
      </c>
      <c r="FD30" s="973">
        <v>1</v>
      </c>
      <c r="FE30" s="972" t="s">
        <v>280</v>
      </c>
    </row>
    <row r="31" spans="1:161" ht="12" customHeight="1" thickBot="1">
      <c r="A31" s="922"/>
      <c r="B31" s="951">
        <v>30</v>
      </c>
      <c r="C31" s="923" t="s">
        <v>4639</v>
      </c>
      <c r="D31" s="924">
        <f ca="1">RANDBETWEEN(1,100)</f>
        <v>97</v>
      </c>
      <c r="E31" s="924">
        <f ca="1">RANDBETWEEN(1,100)</f>
        <v>60</v>
      </c>
      <c r="F31" s="924"/>
      <c r="G31" s="924"/>
      <c r="H31" s="925" t="str">
        <f ca="1">IF(D31&lt;H29+11,"mort","vivant")</f>
        <v>vivant</v>
      </c>
      <c r="I31" s="925" t="str">
        <f ca="1">IF(E31&lt;H30+11,"morte","vivante")</f>
        <v>vivante</v>
      </c>
      <c r="J31" s="925"/>
      <c r="K31" s="923" t="str">
        <f t="shared" ca="1" si="0"/>
        <v xml:space="preserve">Morts père mère = vivant vivante </v>
      </c>
      <c r="O31" s="923"/>
      <c r="P31" s="923"/>
      <c r="Q31" s="923"/>
      <c r="R31" s="923"/>
      <c r="S31" s="923"/>
      <c r="T31" s="923"/>
      <c r="U31" s="925"/>
      <c r="V31" s="923"/>
      <c r="W31" s="923"/>
      <c r="X31" s="923"/>
      <c r="Y31" s="1704" t="s">
        <v>4481</v>
      </c>
      <c r="Z31" s="984" t="s">
        <v>703</v>
      </c>
      <c r="AA31" s="957" t="s">
        <v>4316</v>
      </c>
      <c r="AB31" s="959"/>
      <c r="AC31" s="959"/>
      <c r="AD31" s="959"/>
      <c r="AE31" s="923"/>
      <c r="AF31" s="923"/>
      <c r="AG31" s="923"/>
      <c r="AH31" s="923"/>
      <c r="AI31" s="923"/>
      <c r="AJ31" s="923"/>
      <c r="AK31" s="923"/>
      <c r="AL31" s="923"/>
      <c r="AM31" s="923"/>
      <c r="AN31" s="923"/>
      <c r="AO31" s="923"/>
      <c r="AP31" s="923"/>
      <c r="AQ31" s="923"/>
      <c r="AR31" s="923"/>
      <c r="AS31" s="923"/>
      <c r="AT31" s="923">
        <v>61</v>
      </c>
      <c r="AU31" s="952" t="s">
        <v>4489</v>
      </c>
      <c r="AV31" s="924"/>
      <c r="AW31" s="923"/>
      <c r="AX31" s="923"/>
      <c r="AY31" s="923"/>
      <c r="AZ31" s="923"/>
      <c r="BA31" s="923"/>
      <c r="BB31" s="923"/>
      <c r="BC31" s="923"/>
      <c r="BD31" s="923"/>
      <c r="BE31" s="923"/>
      <c r="BF31" s="923"/>
      <c r="BG31" s="923"/>
      <c r="BH31" s="923"/>
      <c r="BI31" s="923"/>
      <c r="BJ31" s="923"/>
      <c r="BK31" s="923"/>
      <c r="BL31" s="923"/>
      <c r="BM31" s="923"/>
      <c r="BN31" s="923"/>
      <c r="BO31" s="923"/>
      <c r="BP31" s="923"/>
      <c r="BQ31" s="923"/>
      <c r="BR31" s="923"/>
      <c r="BS31" s="923"/>
      <c r="BT31" s="923"/>
      <c r="BU31" s="923"/>
      <c r="BV31" s="923"/>
      <c r="BW31" s="923"/>
      <c r="BX31" s="923"/>
      <c r="BY31" s="923"/>
      <c r="BZ31" s="923"/>
      <c r="CA31" s="923"/>
      <c r="CB31" s="923"/>
      <c r="CC31" s="923"/>
      <c r="CD31" s="923"/>
      <c r="CE31" s="923"/>
      <c r="CF31" s="923"/>
      <c r="CG31" s="923"/>
      <c r="CH31" s="923">
        <v>37</v>
      </c>
      <c r="CI31" s="966" t="s">
        <v>5044</v>
      </c>
      <c r="CJ31" s="923"/>
      <c r="CK31" s="923"/>
      <c r="CL31" s="923"/>
      <c r="CM31" s="923"/>
      <c r="CN31" s="923"/>
      <c r="CO31" s="923"/>
      <c r="CP31" s="923"/>
      <c r="CQ31" s="923"/>
      <c r="CR31" s="923"/>
      <c r="CS31" s="923"/>
      <c r="CT31" s="923"/>
      <c r="CU31" s="923"/>
      <c r="CV31" s="923">
        <v>95</v>
      </c>
      <c r="CW31" s="968" t="s">
        <v>1185</v>
      </c>
      <c r="CX31" s="923"/>
      <c r="CY31" s="923"/>
      <c r="CZ31" s="923"/>
      <c r="DA31" s="923"/>
      <c r="DB31" s="923"/>
      <c r="DC31" s="923"/>
      <c r="DD31" s="923"/>
      <c r="DE31" s="923"/>
      <c r="DF31" s="923"/>
      <c r="DG31" s="923"/>
      <c r="DH31" s="923"/>
      <c r="DI31" s="923"/>
      <c r="DJ31" s="923"/>
      <c r="DK31" s="923"/>
      <c r="DL31" s="923"/>
      <c r="DM31" s="923"/>
      <c r="DN31" s="923"/>
      <c r="DO31" s="961" t="s">
        <v>4490</v>
      </c>
      <c r="DP31" s="923"/>
      <c r="DQ31" s="964"/>
      <c r="DR31" s="923">
        <v>70</v>
      </c>
      <c r="DS31" s="964" t="s">
        <v>5045</v>
      </c>
      <c r="DT31" s="923"/>
      <c r="DU31" s="923"/>
      <c r="DV31" s="964" t="s">
        <v>4491</v>
      </c>
      <c r="DW31" s="964" t="s">
        <v>4492</v>
      </c>
      <c r="DX31" s="923"/>
      <c r="DY31" s="923"/>
      <c r="DZ31" s="923"/>
      <c r="EA31" s="923"/>
      <c r="EB31" s="923"/>
      <c r="EC31" s="923"/>
      <c r="ED31" s="923"/>
      <c r="EE31" s="923"/>
      <c r="EF31" s="923"/>
      <c r="EG31" s="923"/>
      <c r="EH31" s="923"/>
      <c r="EI31" s="923"/>
      <c r="EJ31" s="969" t="s">
        <v>4493</v>
      </c>
      <c r="EK31" s="923"/>
      <c r="EL31" s="923"/>
      <c r="EM31" s="923"/>
      <c r="ES31" s="970" t="s">
        <v>4755</v>
      </c>
      <c r="ET31" s="971">
        <v>180</v>
      </c>
      <c r="EU31" s="972" t="s">
        <v>4753</v>
      </c>
      <c r="EV31" s="973">
        <v>1</v>
      </c>
      <c r="EW31" s="972" t="s">
        <v>4724</v>
      </c>
      <c r="EX31" s="973">
        <v>3</v>
      </c>
      <c r="EY31" s="972" t="s">
        <v>1022</v>
      </c>
      <c r="EZ31" s="973">
        <v>3</v>
      </c>
      <c r="FA31" s="972" t="s">
        <v>4752</v>
      </c>
      <c r="FB31" s="973">
        <v>2</v>
      </c>
      <c r="FC31" s="972"/>
      <c r="FD31" s="973">
        <v>0</v>
      </c>
      <c r="FE31" s="972"/>
    </row>
    <row r="32" spans="1:161" ht="12" customHeight="1" thickBot="1">
      <c r="A32" s="922"/>
      <c r="B32" s="951">
        <v>31</v>
      </c>
      <c r="C32" s="923" t="s">
        <v>4637</v>
      </c>
      <c r="D32" s="924">
        <f ca="1">RANDBETWEEN(1,6)-RANDBETWEEN(1,6)</f>
        <v>-4</v>
      </c>
      <c r="E32" s="924"/>
      <c r="F32" s="924"/>
      <c r="G32" s="924"/>
      <c r="H32" s="925">
        <f ca="1">ROUND((persoBMpere*H29/10)/(H28+1),0)</f>
        <v>11</v>
      </c>
      <c r="I32" s="925"/>
      <c r="J32" s="925"/>
      <c r="K32" s="923" t="str">
        <f t="shared" ca="1" si="0"/>
        <v xml:space="preserve">Héritage = 11  </v>
      </c>
      <c r="O32" s="923"/>
      <c r="P32" s="923"/>
      <c r="Q32" s="923"/>
      <c r="R32" s="923"/>
      <c r="S32" s="923"/>
      <c r="T32" s="923"/>
      <c r="U32" s="925"/>
      <c r="V32" s="923"/>
      <c r="W32" s="923"/>
      <c r="X32" s="923"/>
      <c r="Y32" s="1071"/>
      <c r="Z32" s="923"/>
      <c r="AA32" s="923"/>
      <c r="AB32" s="923"/>
      <c r="AC32" s="923"/>
      <c r="AD32" s="923"/>
      <c r="AE32" s="923"/>
      <c r="AF32" s="923"/>
      <c r="AG32" s="923"/>
      <c r="AH32" s="923"/>
      <c r="AI32" s="923"/>
      <c r="AJ32" s="923"/>
      <c r="AK32" s="923"/>
      <c r="AL32" s="923"/>
      <c r="AM32" s="923"/>
      <c r="AN32" s="923"/>
      <c r="AO32" s="923"/>
      <c r="AP32" s="923"/>
      <c r="AQ32" s="923"/>
      <c r="AR32" s="923"/>
      <c r="AS32" s="923"/>
      <c r="AT32" s="923">
        <v>63</v>
      </c>
      <c r="AU32" s="955" t="s">
        <v>4494</v>
      </c>
      <c r="AV32" s="924"/>
      <c r="AW32" s="923"/>
      <c r="AX32" s="923"/>
      <c r="AY32" s="923"/>
      <c r="AZ32" s="923"/>
      <c r="BA32" s="923"/>
      <c r="BB32" s="923"/>
      <c r="BC32" s="923"/>
      <c r="BD32" s="923"/>
      <c r="BE32" s="923"/>
      <c r="BF32" s="923"/>
      <c r="BG32" s="923"/>
      <c r="BH32" s="923"/>
      <c r="BI32" s="923"/>
      <c r="BJ32" s="923"/>
      <c r="BK32" s="923"/>
      <c r="BL32" s="923"/>
      <c r="BM32" s="923"/>
      <c r="BN32" s="923"/>
      <c r="BO32" s="923"/>
      <c r="BP32" s="923"/>
      <c r="BQ32" s="923"/>
      <c r="BR32" s="923"/>
      <c r="BS32" s="923"/>
      <c r="BT32" s="923"/>
      <c r="BU32" s="923"/>
      <c r="BV32" s="923"/>
      <c r="BW32" s="923"/>
      <c r="BX32" s="923"/>
      <c r="BY32" s="923"/>
      <c r="BZ32" s="923"/>
      <c r="CA32" s="923"/>
      <c r="CB32" s="923"/>
      <c r="CC32" s="923"/>
      <c r="CD32" s="923"/>
      <c r="CE32" s="923"/>
      <c r="CF32" s="923"/>
      <c r="CG32" s="923"/>
      <c r="CH32" s="923">
        <v>38</v>
      </c>
      <c r="CI32" s="978" t="s">
        <v>5046</v>
      </c>
      <c r="CJ32" s="923"/>
      <c r="CK32" s="923"/>
      <c r="CL32" s="923"/>
      <c r="CM32" s="923"/>
      <c r="CN32" s="923"/>
      <c r="CO32" s="923"/>
      <c r="CP32" s="923"/>
      <c r="CQ32" s="923"/>
      <c r="CR32" s="923"/>
      <c r="CS32" s="923"/>
      <c r="CT32" s="923"/>
      <c r="CU32" s="923"/>
      <c r="CV32" s="923">
        <v>96</v>
      </c>
      <c r="CW32" s="968" t="s">
        <v>1186</v>
      </c>
      <c r="CX32" s="923"/>
      <c r="CY32" s="923"/>
      <c r="CZ32" s="923"/>
      <c r="DA32" s="923"/>
      <c r="DB32" s="923"/>
      <c r="DC32" s="923"/>
      <c r="DD32" s="923"/>
      <c r="DE32" s="923"/>
      <c r="DF32" s="923"/>
      <c r="DG32" s="923"/>
      <c r="DH32" s="923"/>
      <c r="DI32" s="923"/>
      <c r="DJ32" s="923"/>
      <c r="DK32" s="923"/>
      <c r="DL32" s="923"/>
      <c r="DM32" s="923"/>
      <c r="DN32" s="923"/>
      <c r="DO32" s="961" t="s">
        <v>4495</v>
      </c>
      <c r="DP32" s="923"/>
      <c r="DQ32" s="921"/>
      <c r="DR32" s="923">
        <v>72</v>
      </c>
      <c r="DS32" s="921" t="s">
        <v>5047</v>
      </c>
      <c r="DT32" s="923"/>
      <c r="DU32" s="923"/>
      <c r="DV32" s="921" t="s">
        <v>4496</v>
      </c>
      <c r="DW32" s="921" t="s">
        <v>4497</v>
      </c>
      <c r="DX32" s="923"/>
      <c r="DY32" s="923"/>
      <c r="DZ32" s="923"/>
      <c r="EA32" s="923"/>
      <c r="EB32" s="923"/>
      <c r="EC32" s="923"/>
      <c r="ED32" s="923"/>
      <c r="EE32" s="923"/>
      <c r="EF32" s="923"/>
      <c r="EG32" s="923"/>
      <c r="EH32" s="923"/>
      <c r="EI32" s="923"/>
      <c r="EJ32" s="921" t="s">
        <v>4498</v>
      </c>
      <c r="EK32" s="923"/>
      <c r="EL32" s="923"/>
      <c r="EM32" s="923"/>
      <c r="ES32" s="970" t="s">
        <v>1193</v>
      </c>
      <c r="ET32" s="971">
        <v>330</v>
      </c>
      <c r="EU32" s="972" t="s">
        <v>621</v>
      </c>
      <c r="EV32" s="973">
        <v>3</v>
      </c>
      <c r="EW32" s="972" t="s">
        <v>1022</v>
      </c>
      <c r="EX32" s="973">
        <v>2</v>
      </c>
      <c r="EY32" s="972" t="s">
        <v>4756</v>
      </c>
      <c r="EZ32" s="973">
        <v>3</v>
      </c>
      <c r="FA32" s="980" t="s">
        <v>4757</v>
      </c>
      <c r="FB32" s="973">
        <v>2</v>
      </c>
      <c r="FC32" s="972" t="s">
        <v>4709</v>
      </c>
      <c r="FD32" s="973">
        <v>1</v>
      </c>
      <c r="FE32" s="972" t="s">
        <v>4758</v>
      </c>
    </row>
    <row r="33" spans="1:161" ht="12" customHeight="1" thickBot="1">
      <c r="A33" s="922"/>
      <c r="B33" s="951">
        <v>32</v>
      </c>
      <c r="C33" s="923" t="s">
        <v>4638</v>
      </c>
      <c r="D33" s="924">
        <f ca="1">LOOKUP(RANDBETWEEN(1,100),dNSFreSoe,gpNSfreSoe)</f>
        <v>0</v>
      </c>
      <c r="E33" s="924">
        <f ca="1">LOOKUP(RANDBETWEEN(1,100),dNSFreSoe,gpNSfreSoe)</f>
        <v>0</v>
      </c>
      <c r="F33" s="924">
        <f ca="1">LOOKUP(RANDBETWEEN(1,100),dNSFreSoe,gpNSfreSoe)</f>
        <v>-4</v>
      </c>
      <c r="G33" s="924">
        <f ca="1">LOOKUP(RANDBETWEEN(1,100),dNSFreSoe,gpNSfreSoe)</f>
        <v>-2</v>
      </c>
      <c r="H33" s="925"/>
      <c r="I33" s="925"/>
      <c r="J33" s="925"/>
      <c r="K33" s="923" t="str">
        <f t="shared" si="0"/>
        <v xml:space="preserve">NS mère, frè soe =   </v>
      </c>
      <c r="O33" s="923"/>
      <c r="P33" s="923"/>
      <c r="Q33" s="923"/>
      <c r="R33" s="923"/>
      <c r="S33" s="923"/>
      <c r="T33" s="923"/>
      <c r="U33" s="925"/>
      <c r="V33" s="923"/>
      <c r="W33" s="923"/>
      <c r="X33" s="923"/>
      <c r="Y33" s="1071"/>
      <c r="Z33" s="923"/>
      <c r="AA33" s="923"/>
      <c r="AB33" s="923"/>
      <c r="AC33" s="923"/>
      <c r="AD33" s="923"/>
      <c r="AE33" s="923"/>
      <c r="AF33" s="923"/>
      <c r="AG33" s="923"/>
      <c r="AH33" s="923"/>
      <c r="AI33" s="923"/>
      <c r="AJ33" s="923"/>
      <c r="AK33" s="923"/>
      <c r="AL33" s="923"/>
      <c r="AM33" s="923"/>
      <c r="AN33" s="923"/>
      <c r="AO33" s="923"/>
      <c r="AP33" s="923"/>
      <c r="AQ33" s="923"/>
      <c r="AR33" s="923"/>
      <c r="AS33" s="923"/>
      <c r="AT33" s="923">
        <v>65</v>
      </c>
      <c r="AU33" s="952" t="s">
        <v>5048</v>
      </c>
      <c r="AV33" s="924"/>
      <c r="AW33" s="923"/>
      <c r="AX33" s="923"/>
      <c r="AY33" s="923"/>
      <c r="AZ33" s="923"/>
      <c r="BA33" s="923"/>
      <c r="BB33" s="923"/>
      <c r="BC33" s="923"/>
      <c r="BD33" s="923"/>
      <c r="BE33" s="923"/>
      <c r="BF33" s="923"/>
      <c r="BG33" s="923"/>
      <c r="BH33" s="923"/>
      <c r="BI33" s="923"/>
      <c r="BJ33" s="923"/>
      <c r="BK33" s="923"/>
      <c r="BL33" s="923"/>
      <c r="BM33" s="923"/>
      <c r="BN33" s="923"/>
      <c r="BO33" s="923"/>
      <c r="BP33" s="923"/>
      <c r="BQ33" s="923"/>
      <c r="BR33" s="923"/>
      <c r="BS33" s="923"/>
      <c r="BT33" s="923"/>
      <c r="BU33" s="923"/>
      <c r="BV33" s="923"/>
      <c r="BW33" s="923"/>
      <c r="BX33" s="923"/>
      <c r="BY33" s="923"/>
      <c r="BZ33" s="923"/>
      <c r="CA33" s="923"/>
      <c r="CB33" s="923"/>
      <c r="CC33" s="923"/>
      <c r="CD33" s="923"/>
      <c r="CE33" s="923"/>
      <c r="CF33" s="923"/>
      <c r="CG33" s="923"/>
      <c r="CH33" s="923">
        <v>39</v>
      </c>
      <c r="CI33" s="966" t="s">
        <v>5049</v>
      </c>
      <c r="CJ33" s="923"/>
      <c r="CK33" s="923"/>
      <c r="CL33" s="923"/>
      <c r="CM33" s="923"/>
      <c r="CN33" s="923"/>
      <c r="CO33" s="923"/>
      <c r="CP33" s="923"/>
      <c r="CQ33" s="923"/>
      <c r="CR33" s="923"/>
      <c r="CS33" s="923"/>
      <c r="CT33" s="923"/>
      <c r="CU33" s="923"/>
      <c r="CV33" s="923">
        <v>97</v>
      </c>
      <c r="CW33" s="968" t="s">
        <v>1187</v>
      </c>
      <c r="CX33" s="923"/>
      <c r="CY33" s="923"/>
      <c r="CZ33" s="923"/>
      <c r="DA33" s="923"/>
      <c r="DB33" s="923"/>
      <c r="DC33" s="923"/>
      <c r="DD33" s="923"/>
      <c r="DE33" s="923"/>
      <c r="DF33" s="923"/>
      <c r="DG33" s="923"/>
      <c r="DH33" s="923"/>
      <c r="DI33" s="923"/>
      <c r="DJ33" s="923"/>
      <c r="DK33" s="923"/>
      <c r="DL33" s="923"/>
      <c r="DM33" s="923"/>
      <c r="DN33" s="923"/>
      <c r="DO33" s="961" t="s">
        <v>4499</v>
      </c>
      <c r="DP33" s="923"/>
      <c r="DQ33" s="990"/>
      <c r="DR33" s="923">
        <v>74</v>
      </c>
      <c r="DS33" s="964" t="s">
        <v>4500</v>
      </c>
      <c r="DT33" s="923"/>
      <c r="DU33" s="923"/>
      <c r="DV33" s="964" t="s">
        <v>5050</v>
      </c>
      <c r="DW33" s="964" t="s">
        <v>4501</v>
      </c>
      <c r="DX33" s="923"/>
      <c r="DY33" s="923"/>
      <c r="DZ33" s="923"/>
      <c r="EA33" s="923"/>
      <c r="EB33" s="923"/>
      <c r="EC33" s="923"/>
      <c r="ED33" s="923"/>
      <c r="EE33" s="923"/>
      <c r="EF33" s="923"/>
      <c r="EG33" s="923"/>
      <c r="EH33" s="923"/>
      <c r="EI33" s="923"/>
      <c r="EJ33" s="923"/>
      <c r="EK33" s="923"/>
      <c r="EL33" s="923"/>
      <c r="EM33" s="923"/>
      <c r="ES33" s="970" t="s">
        <v>4759</v>
      </c>
      <c r="ET33" s="971">
        <v>430</v>
      </c>
      <c r="EU33" s="972" t="s">
        <v>4684</v>
      </c>
      <c r="EV33" s="973">
        <v>2</v>
      </c>
      <c r="EW33" s="972" t="s">
        <v>87</v>
      </c>
      <c r="EX33" s="973">
        <v>2</v>
      </c>
      <c r="EY33" s="972" t="s">
        <v>237</v>
      </c>
      <c r="EZ33" s="973">
        <v>2</v>
      </c>
      <c r="FA33" s="980" t="s">
        <v>303</v>
      </c>
      <c r="FB33" s="973">
        <v>1</v>
      </c>
      <c r="FC33" s="972" t="s">
        <v>4760</v>
      </c>
      <c r="FD33" s="973">
        <v>1</v>
      </c>
      <c r="FE33" s="972"/>
    </row>
    <row r="34" spans="1:161" ht="12" customHeight="1" thickBot="1">
      <c r="A34" s="922"/>
      <c r="B34" s="951">
        <v>33</v>
      </c>
      <c r="C34" s="923" t="s">
        <v>4640</v>
      </c>
      <c r="D34" s="924" t="str">
        <f ca="1">IF(RANDBETWEEN(1,100)&lt;(persoAge-15)*4,"oui","non")</f>
        <v>non</v>
      </c>
      <c r="E34" s="924" t="str">
        <f ca="1">IF(RANDBETWEEN(1,100)&lt;(persoAge-15)*4,"oui","non")</f>
        <v>non</v>
      </c>
      <c r="F34" s="924" t="str">
        <f ca="1">IF(RANDBETWEEN(1,100)&lt;(persoAge-15)*4,"oui","non")</f>
        <v>non</v>
      </c>
      <c r="G34" s="924" t="str">
        <f ca="1">IF(RANDBETWEEN(1,100)&lt;(persoAge-15)*4,"oui","non")</f>
        <v>non</v>
      </c>
      <c r="H34" s="925"/>
      <c r="I34" s="925"/>
      <c r="J34" s="925"/>
      <c r="K34" s="923" t="str">
        <f t="shared" si="0"/>
        <v xml:space="preserve">Mariage fre soe =   </v>
      </c>
      <c r="O34" s="923"/>
      <c r="P34" s="923"/>
      <c r="Q34" s="923"/>
      <c r="R34" s="923"/>
      <c r="S34" s="923"/>
      <c r="T34" s="923"/>
      <c r="U34" s="925"/>
      <c r="V34" s="923"/>
      <c r="W34" s="923"/>
      <c r="X34" s="923"/>
      <c r="Y34" s="1071"/>
      <c r="Z34" s="923"/>
      <c r="AA34" s="923"/>
      <c r="AB34" s="923"/>
      <c r="AC34" s="923"/>
      <c r="AD34" s="923"/>
      <c r="AE34" s="923"/>
      <c r="AF34" s="923"/>
      <c r="AG34" s="923"/>
      <c r="AH34" s="923"/>
      <c r="AI34" s="923"/>
      <c r="AJ34" s="923"/>
      <c r="AK34" s="923"/>
      <c r="AL34" s="923"/>
      <c r="AM34" s="923"/>
      <c r="AN34" s="923"/>
      <c r="AO34" s="923"/>
      <c r="AP34" s="923"/>
      <c r="AQ34" s="923"/>
      <c r="AR34" s="923"/>
      <c r="AS34" s="923"/>
      <c r="AT34" s="923">
        <v>66</v>
      </c>
      <c r="AU34" s="955" t="s">
        <v>4502</v>
      </c>
      <c r="AV34" s="924"/>
      <c r="AW34" s="923"/>
      <c r="AX34" s="923"/>
      <c r="AY34" s="923"/>
      <c r="AZ34" s="923"/>
      <c r="BA34" s="923"/>
      <c r="BB34" s="923"/>
      <c r="BC34" s="923"/>
      <c r="BD34" s="923"/>
      <c r="BE34" s="923"/>
      <c r="BF34" s="923"/>
      <c r="BG34" s="923"/>
      <c r="BH34" s="923"/>
      <c r="BI34" s="923"/>
      <c r="BJ34" s="923"/>
      <c r="BK34" s="923"/>
      <c r="BL34" s="923"/>
      <c r="BM34" s="923"/>
      <c r="BN34" s="923"/>
      <c r="BO34" s="923"/>
      <c r="BP34" s="923"/>
      <c r="BQ34" s="923"/>
      <c r="BR34" s="923"/>
      <c r="BS34" s="923"/>
      <c r="BT34" s="923"/>
      <c r="BU34" s="923"/>
      <c r="BV34" s="923"/>
      <c r="BW34" s="923"/>
      <c r="BX34" s="923"/>
      <c r="BY34" s="923"/>
      <c r="BZ34" s="923"/>
      <c r="CA34" s="923"/>
      <c r="CB34" s="923"/>
      <c r="CC34" s="923"/>
      <c r="CD34" s="923"/>
      <c r="CE34" s="923"/>
      <c r="CF34" s="923"/>
      <c r="CG34" s="923"/>
      <c r="CH34" s="923">
        <v>40</v>
      </c>
      <c r="CI34" s="978" t="s">
        <v>5051</v>
      </c>
      <c r="CJ34" s="923"/>
      <c r="CK34" s="923"/>
      <c r="CL34" s="923"/>
      <c r="CM34" s="923"/>
      <c r="CN34" s="923"/>
      <c r="CO34" s="923"/>
      <c r="CP34" s="923"/>
      <c r="CQ34" s="923"/>
      <c r="CR34" s="923"/>
      <c r="CS34" s="923"/>
      <c r="CT34" s="923"/>
      <c r="CU34" s="923"/>
      <c r="CV34" s="923">
        <v>98</v>
      </c>
      <c r="CW34" s="968" t="s">
        <v>1188</v>
      </c>
      <c r="CX34" s="923"/>
      <c r="CY34" s="923"/>
      <c r="CZ34" s="923"/>
      <c r="DA34" s="923"/>
      <c r="DB34" s="923"/>
      <c r="DC34" s="923"/>
      <c r="DD34" s="923"/>
      <c r="DE34" s="923"/>
      <c r="DF34" s="923"/>
      <c r="DG34" s="923"/>
      <c r="DH34" s="923"/>
      <c r="DI34" s="923"/>
      <c r="DJ34" s="923"/>
      <c r="DK34" s="923"/>
      <c r="DL34" s="923"/>
      <c r="DM34" s="923"/>
      <c r="DN34" s="923"/>
      <c r="DO34" s="961" t="s">
        <v>4503</v>
      </c>
      <c r="DP34" s="923"/>
      <c r="DQ34" s="964"/>
      <c r="DR34" s="923">
        <v>76</v>
      </c>
      <c r="DS34" s="921" t="s">
        <v>5052</v>
      </c>
      <c r="DT34" s="923"/>
      <c r="DU34" s="923"/>
      <c r="DV34" s="921" t="s">
        <v>4504</v>
      </c>
      <c r="DW34" s="921" t="s">
        <v>4505</v>
      </c>
      <c r="DX34" s="923"/>
      <c r="DY34" s="923"/>
      <c r="DZ34" s="923"/>
      <c r="EA34" s="923"/>
      <c r="EB34" s="923"/>
      <c r="EC34" s="923"/>
      <c r="ED34" s="923"/>
      <c r="EE34" s="923"/>
      <c r="EF34" s="923"/>
      <c r="EG34" s="923"/>
      <c r="EH34" s="923"/>
      <c r="EI34" s="923"/>
      <c r="EJ34" s="923"/>
      <c r="EK34" s="923"/>
      <c r="EL34" s="923"/>
      <c r="EM34" s="923"/>
      <c r="ES34" s="970" t="s">
        <v>2180</v>
      </c>
      <c r="ET34" s="971">
        <v>570</v>
      </c>
      <c r="EU34" s="972" t="s">
        <v>4761</v>
      </c>
      <c r="EV34" s="973">
        <v>3</v>
      </c>
      <c r="EW34" s="980" t="s">
        <v>4720</v>
      </c>
      <c r="EX34" s="973">
        <v>2</v>
      </c>
      <c r="EY34" s="972" t="s">
        <v>2285</v>
      </c>
      <c r="EZ34" s="973">
        <v>2</v>
      </c>
      <c r="FA34" s="980" t="s">
        <v>4731</v>
      </c>
      <c r="FB34" s="973">
        <v>2</v>
      </c>
      <c r="FC34" s="980" t="s">
        <v>4762</v>
      </c>
      <c r="FD34" s="973">
        <v>2</v>
      </c>
      <c r="FE34" s="980" t="s">
        <v>4720</v>
      </c>
    </row>
    <row r="35" spans="1:161" ht="12" customHeight="1" thickBot="1">
      <c r="A35" s="922"/>
      <c r="B35" s="951">
        <v>34</v>
      </c>
      <c r="C35" s="923" t="s">
        <v>4641</v>
      </c>
      <c r="D35" s="924" t="str">
        <f ca="1">IF(RANDBETWEEN(1,100)&lt;(persoAge-15),"oui","non")</f>
        <v>non</v>
      </c>
      <c r="E35" s="924"/>
      <c r="F35" s="924"/>
      <c r="G35" s="924"/>
      <c r="H35" s="925"/>
      <c r="I35" s="925"/>
      <c r="K35" s="923"/>
      <c r="O35" s="923"/>
      <c r="P35" s="923"/>
      <c r="Q35" s="923"/>
      <c r="R35" s="923"/>
      <c r="S35" s="923"/>
      <c r="T35" s="923"/>
      <c r="U35" s="925"/>
      <c r="V35" s="923"/>
      <c r="W35" s="923"/>
      <c r="X35" s="923"/>
      <c r="Y35" s="1071"/>
      <c r="Z35" s="923"/>
      <c r="AA35" s="923"/>
      <c r="AB35" s="923"/>
      <c r="AC35" s="923"/>
      <c r="AD35" s="923"/>
      <c r="AE35" s="923"/>
      <c r="AF35" s="923"/>
      <c r="AG35" s="923"/>
      <c r="AH35" s="923"/>
      <c r="AI35" s="923"/>
      <c r="AJ35" s="923"/>
      <c r="AK35" s="923"/>
      <c r="AL35" s="923"/>
      <c r="AM35" s="923"/>
      <c r="AN35" s="923"/>
      <c r="AO35" s="923"/>
      <c r="AP35" s="923"/>
      <c r="AQ35" s="923"/>
      <c r="AR35" s="923"/>
      <c r="AS35" s="923"/>
      <c r="AT35" s="923">
        <v>67</v>
      </c>
      <c r="AU35" s="952" t="s">
        <v>5053</v>
      </c>
      <c r="AV35" s="924"/>
      <c r="AW35" s="923"/>
      <c r="AX35" s="923"/>
      <c r="AY35" s="923"/>
      <c r="AZ35" s="923"/>
      <c r="BA35" s="923"/>
      <c r="BB35" s="923"/>
      <c r="BC35" s="923"/>
      <c r="BD35" s="923"/>
      <c r="BE35" s="923"/>
      <c r="BF35" s="923"/>
      <c r="BG35" s="923"/>
      <c r="BH35" s="923"/>
      <c r="BI35" s="923"/>
      <c r="BJ35" s="923"/>
      <c r="BK35" s="923"/>
      <c r="BL35" s="923"/>
      <c r="BM35" s="923"/>
      <c r="BN35" s="923"/>
      <c r="BO35" s="923"/>
      <c r="BP35" s="923"/>
      <c r="BQ35" s="923"/>
      <c r="BR35" s="923"/>
      <c r="BS35" s="923"/>
      <c r="BT35" s="923"/>
      <c r="BU35" s="923"/>
      <c r="BV35" s="923"/>
      <c r="BW35" s="923"/>
      <c r="BX35" s="923"/>
      <c r="BY35" s="923"/>
      <c r="BZ35" s="923"/>
      <c r="CA35" s="923"/>
      <c r="CB35" s="923"/>
      <c r="CC35" s="923"/>
      <c r="CD35" s="923"/>
      <c r="CE35" s="923"/>
      <c r="CF35" s="923"/>
      <c r="CG35" s="923"/>
      <c r="CH35" s="923">
        <v>41</v>
      </c>
      <c r="CI35" s="966" t="s">
        <v>5054</v>
      </c>
      <c r="CJ35" s="923"/>
      <c r="CK35" s="923"/>
      <c r="CL35" s="923"/>
      <c r="CM35" s="923"/>
      <c r="CN35" s="923"/>
      <c r="CO35" s="923"/>
      <c r="CP35" s="923"/>
      <c r="CQ35" s="923"/>
      <c r="CR35" s="923"/>
      <c r="CS35" s="923"/>
      <c r="CT35" s="923"/>
      <c r="CU35" s="923"/>
      <c r="CV35" s="923">
        <v>99</v>
      </c>
      <c r="CW35" s="968" t="s">
        <v>1189</v>
      </c>
      <c r="CX35" s="923"/>
      <c r="CY35" s="923"/>
      <c r="CZ35" s="923"/>
      <c r="DA35" s="923"/>
      <c r="DB35" s="923"/>
      <c r="DC35" s="923"/>
      <c r="DD35" s="923"/>
      <c r="DE35" s="923"/>
      <c r="DF35" s="923"/>
      <c r="DG35" s="923"/>
      <c r="DH35" s="923"/>
      <c r="DI35" s="923"/>
      <c r="DJ35" s="923"/>
      <c r="DK35" s="923"/>
      <c r="DL35" s="923"/>
      <c r="DM35" s="923"/>
      <c r="DN35" s="923"/>
      <c r="DO35" s="961" t="s">
        <v>4506</v>
      </c>
      <c r="DP35" s="923"/>
      <c r="DQ35" s="921"/>
      <c r="DR35" s="923">
        <v>77</v>
      </c>
      <c r="DS35" s="964" t="s">
        <v>5055</v>
      </c>
      <c r="DT35" s="923"/>
      <c r="DU35" s="923"/>
      <c r="DV35" s="964" t="s">
        <v>4507</v>
      </c>
      <c r="DW35" s="964" t="s">
        <v>4508</v>
      </c>
      <c r="DX35" s="923"/>
      <c r="DY35" s="923"/>
      <c r="DZ35" s="923"/>
      <c r="EA35" s="923"/>
      <c r="EB35" s="923"/>
      <c r="EC35" s="923"/>
      <c r="ED35" s="923"/>
      <c r="EE35" s="923"/>
      <c r="EF35" s="923"/>
      <c r="EG35" s="923"/>
      <c r="EH35" s="923"/>
      <c r="EI35" s="923"/>
      <c r="EJ35" s="923"/>
      <c r="EK35" s="923"/>
      <c r="EL35" s="923"/>
      <c r="EM35" s="923"/>
      <c r="ES35" s="970" t="s">
        <v>1165</v>
      </c>
      <c r="ET35" s="971">
        <v>150</v>
      </c>
      <c r="EU35" s="972" t="s">
        <v>4704</v>
      </c>
      <c r="EV35" s="973">
        <v>2</v>
      </c>
      <c r="EW35" s="972" t="s">
        <v>87</v>
      </c>
      <c r="EX35" s="973">
        <v>1</v>
      </c>
      <c r="EY35" s="972" t="s">
        <v>4722</v>
      </c>
      <c r="EZ35" s="973">
        <v>2</v>
      </c>
      <c r="FA35" s="972" t="s">
        <v>1526</v>
      </c>
      <c r="FB35" s="973">
        <v>3</v>
      </c>
      <c r="FC35" s="972" t="s">
        <v>1022</v>
      </c>
      <c r="FD35" s="973">
        <v>2</v>
      </c>
      <c r="FE35" s="972"/>
    </row>
    <row r="36" spans="1:161" ht="12" customHeight="1" thickBot="1">
      <c r="A36" s="922"/>
      <c r="B36" s="951">
        <v>35</v>
      </c>
      <c r="C36" s="923" t="s">
        <v>4642</v>
      </c>
      <c r="D36" s="924">
        <f t="shared" ref="D36:D42" ca="1" si="2">RANDBETWEEN(1,100)</f>
        <v>2</v>
      </c>
      <c r="E36" s="924"/>
      <c r="F36" s="924"/>
      <c r="G36" s="924"/>
      <c r="H36" s="925" t="str">
        <f ca="1">LOOKUP(D36,dRelation,gpRelation)</f>
        <v>Rejeté : ignoré / attaqué par les membres du clan / de la famille(d3) : NS-5 BM-5 Foi-2</v>
      </c>
      <c r="I36" s="925"/>
      <c r="J36" s="925"/>
      <c r="K36" s="923" t="str">
        <f t="shared" ca="1" si="0"/>
        <v xml:space="preserve">Relation Famille = Rejeté : ignoré / attaqué par les membres du clan / de la famille(d3) : NS-5 BM-5 Foi-2  </v>
      </c>
      <c r="O36" s="923"/>
      <c r="P36" s="923"/>
      <c r="Q36" s="923"/>
      <c r="R36" s="923"/>
      <c r="S36" s="923"/>
      <c r="T36" s="923"/>
      <c r="U36" s="925"/>
      <c r="V36" s="923"/>
      <c r="W36" s="923"/>
      <c r="X36" s="923"/>
      <c r="Y36" s="1071"/>
      <c r="Z36" s="923"/>
      <c r="AA36" s="923"/>
      <c r="AB36" s="923"/>
      <c r="AC36" s="923"/>
      <c r="AD36" s="923"/>
      <c r="AE36" s="923"/>
      <c r="AF36" s="923"/>
      <c r="AG36" s="923"/>
      <c r="AH36" s="923"/>
      <c r="AI36" s="923"/>
      <c r="AJ36" s="923"/>
      <c r="AK36" s="923"/>
      <c r="AL36" s="923"/>
      <c r="AM36" s="923"/>
      <c r="AN36" s="923"/>
      <c r="AO36" s="923"/>
      <c r="AP36" s="923"/>
      <c r="AQ36" s="923"/>
      <c r="AR36" s="923"/>
      <c r="AS36" s="923"/>
      <c r="AT36" s="923">
        <v>68</v>
      </c>
      <c r="AU36" s="955" t="s">
        <v>4509</v>
      </c>
      <c r="AV36" s="924"/>
      <c r="AW36" s="923"/>
      <c r="AX36" s="923"/>
      <c r="AY36" s="923"/>
      <c r="AZ36" s="923"/>
      <c r="BA36" s="923"/>
      <c r="BB36" s="923"/>
      <c r="BC36" s="923"/>
      <c r="BD36" s="923"/>
      <c r="BE36" s="923"/>
      <c r="BF36" s="923"/>
      <c r="BG36" s="923"/>
      <c r="BH36" s="923"/>
      <c r="BI36" s="923"/>
      <c r="BJ36" s="923"/>
      <c r="BK36" s="923"/>
      <c r="BL36" s="923"/>
      <c r="BM36" s="923"/>
      <c r="BN36" s="923"/>
      <c r="BO36" s="923"/>
      <c r="BP36" s="923"/>
      <c r="BQ36" s="923"/>
      <c r="BR36" s="923"/>
      <c r="BS36" s="923"/>
      <c r="BT36" s="923"/>
      <c r="BU36" s="923"/>
      <c r="BV36" s="923"/>
      <c r="BW36" s="923"/>
      <c r="BX36" s="923"/>
      <c r="BY36" s="923"/>
      <c r="BZ36" s="923"/>
      <c r="CA36" s="923"/>
      <c r="CB36" s="923"/>
      <c r="CC36" s="923"/>
      <c r="CD36" s="923"/>
      <c r="CE36" s="923"/>
      <c r="CF36" s="923"/>
      <c r="CG36" s="923"/>
      <c r="CH36" s="923">
        <v>42</v>
      </c>
      <c r="CI36" s="978" t="s">
        <v>5056</v>
      </c>
      <c r="CJ36" s="923"/>
      <c r="CK36" s="923"/>
      <c r="CL36" s="923"/>
      <c r="CM36" s="923"/>
      <c r="CN36" s="923"/>
      <c r="CO36" s="923"/>
      <c r="CP36" s="923"/>
      <c r="CQ36" s="923"/>
      <c r="CR36" s="923"/>
      <c r="CS36" s="923"/>
      <c r="CT36" s="923"/>
      <c r="CU36" s="923"/>
      <c r="CV36" s="923">
        <v>100</v>
      </c>
      <c r="CW36" s="968" t="s">
        <v>1190</v>
      </c>
      <c r="CX36" s="923"/>
      <c r="CY36" s="923"/>
      <c r="CZ36" s="923"/>
      <c r="DA36" s="923"/>
      <c r="DB36" s="923"/>
      <c r="DC36" s="923"/>
      <c r="DD36" s="923"/>
      <c r="DE36" s="923"/>
      <c r="DF36" s="923"/>
      <c r="DG36" s="923"/>
      <c r="DH36" s="923"/>
      <c r="DI36" s="923"/>
      <c r="DJ36" s="923"/>
      <c r="DK36" s="923"/>
      <c r="DL36" s="923"/>
      <c r="DM36" s="923"/>
      <c r="DN36" s="923"/>
      <c r="DO36" s="961" t="s">
        <v>4510</v>
      </c>
      <c r="DP36" s="923"/>
      <c r="DQ36" s="990"/>
      <c r="DR36" s="923">
        <v>78</v>
      </c>
      <c r="DS36" s="921" t="s">
        <v>4511</v>
      </c>
      <c r="DT36" s="923"/>
      <c r="DU36" s="923"/>
      <c r="DV36" s="921" t="s">
        <v>5057</v>
      </c>
      <c r="DW36" s="921" t="s">
        <v>5058</v>
      </c>
      <c r="DX36" s="923"/>
      <c r="DY36" s="923"/>
      <c r="DZ36" s="923"/>
      <c r="EA36" s="923"/>
      <c r="EB36" s="923"/>
      <c r="EC36" s="923"/>
      <c r="ED36" s="923"/>
      <c r="EE36" s="923"/>
      <c r="EF36" s="923"/>
      <c r="EG36" s="923"/>
      <c r="EH36" s="923"/>
      <c r="EI36" s="923"/>
      <c r="EJ36" s="923"/>
      <c r="EK36" s="923"/>
      <c r="EL36" s="923"/>
      <c r="EM36" s="923"/>
      <c r="ES36" s="970" t="s">
        <v>4763</v>
      </c>
      <c r="ET36" s="971">
        <v>490</v>
      </c>
      <c r="EU36" s="972" t="s">
        <v>2033</v>
      </c>
      <c r="EV36" s="973">
        <v>2</v>
      </c>
      <c r="EW36" s="972" t="s">
        <v>4694</v>
      </c>
      <c r="EX36" s="973">
        <v>2</v>
      </c>
      <c r="EY36" s="972" t="s">
        <v>4711</v>
      </c>
      <c r="EZ36" s="973">
        <v>2</v>
      </c>
      <c r="FA36" s="972" t="s">
        <v>4693</v>
      </c>
      <c r="FB36" s="973">
        <v>1</v>
      </c>
      <c r="FC36" s="972" t="s">
        <v>4764</v>
      </c>
      <c r="FD36" s="973">
        <v>1</v>
      </c>
      <c r="FE36" s="972" t="s">
        <v>94</v>
      </c>
    </row>
    <row r="37" spans="1:161" ht="12" customHeight="1" thickBot="1">
      <c r="A37" s="922"/>
      <c r="B37" s="951">
        <v>36</v>
      </c>
      <c r="C37" s="923" t="s">
        <v>4643</v>
      </c>
      <c r="D37" s="924">
        <f t="shared" ca="1" si="2"/>
        <v>90</v>
      </c>
      <c r="E37" s="924"/>
      <c r="F37" s="924"/>
      <c r="G37" s="924"/>
      <c r="H37" s="925" t="str">
        <f ca="1">LOOKUP(D37,dSituation,gpSituation1)</f>
        <v>Rejetée</v>
      </c>
      <c r="I37" s="925" t="str">
        <f ca="1">LOOKUP(D37,dSituation,gpSituation2)</f>
        <v>Ayant fui sa région d’origine : NS(père)x5% d’avoir un ennemi puissant</v>
      </c>
      <c r="J37" s="925"/>
      <c r="K37" s="923" t="str">
        <f t="shared" ca="1" si="0"/>
        <v xml:space="preserve">Situation Famille = Rejetée Ayant fui sa région d’origine : NS(père)x5% d’avoir un ennemi puissant </v>
      </c>
      <c r="O37" s="923"/>
      <c r="P37" s="923"/>
      <c r="Q37" s="923"/>
      <c r="R37" s="923"/>
      <c r="S37" s="923"/>
      <c r="T37" s="923"/>
      <c r="U37" s="925"/>
      <c r="V37" s="923"/>
      <c r="W37" s="923"/>
      <c r="X37" s="923"/>
      <c r="Y37" s="1071"/>
      <c r="Z37" s="923"/>
      <c r="AA37" s="923"/>
      <c r="AB37" s="923"/>
      <c r="AC37" s="923"/>
      <c r="AD37" s="923"/>
      <c r="AE37" s="923"/>
      <c r="AF37" s="923"/>
      <c r="AG37" s="923"/>
      <c r="AH37" s="923"/>
      <c r="AI37" s="923"/>
      <c r="AJ37" s="923"/>
      <c r="AK37" s="923"/>
      <c r="AL37" s="923"/>
      <c r="AM37" s="923"/>
      <c r="AN37" s="923"/>
      <c r="AO37" s="923"/>
      <c r="AP37" s="923"/>
      <c r="AQ37" s="923"/>
      <c r="AR37" s="923"/>
      <c r="AS37" s="923"/>
      <c r="AT37" s="923">
        <v>69</v>
      </c>
      <c r="AU37" s="952" t="s">
        <v>4512</v>
      </c>
      <c r="AV37" s="924"/>
      <c r="AW37" s="923"/>
      <c r="AX37" s="923"/>
      <c r="AY37" s="923"/>
      <c r="AZ37" s="923"/>
      <c r="BA37" s="923"/>
      <c r="BB37" s="923"/>
      <c r="BC37" s="923"/>
      <c r="BD37" s="923"/>
      <c r="BE37" s="923"/>
      <c r="BF37" s="923"/>
      <c r="BG37" s="923"/>
      <c r="BH37" s="923"/>
      <c r="BI37" s="923"/>
      <c r="BJ37" s="923"/>
      <c r="BK37" s="923"/>
      <c r="BL37" s="923"/>
      <c r="BM37" s="923"/>
      <c r="BN37" s="923"/>
      <c r="BO37" s="923"/>
      <c r="BP37" s="923"/>
      <c r="BQ37" s="923"/>
      <c r="BR37" s="923"/>
      <c r="BS37" s="923"/>
      <c r="BT37" s="923"/>
      <c r="BU37" s="923"/>
      <c r="BV37" s="923"/>
      <c r="BW37" s="923"/>
      <c r="BX37" s="923"/>
      <c r="BY37" s="923"/>
      <c r="BZ37" s="923"/>
      <c r="CA37" s="923"/>
      <c r="CB37" s="923"/>
      <c r="CC37" s="923"/>
      <c r="CD37" s="923"/>
      <c r="CE37" s="923"/>
      <c r="CF37" s="923"/>
      <c r="CG37" s="923"/>
      <c r="CH37" s="923">
        <v>43</v>
      </c>
      <c r="CI37" s="966" t="s">
        <v>5059</v>
      </c>
      <c r="CJ37" s="923"/>
      <c r="CK37" s="923"/>
      <c r="CL37" s="923"/>
      <c r="CM37" s="923"/>
      <c r="CN37" s="923"/>
      <c r="CO37" s="923"/>
      <c r="CP37" s="923"/>
      <c r="CQ37" s="923"/>
      <c r="CR37" s="923"/>
      <c r="CS37" s="923"/>
      <c r="CT37" s="923"/>
      <c r="CU37" s="923"/>
      <c r="CV37" s="923"/>
      <c r="CW37" s="923"/>
      <c r="CX37" s="923"/>
      <c r="CY37" s="923"/>
      <c r="CZ37" s="923"/>
      <c r="DA37" s="923"/>
      <c r="DB37" s="923"/>
      <c r="DC37" s="923"/>
      <c r="DD37" s="923"/>
      <c r="DE37" s="923"/>
      <c r="DF37" s="923"/>
      <c r="DG37" s="923"/>
      <c r="DH37" s="923"/>
      <c r="DI37" s="923"/>
      <c r="DJ37" s="923"/>
      <c r="DK37" s="923"/>
      <c r="DL37" s="923"/>
      <c r="DM37" s="923"/>
      <c r="DN37" s="923"/>
      <c r="DO37" s="961" t="s">
        <v>4513</v>
      </c>
      <c r="DP37" s="923"/>
      <c r="DQ37" s="964"/>
      <c r="DR37" s="923">
        <v>79</v>
      </c>
      <c r="DS37" s="964" t="s">
        <v>4514</v>
      </c>
      <c r="DT37" s="923"/>
      <c r="DU37" s="923"/>
      <c r="DV37" s="964" t="s">
        <v>4515</v>
      </c>
      <c r="DW37" s="964" t="s">
        <v>5060</v>
      </c>
      <c r="DX37" s="923"/>
      <c r="DY37" s="923"/>
      <c r="DZ37" s="923"/>
      <c r="EA37" s="923"/>
      <c r="EB37" s="923"/>
      <c r="EC37" s="923"/>
      <c r="ED37" s="923"/>
      <c r="EE37" s="923"/>
      <c r="EF37" s="923"/>
      <c r="EG37" s="923"/>
      <c r="EH37" s="923"/>
      <c r="EI37" s="923"/>
      <c r="EJ37" s="923"/>
      <c r="EK37" s="923"/>
      <c r="EL37" s="923"/>
      <c r="EM37" s="923"/>
      <c r="ES37" s="970" t="s">
        <v>4765</v>
      </c>
      <c r="ET37" s="971">
        <v>140</v>
      </c>
      <c r="EU37" s="972" t="s">
        <v>4724</v>
      </c>
      <c r="EV37" s="973">
        <v>2</v>
      </c>
      <c r="EW37" s="972" t="s">
        <v>1022</v>
      </c>
      <c r="EX37" s="973">
        <v>2</v>
      </c>
      <c r="EY37" s="972" t="s">
        <v>1526</v>
      </c>
      <c r="EZ37" s="973">
        <v>2</v>
      </c>
      <c r="FA37" s="972" t="s">
        <v>4722</v>
      </c>
      <c r="FB37" s="973">
        <v>2</v>
      </c>
      <c r="FC37" s="972" t="s">
        <v>4752</v>
      </c>
      <c r="FD37" s="973">
        <v>2</v>
      </c>
      <c r="FE37" s="972"/>
    </row>
    <row r="38" spans="1:161" ht="12" customHeight="1" thickBot="1">
      <c r="A38" s="922"/>
      <c r="B38" s="951">
        <v>37</v>
      </c>
      <c r="C38" s="923" t="s">
        <v>4644</v>
      </c>
      <c r="D38" s="924">
        <f t="shared" ca="1" si="2"/>
        <v>26</v>
      </c>
      <c r="E38" s="924">
        <f ca="1">RANDBETWEEN(1,100)</f>
        <v>66</v>
      </c>
      <c r="F38" s="924">
        <f ca="1">RANDBETWEEN(1,10)</f>
        <v>7</v>
      </c>
      <c r="G38" s="924"/>
      <c r="H38" s="925" t="str">
        <f ca="1">IF(D38&lt;(persoAge*2)+10,LOOKUP(E38,dMedical,gpMedical)," ")</f>
        <v>Rien mais CS-2</v>
      </c>
      <c r="I38" s="925"/>
      <c r="J38" s="925" t="str">
        <f ca="1">IF(D38&lt;(persoAge*2)+10,LOOKUP(F38,dIntensite,gpIntensite)," ")</f>
        <v>Moyenne</v>
      </c>
      <c r="K38" s="923" t="str">
        <f t="shared" ca="1" si="0"/>
        <v>Médical = Rien mais CS-2  Moyenne</v>
      </c>
      <c r="O38" s="923"/>
      <c r="P38" s="923"/>
      <c r="Q38" s="923"/>
      <c r="R38" s="923"/>
      <c r="S38" s="923"/>
      <c r="T38" s="923"/>
      <c r="U38" s="925"/>
      <c r="V38" s="923"/>
      <c r="W38" s="923"/>
      <c r="X38" s="923"/>
      <c r="Y38" s="1071"/>
      <c r="Z38" s="923"/>
      <c r="AA38" s="923"/>
      <c r="AB38" s="923"/>
      <c r="AC38" s="923"/>
      <c r="AD38" s="923"/>
      <c r="AE38" s="923"/>
      <c r="AF38" s="923"/>
      <c r="AG38" s="923"/>
      <c r="AH38" s="923"/>
      <c r="AI38" s="923"/>
      <c r="AJ38" s="923"/>
      <c r="AK38" s="923"/>
      <c r="AL38" s="923"/>
      <c r="AM38" s="923"/>
      <c r="AN38" s="923"/>
      <c r="AO38" s="923"/>
      <c r="AP38" s="923"/>
      <c r="AQ38" s="923"/>
      <c r="AR38" s="923"/>
      <c r="AS38" s="923"/>
      <c r="AT38" s="923">
        <v>71</v>
      </c>
      <c r="AU38" s="955" t="s">
        <v>4516</v>
      </c>
      <c r="AV38" s="924"/>
      <c r="AW38" s="923"/>
      <c r="AX38" s="923"/>
      <c r="AY38" s="923"/>
      <c r="AZ38" s="923"/>
      <c r="BA38" s="923"/>
      <c r="BB38" s="923"/>
      <c r="BC38" s="923"/>
      <c r="BD38" s="923"/>
      <c r="BE38" s="923"/>
      <c r="BF38" s="923"/>
      <c r="BG38" s="923"/>
      <c r="BH38" s="923"/>
      <c r="BI38" s="923"/>
      <c r="BJ38" s="923"/>
      <c r="BK38" s="923"/>
      <c r="BL38" s="923"/>
      <c r="BM38" s="923"/>
      <c r="BN38" s="923"/>
      <c r="BO38" s="923"/>
      <c r="BP38" s="923"/>
      <c r="BQ38" s="923"/>
      <c r="BR38" s="923"/>
      <c r="BS38" s="923"/>
      <c r="BT38" s="923"/>
      <c r="BU38" s="923"/>
      <c r="BV38" s="923"/>
      <c r="BW38" s="923"/>
      <c r="BX38" s="923"/>
      <c r="BY38" s="923"/>
      <c r="BZ38" s="923"/>
      <c r="CA38" s="923"/>
      <c r="CB38" s="923"/>
      <c r="CC38" s="923"/>
      <c r="CD38" s="923"/>
      <c r="CE38" s="923"/>
      <c r="CF38" s="923"/>
      <c r="CG38" s="923"/>
      <c r="CH38" s="923">
        <v>44</v>
      </c>
      <c r="CI38" s="978" t="s">
        <v>5061</v>
      </c>
      <c r="CJ38" s="923"/>
      <c r="CK38" s="923"/>
      <c r="CL38" s="923"/>
      <c r="CM38" s="923"/>
      <c r="CN38" s="923"/>
      <c r="CO38" s="923"/>
      <c r="CP38" s="923"/>
      <c r="CQ38" s="923"/>
      <c r="CR38" s="923"/>
      <c r="CS38" s="923"/>
      <c r="CT38" s="923"/>
      <c r="CU38" s="923"/>
      <c r="CV38" s="923"/>
      <c r="CW38" s="923"/>
      <c r="CX38" s="923"/>
      <c r="CY38" s="923"/>
      <c r="CZ38" s="923"/>
      <c r="DA38" s="923"/>
      <c r="DB38" s="923"/>
      <c r="DC38" s="923"/>
      <c r="DD38" s="923"/>
      <c r="DE38" s="923"/>
      <c r="DF38" s="923"/>
      <c r="DG38" s="923"/>
      <c r="DH38" s="923"/>
      <c r="DI38" s="923"/>
      <c r="DJ38" s="923"/>
      <c r="DK38" s="923"/>
      <c r="DL38" s="923"/>
      <c r="DM38" s="923"/>
      <c r="DN38" s="923"/>
      <c r="DO38" s="961" t="s">
        <v>4517</v>
      </c>
      <c r="DP38" s="923"/>
      <c r="DQ38" s="921"/>
      <c r="DR38" s="923">
        <v>81</v>
      </c>
      <c r="DS38" s="921" t="s">
        <v>4518</v>
      </c>
      <c r="DT38" s="923"/>
      <c r="DU38" s="923"/>
      <c r="DV38" s="921" t="s">
        <v>4519</v>
      </c>
      <c r="DW38" s="921" t="s">
        <v>4520</v>
      </c>
      <c r="DX38" s="923"/>
      <c r="DY38" s="923"/>
      <c r="DZ38" s="923"/>
      <c r="EA38" s="923"/>
      <c r="EB38" s="923"/>
      <c r="EC38" s="923"/>
      <c r="ED38" s="923"/>
      <c r="EE38" s="923"/>
      <c r="EF38" s="923"/>
      <c r="EG38" s="923"/>
      <c r="EH38" s="923"/>
      <c r="EI38" s="923"/>
      <c r="EJ38" s="923"/>
      <c r="EK38" s="923"/>
      <c r="EL38" s="923"/>
      <c r="EM38" s="923"/>
      <c r="ES38" s="970" t="s">
        <v>4766</v>
      </c>
      <c r="ET38" s="971">
        <v>620</v>
      </c>
      <c r="EU38" s="972" t="s">
        <v>4693</v>
      </c>
      <c r="EV38" s="973">
        <v>3</v>
      </c>
      <c r="EW38" s="972" t="s">
        <v>94</v>
      </c>
      <c r="EX38" s="973">
        <v>2</v>
      </c>
      <c r="EY38" s="972" t="s">
        <v>4694</v>
      </c>
      <c r="EZ38" s="973">
        <v>2</v>
      </c>
      <c r="FA38" s="972" t="s">
        <v>4729</v>
      </c>
      <c r="FB38" s="973">
        <v>1</v>
      </c>
      <c r="FC38" s="972" t="s">
        <v>4725</v>
      </c>
      <c r="FD38" s="973">
        <v>2</v>
      </c>
      <c r="FE38" s="972" t="s">
        <v>4764</v>
      </c>
    </row>
    <row r="39" spans="1:161" ht="12" customHeight="1" thickBot="1">
      <c r="A39" s="922"/>
      <c r="B39" s="951">
        <v>38</v>
      </c>
      <c r="C39" s="923" t="s">
        <v>4645</v>
      </c>
      <c r="D39" s="924">
        <f t="shared" ca="1" si="2"/>
        <v>96</v>
      </c>
      <c r="E39" s="924">
        <f ca="1">RANDBETWEEN(1,100)</f>
        <v>28</v>
      </c>
      <c r="F39" s="924">
        <f ca="1">RANDBETWEEN(1,10)</f>
        <v>7</v>
      </c>
      <c r="G39" s="924"/>
      <c r="H39" s="925" t="str">
        <f ca="1">IF(D39&lt;(persoAge*2)+6,LOOKUP(E39,dPsychologie,gpPsychologie)," ")</f>
        <v xml:space="preserve"> </v>
      </c>
      <c r="I39" s="925"/>
      <c r="J39" s="925" t="str">
        <f ca="1">IF(D39&lt;(persoAge*2)+6,LOOKUP(F39,dIntensite,gpIntensite)," ")</f>
        <v xml:space="preserve"> </v>
      </c>
      <c r="K39" s="923" t="str">
        <f t="shared" ca="1" si="0"/>
        <v xml:space="preserve">Psychologie =     </v>
      </c>
      <c r="O39" s="923"/>
      <c r="P39" s="923"/>
      <c r="Q39" s="923"/>
      <c r="R39" s="923"/>
      <c r="S39" s="923"/>
      <c r="T39" s="923"/>
      <c r="U39" s="925"/>
      <c r="V39" s="923"/>
      <c r="W39" s="923"/>
      <c r="X39" s="923"/>
      <c r="Y39" s="1071"/>
      <c r="Z39" s="923"/>
      <c r="AA39" s="923"/>
      <c r="AB39" s="923"/>
      <c r="AC39" s="923"/>
      <c r="AD39" s="923"/>
      <c r="AE39" s="923"/>
      <c r="AF39" s="923"/>
      <c r="AG39" s="923"/>
      <c r="AH39" s="923"/>
      <c r="AI39" s="923"/>
      <c r="AJ39" s="923"/>
      <c r="AK39" s="923"/>
      <c r="AL39" s="923"/>
      <c r="AM39" s="923"/>
      <c r="AN39" s="923"/>
      <c r="AO39" s="923"/>
      <c r="AP39" s="923"/>
      <c r="AQ39" s="923"/>
      <c r="AR39" s="923"/>
      <c r="AS39" s="923"/>
      <c r="AT39" s="923">
        <v>81</v>
      </c>
      <c r="AU39" s="952" t="s">
        <v>4521</v>
      </c>
      <c r="AV39" s="924"/>
      <c r="AW39" s="923"/>
      <c r="AX39" s="923"/>
      <c r="AY39" s="923"/>
      <c r="AZ39" s="923"/>
      <c r="BA39" s="923"/>
      <c r="BB39" s="923"/>
      <c r="BC39" s="923"/>
      <c r="BD39" s="923"/>
      <c r="BE39" s="923"/>
      <c r="BF39" s="923"/>
      <c r="BG39" s="923"/>
      <c r="BH39" s="923"/>
      <c r="BI39" s="923"/>
      <c r="BJ39" s="923"/>
      <c r="BK39" s="923"/>
      <c r="BL39" s="923"/>
      <c r="BM39" s="923"/>
      <c r="BN39" s="923"/>
      <c r="BO39" s="923"/>
      <c r="BP39" s="923"/>
      <c r="BQ39" s="923"/>
      <c r="BR39" s="923"/>
      <c r="BS39" s="923"/>
      <c r="BT39" s="923"/>
      <c r="BU39" s="923"/>
      <c r="BV39" s="923"/>
      <c r="BW39" s="923"/>
      <c r="BX39" s="923"/>
      <c r="BY39" s="923"/>
      <c r="BZ39" s="923"/>
      <c r="CA39" s="923"/>
      <c r="CB39" s="923"/>
      <c r="CC39" s="923"/>
      <c r="CD39" s="923"/>
      <c r="CE39" s="923"/>
      <c r="CF39" s="923"/>
      <c r="CG39" s="923"/>
      <c r="CH39" s="923">
        <v>45</v>
      </c>
      <c r="CI39" s="966" t="s">
        <v>5062</v>
      </c>
      <c r="CJ39" s="923"/>
      <c r="CK39" s="923"/>
      <c r="CL39" s="923"/>
      <c r="CM39" s="923"/>
      <c r="CN39" s="923"/>
      <c r="CO39" s="923"/>
      <c r="CP39" s="923"/>
      <c r="CQ39" s="923"/>
      <c r="CR39" s="923"/>
      <c r="CS39" s="923"/>
      <c r="CT39" s="923"/>
      <c r="CU39" s="923"/>
      <c r="CV39" s="923"/>
      <c r="CW39" s="923"/>
      <c r="CX39" s="923"/>
      <c r="CY39" s="923"/>
      <c r="CZ39" s="923"/>
      <c r="DA39" s="923"/>
      <c r="DB39" s="923"/>
      <c r="DC39" s="923"/>
      <c r="DD39" s="923"/>
      <c r="DE39" s="923"/>
      <c r="DF39" s="923"/>
      <c r="DG39" s="923"/>
      <c r="DH39" s="923"/>
      <c r="DI39" s="923"/>
      <c r="DJ39" s="923"/>
      <c r="DK39" s="923"/>
      <c r="DL39" s="923"/>
      <c r="DM39" s="923"/>
      <c r="DN39" s="923"/>
      <c r="DO39" s="961" t="s">
        <v>4522</v>
      </c>
      <c r="DP39" s="923"/>
      <c r="DQ39" s="990"/>
      <c r="DR39" s="923">
        <v>83</v>
      </c>
      <c r="DS39" s="964" t="s">
        <v>4523</v>
      </c>
      <c r="DT39" s="923"/>
      <c r="DU39" s="923"/>
      <c r="DV39" s="964" t="s">
        <v>4524</v>
      </c>
      <c r="DW39" s="964" t="s">
        <v>4525</v>
      </c>
      <c r="DX39" s="923"/>
      <c r="DY39" s="923"/>
      <c r="DZ39" s="923"/>
      <c r="EA39" s="923"/>
      <c r="EB39" s="923"/>
      <c r="EC39" s="923"/>
      <c r="ED39" s="923"/>
      <c r="EE39" s="923"/>
      <c r="EF39" s="923"/>
      <c r="EG39" s="923"/>
      <c r="EH39" s="923"/>
      <c r="EI39" s="923"/>
      <c r="EJ39" s="923"/>
      <c r="EK39" s="923"/>
      <c r="EL39" s="923"/>
      <c r="EM39" s="923"/>
      <c r="ES39" s="970" t="s">
        <v>4767</v>
      </c>
      <c r="ET39" s="971">
        <v>420</v>
      </c>
      <c r="EU39" s="972" t="s">
        <v>94</v>
      </c>
      <c r="EV39" s="973">
        <v>3</v>
      </c>
      <c r="EW39" s="972" t="s">
        <v>4721</v>
      </c>
      <c r="EX39" s="973">
        <v>3</v>
      </c>
      <c r="EY39" s="972" t="s">
        <v>1526</v>
      </c>
      <c r="EZ39" s="973">
        <v>2</v>
      </c>
      <c r="FA39" s="972" t="s">
        <v>4693</v>
      </c>
      <c r="FB39" s="973">
        <v>2</v>
      </c>
      <c r="FC39" s="972" t="s">
        <v>4713</v>
      </c>
      <c r="FD39" s="973">
        <v>1</v>
      </c>
      <c r="FE39" s="972" t="s">
        <v>591</v>
      </c>
    </row>
    <row r="40" spans="1:161" ht="12" customHeight="1" thickBot="1">
      <c r="A40" s="922"/>
      <c r="B40" s="951">
        <v>39</v>
      </c>
      <c r="C40" s="923" t="s">
        <v>4646</v>
      </c>
      <c r="D40" s="924">
        <f t="shared" ca="1" si="2"/>
        <v>83</v>
      </c>
      <c r="E40" s="924"/>
      <c r="F40" s="924"/>
      <c r="G40" s="924"/>
      <c r="H40" s="925" t="str">
        <f ca="1">LOOKUP(D40+(persoNSpere*5)-25,dnsPerso,gpNSPerso1)</f>
        <v>Artisan </v>
      </c>
      <c r="I40" s="975">
        <f ca="1">LOOKUP(D40+(persoNSpere*5)-25,dnsPerso,gpNSPerso2)</f>
        <v>4</v>
      </c>
      <c r="J40" s="975">
        <f ca="1">LOOKUP(D40+(persoNSpere*5)-25,dnsPerso,gpNSPerso3)</f>
        <v>200</v>
      </c>
      <c r="K40" s="923" t="str">
        <f ca="1">C40&amp;" = "&amp;H40&amp;" "&amp;I40&amp;" "&amp;J40</f>
        <v>NS perso = Artisan  4 200</v>
      </c>
      <c r="O40" s="923"/>
      <c r="P40" s="923"/>
      <c r="Q40" s="923"/>
      <c r="R40" s="923"/>
      <c r="S40" s="923"/>
      <c r="T40" s="923"/>
      <c r="U40" s="925"/>
      <c r="V40" s="923"/>
      <c r="W40" s="923"/>
      <c r="X40" s="923"/>
      <c r="Y40" s="1071"/>
      <c r="Z40" s="923"/>
      <c r="AA40" s="923"/>
      <c r="AB40" s="923"/>
      <c r="AC40" s="923"/>
      <c r="AD40" s="923"/>
      <c r="AE40" s="923"/>
      <c r="AF40" s="923"/>
      <c r="AG40" s="923"/>
      <c r="AH40" s="923"/>
      <c r="AI40" s="923"/>
      <c r="AJ40" s="923"/>
      <c r="AK40" s="923"/>
      <c r="AL40" s="923"/>
      <c r="AM40" s="923"/>
      <c r="AN40" s="923"/>
      <c r="AO40" s="923"/>
      <c r="AP40" s="923"/>
      <c r="AQ40" s="923"/>
      <c r="AR40" s="923"/>
      <c r="AS40" s="923"/>
      <c r="AT40" s="923">
        <v>86</v>
      </c>
      <c r="AU40" s="955" t="s">
        <v>4526</v>
      </c>
      <c r="AV40" s="924"/>
      <c r="AW40" s="923"/>
      <c r="AX40" s="923"/>
      <c r="AY40" s="923"/>
      <c r="AZ40" s="923"/>
      <c r="BA40" s="923"/>
      <c r="BB40" s="923"/>
      <c r="BC40" s="923"/>
      <c r="BD40" s="923"/>
      <c r="BE40" s="923"/>
      <c r="BF40" s="923"/>
      <c r="BG40" s="923"/>
      <c r="BH40" s="923"/>
      <c r="BI40" s="923"/>
      <c r="BJ40" s="923"/>
      <c r="BK40" s="923"/>
      <c r="BL40" s="923"/>
      <c r="BM40" s="923"/>
      <c r="BN40" s="923"/>
      <c r="BO40" s="923"/>
      <c r="BP40" s="923"/>
      <c r="BQ40" s="923"/>
      <c r="BR40" s="923"/>
      <c r="BS40" s="923"/>
      <c r="BT40" s="923"/>
      <c r="BU40" s="923"/>
      <c r="BV40" s="923"/>
      <c r="BW40" s="923"/>
      <c r="BX40" s="923"/>
      <c r="BY40" s="923"/>
      <c r="BZ40" s="923"/>
      <c r="CA40" s="923"/>
      <c r="CB40" s="923"/>
      <c r="CC40" s="923"/>
      <c r="CD40" s="923"/>
      <c r="CE40" s="923"/>
      <c r="CF40" s="923"/>
      <c r="CG40" s="923"/>
      <c r="CH40" s="923">
        <v>46</v>
      </c>
      <c r="CI40" s="978" t="s">
        <v>5063</v>
      </c>
      <c r="CJ40" s="923"/>
      <c r="CK40" s="923"/>
      <c r="CL40" s="923"/>
      <c r="CM40" s="923"/>
      <c r="CN40" s="923"/>
      <c r="CO40" s="923"/>
      <c r="CP40" s="923"/>
      <c r="CQ40" s="923"/>
      <c r="CR40" s="923"/>
      <c r="CS40" s="923"/>
      <c r="CT40" s="923"/>
      <c r="CU40" s="923"/>
      <c r="CV40" s="923"/>
      <c r="CW40" s="923"/>
      <c r="CX40" s="923"/>
      <c r="CY40" s="923"/>
      <c r="CZ40" s="923"/>
      <c r="DA40" s="923"/>
      <c r="DB40" s="923"/>
      <c r="DC40" s="923"/>
      <c r="DD40" s="923"/>
      <c r="DE40" s="923"/>
      <c r="DF40" s="923"/>
      <c r="DG40" s="923"/>
      <c r="DH40" s="923"/>
      <c r="DI40" s="923"/>
      <c r="DJ40" s="923"/>
      <c r="DK40" s="923"/>
      <c r="DL40" s="923"/>
      <c r="DM40" s="923"/>
      <c r="DN40" s="923"/>
      <c r="DO40" s="961" t="s">
        <v>4527</v>
      </c>
      <c r="DP40" s="923"/>
      <c r="DQ40" s="964"/>
      <c r="DR40" s="923">
        <v>85</v>
      </c>
      <c r="DS40" s="921" t="s">
        <v>4528</v>
      </c>
      <c r="DT40" s="923"/>
      <c r="DU40" s="923"/>
      <c r="DV40" s="921" t="s">
        <v>4529</v>
      </c>
      <c r="DW40" s="921" t="s">
        <v>4530</v>
      </c>
      <c r="DX40" s="923"/>
      <c r="DY40" s="923"/>
      <c r="DZ40" s="923"/>
      <c r="EA40" s="923"/>
      <c r="EB40" s="923"/>
      <c r="EC40" s="923"/>
      <c r="ED40" s="923"/>
      <c r="EE40" s="923"/>
      <c r="EF40" s="923"/>
      <c r="EG40" s="923"/>
      <c r="EH40" s="923"/>
      <c r="EI40" s="923"/>
      <c r="EJ40" s="923"/>
      <c r="EK40" s="923"/>
      <c r="EL40" s="923"/>
      <c r="EM40" s="923"/>
      <c r="ES40" s="970" t="s">
        <v>4768</v>
      </c>
      <c r="ET40" s="971">
        <v>310</v>
      </c>
      <c r="EU40" s="972" t="s">
        <v>4706</v>
      </c>
      <c r="EV40" s="973">
        <v>3</v>
      </c>
      <c r="EW40" s="972" t="s">
        <v>87</v>
      </c>
      <c r="EX40" s="973">
        <v>2</v>
      </c>
      <c r="EY40" s="972" t="s">
        <v>4704</v>
      </c>
      <c r="EZ40" s="973">
        <v>2</v>
      </c>
      <c r="FA40" s="980" t="s">
        <v>2538</v>
      </c>
      <c r="FB40" s="973">
        <v>2</v>
      </c>
      <c r="FC40" s="972" t="s">
        <v>4693</v>
      </c>
      <c r="FD40" s="973">
        <v>1</v>
      </c>
      <c r="FE40" s="972"/>
    </row>
    <row r="41" spans="1:161" ht="12" customHeight="1" thickBot="1">
      <c r="A41" s="922"/>
      <c r="B41" s="951">
        <v>40</v>
      </c>
      <c r="C41" s="923" t="s">
        <v>4648</v>
      </c>
      <c r="D41" s="924">
        <f t="shared" ca="1" si="2"/>
        <v>6</v>
      </c>
      <c r="E41" s="924">
        <f ca="1">RANDBETWEEN(1,20)</f>
        <v>14</v>
      </c>
      <c r="F41" s="924">
        <f ca="1">RANDBETWEEN(1,10)</f>
        <v>2</v>
      </c>
      <c r="H41" s="991" t="str">
        <f ca="1">IF(persoNS=0,LOOKUP(E41,dNS0,gpNS0),IF(persoNS=1,LOOKUP(D41,déNS1,gpNS1),IF(persoNS=2,LOOKUP(E41,déNS2,gpNS2),IF(persoNS=3,LOOKUP(E41,déNS3,gpNS3),IF(persoNS=4,LOOKUP(E41,déNS4,gpNS4),IF(persoNS=5,LOOKUP(E41,déNS5,gpNS5),IF(persoNS=6,LOOKUP(E41,déNS6,gpNS6),IF(persoNS=7,LOOKUP(E41,déNS7,gpNS7),IF(persoNS=8,LOOKUP(E41,déNS8,gpNS8),LOOKUP(E41,déNS9,gpNS9))))))))))</f>
        <v>Sellier </v>
      </c>
      <c r="I41" s="992">
        <f ca="1">LOOKUP(H41,gpMetiers,gpCPAMetiers)/4</f>
        <v>72.5</v>
      </c>
      <c r="J41" s="925"/>
      <c r="K41" s="923"/>
      <c r="O41" s="923"/>
      <c r="P41" s="923"/>
      <c r="Q41" s="923"/>
      <c r="R41" s="923"/>
      <c r="S41" s="923"/>
      <c r="T41" s="923"/>
      <c r="U41" s="925"/>
      <c r="V41" s="923"/>
      <c r="W41" s="923"/>
      <c r="X41" s="923"/>
      <c r="Y41" s="1071"/>
      <c r="Z41" s="923"/>
      <c r="AA41" s="923"/>
      <c r="AB41" s="923"/>
      <c r="AC41" s="923"/>
      <c r="AD41" s="923"/>
      <c r="AE41" s="923"/>
      <c r="AF41" s="923"/>
      <c r="AG41" s="923"/>
      <c r="AH41" s="923"/>
      <c r="AI41" s="923"/>
      <c r="AJ41" s="923"/>
      <c r="AK41" s="923"/>
      <c r="AL41" s="923"/>
      <c r="AM41" s="923"/>
      <c r="AN41" s="923"/>
      <c r="AO41" s="923"/>
      <c r="AP41" s="923"/>
      <c r="AQ41" s="923"/>
      <c r="AR41" s="923"/>
      <c r="AS41" s="923"/>
      <c r="AT41" s="923">
        <v>96</v>
      </c>
      <c r="AU41" s="952" t="s">
        <v>4531</v>
      </c>
      <c r="AV41" s="924"/>
      <c r="AW41" s="923"/>
      <c r="AX41" s="923"/>
      <c r="AY41" s="923"/>
      <c r="AZ41" s="923"/>
      <c r="BA41" s="923"/>
      <c r="BB41" s="923"/>
      <c r="BC41" s="923"/>
      <c r="BD41" s="923"/>
      <c r="BE41" s="923"/>
      <c r="BF41" s="923"/>
      <c r="BG41" s="923"/>
      <c r="BH41" s="923"/>
      <c r="BI41" s="923"/>
      <c r="BJ41" s="923"/>
      <c r="BK41" s="923"/>
      <c r="BL41" s="923"/>
      <c r="BM41" s="923"/>
      <c r="BN41" s="923"/>
      <c r="BO41" s="923"/>
      <c r="BP41" s="923"/>
      <c r="BQ41" s="923"/>
      <c r="BR41" s="923"/>
      <c r="BS41" s="923"/>
      <c r="BT41" s="923"/>
      <c r="BU41" s="923"/>
      <c r="BV41" s="923"/>
      <c r="BW41" s="923"/>
      <c r="BX41" s="923"/>
      <c r="BY41" s="923"/>
      <c r="BZ41" s="923"/>
      <c r="CA41" s="923"/>
      <c r="CB41" s="923"/>
      <c r="CC41" s="923"/>
      <c r="CD41" s="923"/>
      <c r="CE41" s="923"/>
      <c r="CF41" s="923"/>
      <c r="CG41" s="923"/>
      <c r="CH41" s="923">
        <v>48</v>
      </c>
      <c r="CI41" s="966" t="s">
        <v>5064</v>
      </c>
      <c r="CJ41" s="923"/>
      <c r="CK41" s="923"/>
      <c r="CL41" s="923"/>
      <c r="CM41" s="923"/>
      <c r="CN41" s="923"/>
      <c r="CO41" s="923"/>
      <c r="CP41" s="923"/>
      <c r="CQ41" s="923"/>
      <c r="CR41" s="923"/>
      <c r="CS41" s="923"/>
      <c r="CT41" s="923"/>
      <c r="CU41" s="923"/>
      <c r="CV41" s="923"/>
      <c r="CW41" s="923"/>
      <c r="CX41" s="923"/>
      <c r="CY41" s="923"/>
      <c r="CZ41" s="923"/>
      <c r="DA41" s="923"/>
      <c r="DB41" s="923"/>
      <c r="DC41" s="923"/>
      <c r="DD41" s="923"/>
      <c r="DE41" s="923"/>
      <c r="DF41" s="923"/>
      <c r="DG41" s="923"/>
      <c r="DH41" s="923"/>
      <c r="DI41" s="923"/>
      <c r="DJ41" s="923"/>
      <c r="DK41" s="923"/>
      <c r="DL41" s="923"/>
      <c r="DM41" s="923"/>
      <c r="DN41" s="923"/>
      <c r="DO41" s="961" t="s">
        <v>4532</v>
      </c>
      <c r="DP41" s="923"/>
      <c r="DQ41" s="921"/>
      <c r="DR41" s="923">
        <v>87</v>
      </c>
      <c r="DS41" s="964" t="s">
        <v>5065</v>
      </c>
      <c r="DT41" s="923"/>
      <c r="DU41" s="923"/>
      <c r="DV41" s="964" t="s">
        <v>5066</v>
      </c>
      <c r="DW41" s="964" t="s">
        <v>4533</v>
      </c>
      <c r="DX41" s="923"/>
      <c r="DY41" s="923"/>
      <c r="DZ41" s="923"/>
      <c r="EA41" s="923"/>
      <c r="EB41" s="923"/>
      <c r="EC41" s="923"/>
      <c r="ED41" s="923"/>
      <c r="EE41" s="923"/>
      <c r="EF41" s="923"/>
      <c r="EG41" s="923"/>
      <c r="EH41" s="923"/>
      <c r="EI41" s="923"/>
      <c r="EJ41" s="923"/>
      <c r="EK41" s="923"/>
      <c r="EL41" s="923"/>
      <c r="EM41" s="923"/>
      <c r="ES41" s="970" t="s">
        <v>4769</v>
      </c>
      <c r="ET41" s="971">
        <v>420</v>
      </c>
      <c r="EU41" s="972" t="s">
        <v>94</v>
      </c>
      <c r="EV41" s="973">
        <v>2</v>
      </c>
      <c r="EW41" s="972" t="s">
        <v>4770</v>
      </c>
      <c r="EX41" s="973">
        <v>3</v>
      </c>
      <c r="EY41" s="972" t="s">
        <v>4687</v>
      </c>
      <c r="EZ41" s="973">
        <v>3</v>
      </c>
      <c r="FA41" s="972" t="s">
        <v>4771</v>
      </c>
      <c r="FB41" s="973">
        <v>2</v>
      </c>
      <c r="FC41" s="972" t="s">
        <v>231</v>
      </c>
      <c r="FD41" s="973">
        <v>3</v>
      </c>
      <c r="FE41" s="972" t="s">
        <v>4681</v>
      </c>
    </row>
    <row r="42" spans="1:161" ht="12" customHeight="1" thickBot="1">
      <c r="A42" s="922"/>
      <c r="B42" s="951">
        <v>41</v>
      </c>
      <c r="C42" s="923" t="s">
        <v>4647</v>
      </c>
      <c r="D42" s="924">
        <f t="shared" ca="1" si="2"/>
        <v>91</v>
      </c>
      <c r="E42" s="924"/>
      <c r="F42" s="924"/>
      <c r="G42" s="924"/>
      <c r="H42" s="993" t="str">
        <f ca="1">LOOKUP(D42,dCarriere,gpCarriere)</f>
        <v>terre</v>
      </c>
      <c r="I42" s="925"/>
      <c r="J42" s="925"/>
      <c r="K42" s="923" t="str">
        <f t="shared" ca="1" si="0"/>
        <v xml:space="preserve">Carrière Perso = terre  </v>
      </c>
      <c r="O42" s="923"/>
      <c r="P42" s="923"/>
      <c r="Q42" s="923"/>
      <c r="R42" s="923"/>
      <c r="S42" s="923"/>
      <c r="T42" s="923"/>
      <c r="U42" s="925"/>
      <c r="V42" s="923"/>
      <c r="W42" s="923"/>
      <c r="X42" s="923"/>
      <c r="Y42" s="1071"/>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4"/>
      <c r="AW42" s="923"/>
      <c r="AX42" s="923"/>
      <c r="AY42" s="923"/>
      <c r="AZ42" s="923"/>
      <c r="BA42" s="923"/>
      <c r="BB42" s="923"/>
      <c r="BC42" s="923"/>
      <c r="BD42" s="923"/>
      <c r="BE42" s="923"/>
      <c r="BF42" s="923"/>
      <c r="BG42" s="923"/>
      <c r="BH42" s="923"/>
      <c r="BI42" s="923"/>
      <c r="BJ42" s="923"/>
      <c r="BK42" s="923"/>
      <c r="BL42" s="923"/>
      <c r="BM42" s="923"/>
      <c r="BN42" s="923"/>
      <c r="BO42" s="923"/>
      <c r="BP42" s="923"/>
      <c r="BQ42" s="923"/>
      <c r="BR42" s="923"/>
      <c r="BS42" s="923"/>
      <c r="BT42" s="923"/>
      <c r="BU42" s="923"/>
      <c r="BV42" s="923"/>
      <c r="BW42" s="923"/>
      <c r="BX42" s="923"/>
      <c r="BY42" s="923"/>
      <c r="BZ42" s="923"/>
      <c r="CA42" s="923"/>
      <c r="CB42" s="923"/>
      <c r="CC42" s="923"/>
      <c r="CD42" s="923"/>
      <c r="CE42" s="923"/>
      <c r="CF42" s="923"/>
      <c r="CG42" s="923"/>
      <c r="CH42" s="923">
        <v>49</v>
      </c>
      <c r="CI42" s="978" t="s">
        <v>5067</v>
      </c>
      <c r="CJ42" s="923"/>
      <c r="CK42" s="923"/>
      <c r="CL42" s="923"/>
      <c r="CM42" s="923"/>
      <c r="CN42" s="923"/>
      <c r="CO42" s="923"/>
      <c r="CP42" s="923"/>
      <c r="CQ42" s="923"/>
      <c r="CR42" s="923"/>
      <c r="CS42" s="923"/>
      <c r="CT42" s="923"/>
      <c r="CU42" s="923"/>
      <c r="CV42" s="923"/>
      <c r="CW42" s="923"/>
      <c r="CX42" s="923"/>
      <c r="CY42" s="923"/>
      <c r="CZ42" s="923"/>
      <c r="DA42" s="923"/>
      <c r="DB42" s="923"/>
      <c r="DC42" s="923"/>
      <c r="DD42" s="923"/>
      <c r="DE42" s="923"/>
      <c r="DF42" s="923"/>
      <c r="DG42" s="923"/>
      <c r="DH42" s="923"/>
      <c r="DI42" s="923"/>
      <c r="DJ42" s="923"/>
      <c r="DK42" s="923"/>
      <c r="DL42" s="923"/>
      <c r="DM42" s="923"/>
      <c r="DN42" s="923"/>
      <c r="DO42" s="961" t="s">
        <v>4534</v>
      </c>
      <c r="DP42" s="923"/>
      <c r="DQ42" s="964"/>
      <c r="DR42" s="923">
        <v>88</v>
      </c>
      <c r="DS42" s="921" t="s">
        <v>4535</v>
      </c>
      <c r="DT42" s="923"/>
      <c r="DU42" s="923"/>
      <c r="DV42" s="921" t="s">
        <v>5068</v>
      </c>
      <c r="DW42" s="921" t="s">
        <v>4536</v>
      </c>
      <c r="DX42" s="923"/>
      <c r="DY42" s="923"/>
      <c r="DZ42" s="923"/>
      <c r="EA42" s="923"/>
      <c r="EB42" s="923"/>
      <c r="EC42" s="923"/>
      <c r="ED42" s="923"/>
      <c r="EE42" s="923"/>
      <c r="EF42" s="923"/>
      <c r="EG42" s="923"/>
      <c r="EH42" s="923"/>
      <c r="EI42" s="923"/>
      <c r="EJ42" s="923"/>
      <c r="EK42" s="923"/>
      <c r="EL42" s="923"/>
      <c r="EM42" s="923"/>
      <c r="ES42" s="970" t="s">
        <v>4772</v>
      </c>
      <c r="ET42" s="971">
        <v>250</v>
      </c>
      <c r="EU42" s="972" t="s">
        <v>4739</v>
      </c>
      <c r="EV42" s="973">
        <v>3</v>
      </c>
      <c r="EW42" s="972" t="s">
        <v>2016</v>
      </c>
      <c r="EX42" s="973">
        <v>3</v>
      </c>
      <c r="EY42" s="972" t="s">
        <v>4719</v>
      </c>
      <c r="EZ42" s="973">
        <v>2</v>
      </c>
      <c r="FA42" s="972" t="s">
        <v>4691</v>
      </c>
      <c r="FB42" s="973">
        <v>1</v>
      </c>
      <c r="FC42" s="972" t="s">
        <v>1045</v>
      </c>
      <c r="FD42" s="973">
        <v>1</v>
      </c>
      <c r="FE42" s="972" t="s">
        <v>887</v>
      </c>
    </row>
    <row r="43" spans="1:161" ht="12" customHeight="1" thickBot="1">
      <c r="A43" s="922"/>
      <c r="B43" s="951">
        <v>42</v>
      </c>
      <c r="C43" s="923" t="s">
        <v>4649</v>
      </c>
      <c r="D43" s="924"/>
      <c r="E43" s="924"/>
      <c r="F43" s="924"/>
      <c r="G43" s="924"/>
      <c r="H43" s="925"/>
      <c r="I43" s="925"/>
      <c r="J43" s="925"/>
      <c r="K43" s="923" t="str">
        <f t="shared" si="0"/>
        <v xml:space="preserve">2nd Métier =   </v>
      </c>
      <c r="O43" s="923"/>
      <c r="P43" s="923"/>
      <c r="Q43" s="923"/>
      <c r="R43" s="923"/>
      <c r="S43" s="923"/>
      <c r="T43" s="923"/>
      <c r="U43" s="925"/>
      <c r="V43" s="923"/>
      <c r="W43" s="923"/>
      <c r="X43" s="923"/>
      <c r="Y43" s="1071"/>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4"/>
      <c r="AW43" s="923"/>
      <c r="AX43" s="923"/>
      <c r="AY43" s="923"/>
      <c r="AZ43" s="923"/>
      <c r="BA43" s="923"/>
      <c r="BB43" s="923"/>
      <c r="BC43" s="923"/>
      <c r="BD43" s="923"/>
      <c r="BE43" s="923"/>
      <c r="BF43" s="923"/>
      <c r="BG43" s="923"/>
      <c r="BH43" s="923"/>
      <c r="BI43" s="923"/>
      <c r="BJ43" s="923"/>
      <c r="BK43" s="923"/>
      <c r="BL43" s="923"/>
      <c r="BM43" s="923"/>
      <c r="BN43" s="923"/>
      <c r="BO43" s="923"/>
      <c r="BP43" s="923"/>
      <c r="BQ43" s="923"/>
      <c r="BR43" s="923"/>
      <c r="BS43" s="923"/>
      <c r="BT43" s="923"/>
      <c r="BU43" s="923"/>
      <c r="BV43" s="923"/>
      <c r="BW43" s="923"/>
      <c r="BX43" s="923"/>
      <c r="BY43" s="923"/>
      <c r="BZ43" s="923"/>
      <c r="CA43" s="923"/>
      <c r="CB43" s="923"/>
      <c r="CC43" s="923"/>
      <c r="CD43" s="923"/>
      <c r="CE43" s="923"/>
      <c r="CF43" s="923"/>
      <c r="CG43" s="923"/>
      <c r="CH43" s="923">
        <v>51</v>
      </c>
      <c r="CI43" s="966" t="s">
        <v>5069</v>
      </c>
      <c r="CJ43" s="923"/>
      <c r="CK43" s="923"/>
      <c r="CL43" s="923"/>
      <c r="CM43" s="923"/>
      <c r="CN43" s="923"/>
      <c r="CO43" s="923"/>
      <c r="CP43" s="923"/>
      <c r="CQ43" s="923"/>
      <c r="CR43" s="923"/>
      <c r="CS43" s="923"/>
      <c r="CT43" s="923"/>
      <c r="CU43" s="923"/>
      <c r="CV43" s="923"/>
      <c r="CW43" s="923"/>
      <c r="CX43" s="923"/>
      <c r="CY43" s="923"/>
      <c r="CZ43" s="923"/>
      <c r="DA43" s="923"/>
      <c r="DB43" s="923"/>
      <c r="DC43" s="923"/>
      <c r="DD43" s="923"/>
      <c r="DE43" s="923"/>
      <c r="DF43" s="923"/>
      <c r="DG43" s="923"/>
      <c r="DH43" s="923"/>
      <c r="DI43" s="923"/>
      <c r="DJ43" s="923"/>
      <c r="DK43" s="923"/>
      <c r="DL43" s="923"/>
      <c r="DM43" s="923"/>
      <c r="DN43" s="923"/>
      <c r="DO43" s="961" t="s">
        <v>4537</v>
      </c>
      <c r="DP43" s="923"/>
      <c r="DQ43" s="994"/>
      <c r="DR43" s="923">
        <v>91</v>
      </c>
      <c r="DS43" s="964" t="s">
        <v>4538</v>
      </c>
      <c r="DT43" s="923"/>
      <c r="DU43" s="923"/>
      <c r="DV43" s="964" t="s">
        <v>5070</v>
      </c>
      <c r="DW43" s="964" t="s">
        <v>4539</v>
      </c>
      <c r="DX43" s="923"/>
      <c r="DY43" s="923"/>
      <c r="DZ43" s="923"/>
      <c r="EA43" s="923"/>
      <c r="EB43" s="923"/>
      <c r="EC43" s="923"/>
      <c r="ED43" s="923"/>
      <c r="EE43" s="923"/>
      <c r="EF43" s="923"/>
      <c r="EG43" s="923"/>
      <c r="EH43" s="923"/>
      <c r="EI43" s="923"/>
      <c r="EJ43" s="923"/>
      <c r="EK43" s="923"/>
      <c r="EL43" s="923"/>
      <c r="EM43" s="923"/>
      <c r="ES43" s="970" t="s">
        <v>4773</v>
      </c>
      <c r="ET43" s="971">
        <v>330</v>
      </c>
      <c r="EU43" s="972" t="s">
        <v>4771</v>
      </c>
      <c r="EV43" s="973">
        <v>3</v>
      </c>
      <c r="EW43" s="972" t="s">
        <v>4680</v>
      </c>
      <c r="EX43" s="973">
        <v>2</v>
      </c>
      <c r="EY43" s="972" t="s">
        <v>4687</v>
      </c>
      <c r="EZ43" s="973">
        <v>1</v>
      </c>
      <c r="FA43" s="972" t="s">
        <v>4678</v>
      </c>
      <c r="FB43" s="973">
        <v>1</v>
      </c>
      <c r="FC43" s="972" t="s">
        <v>4681</v>
      </c>
      <c r="FD43" s="973">
        <v>2</v>
      </c>
      <c r="FE43" s="972" t="s">
        <v>4695</v>
      </c>
    </row>
    <row r="44" spans="1:161" ht="12" customHeight="1" thickBot="1">
      <c r="A44" s="922"/>
      <c r="B44" s="951">
        <v>43</v>
      </c>
      <c r="C44" s="923" t="s">
        <v>4650</v>
      </c>
      <c r="D44" s="924"/>
      <c r="E44" s="924"/>
      <c r="F44" s="924"/>
      <c r="G44" s="924"/>
      <c r="H44" s="925"/>
      <c r="I44" s="925"/>
      <c r="J44" s="925"/>
      <c r="K44" s="923" t="str">
        <f t="shared" si="0"/>
        <v xml:space="preserve">3ième Métier =   </v>
      </c>
      <c r="O44" s="923"/>
      <c r="P44" s="923"/>
      <c r="Q44" s="923"/>
      <c r="R44" s="923"/>
      <c r="S44" s="923"/>
      <c r="T44" s="923"/>
      <c r="U44" s="925"/>
      <c r="V44" s="923"/>
      <c r="W44" s="923"/>
      <c r="X44" s="923"/>
      <c r="Y44" s="1071"/>
      <c r="Z44" s="923"/>
      <c r="AA44" s="923"/>
      <c r="AB44" s="923"/>
      <c r="AC44" s="923"/>
      <c r="AD44" s="923"/>
      <c r="AE44" s="923"/>
      <c r="AF44" s="923"/>
      <c r="AG44" s="923"/>
      <c r="AH44" s="923"/>
      <c r="AI44" s="923"/>
      <c r="AJ44" s="923"/>
      <c r="AK44" s="923"/>
      <c r="AL44" s="923"/>
      <c r="AM44" s="923"/>
      <c r="AN44" s="923"/>
      <c r="AO44" s="923"/>
      <c r="AP44" s="923"/>
      <c r="AQ44" s="923"/>
      <c r="AR44" s="923"/>
      <c r="AS44" s="923"/>
      <c r="AT44" s="923"/>
      <c r="AU44" s="923"/>
      <c r="AV44" s="924"/>
      <c r="AW44" s="923"/>
      <c r="AX44" s="923"/>
      <c r="AY44" s="923"/>
      <c r="AZ44" s="923"/>
      <c r="BA44" s="923"/>
      <c r="BB44" s="923"/>
      <c r="BC44" s="923"/>
      <c r="BD44" s="923"/>
      <c r="BE44" s="923"/>
      <c r="BF44" s="923"/>
      <c r="BG44" s="923"/>
      <c r="BH44" s="923"/>
      <c r="BI44" s="923"/>
      <c r="BJ44" s="923"/>
      <c r="BK44" s="923"/>
      <c r="BL44" s="923"/>
      <c r="BM44" s="923"/>
      <c r="BN44" s="923"/>
      <c r="BO44" s="923"/>
      <c r="BP44" s="923"/>
      <c r="BQ44" s="923"/>
      <c r="BR44" s="923"/>
      <c r="BS44" s="923"/>
      <c r="BT44" s="923"/>
      <c r="BU44" s="923"/>
      <c r="BV44" s="923"/>
      <c r="BW44" s="923"/>
      <c r="BX44" s="923"/>
      <c r="BY44" s="923"/>
      <c r="BZ44" s="923"/>
      <c r="CA44" s="923"/>
      <c r="CB44" s="923"/>
      <c r="CC44" s="923"/>
      <c r="CD44" s="923"/>
      <c r="CE44" s="923"/>
      <c r="CF44" s="923"/>
      <c r="CG44" s="923"/>
      <c r="CH44" s="923">
        <v>52</v>
      </c>
      <c r="CI44" s="978" t="s">
        <v>5071</v>
      </c>
      <c r="CJ44" s="923"/>
      <c r="CK44" s="923"/>
      <c r="CL44" s="923"/>
      <c r="CM44" s="923"/>
      <c r="CN44" s="923"/>
      <c r="CO44" s="923"/>
      <c r="CP44" s="923"/>
      <c r="CQ44" s="923"/>
      <c r="CR44" s="923"/>
      <c r="CS44" s="923"/>
      <c r="CT44" s="923"/>
      <c r="CU44" s="923"/>
      <c r="CV44" s="923"/>
      <c r="CW44" s="923"/>
      <c r="CX44" s="923"/>
      <c r="CY44" s="923"/>
      <c r="CZ44" s="923"/>
      <c r="DA44" s="923"/>
      <c r="DB44" s="923"/>
      <c r="DC44" s="923"/>
      <c r="DD44" s="923"/>
      <c r="DE44" s="923"/>
      <c r="DF44" s="923"/>
      <c r="DG44" s="923"/>
      <c r="DH44" s="923"/>
      <c r="DI44" s="923"/>
      <c r="DJ44" s="923"/>
      <c r="DK44" s="923"/>
      <c r="DL44" s="923"/>
      <c r="DM44" s="923"/>
      <c r="DN44" s="923"/>
      <c r="DO44" s="961" t="s">
        <v>4540</v>
      </c>
      <c r="DP44" s="923"/>
      <c r="DQ44" s="994"/>
      <c r="DR44" s="923"/>
      <c r="DS44" s="923"/>
      <c r="DT44" s="923"/>
      <c r="DU44" s="923"/>
      <c r="DV44" s="921" t="s">
        <v>5072</v>
      </c>
      <c r="DW44" s="921" t="s">
        <v>4541</v>
      </c>
      <c r="DX44" s="923"/>
      <c r="DY44" s="923"/>
      <c r="DZ44" s="923"/>
      <c r="EA44" s="923"/>
      <c r="EB44" s="923"/>
      <c r="EC44" s="923"/>
      <c r="ED44" s="923"/>
      <c r="EE44" s="923"/>
      <c r="EF44" s="923"/>
      <c r="EG44" s="923"/>
      <c r="EH44" s="923"/>
      <c r="EI44" s="923"/>
      <c r="EJ44" s="923"/>
      <c r="EK44" s="923"/>
      <c r="EL44" s="923"/>
      <c r="EM44" s="923"/>
      <c r="ES44" s="970" t="s">
        <v>4029</v>
      </c>
      <c r="ET44" s="971">
        <v>610</v>
      </c>
      <c r="EU44" s="972" t="s">
        <v>152</v>
      </c>
      <c r="EV44" s="973">
        <v>3</v>
      </c>
      <c r="EW44" s="972" t="s">
        <v>4725</v>
      </c>
      <c r="EX44" s="973">
        <v>3</v>
      </c>
      <c r="EY44" s="972" t="s">
        <v>4774</v>
      </c>
      <c r="EZ44" s="973">
        <v>3</v>
      </c>
      <c r="FA44" s="972" t="s">
        <v>4717</v>
      </c>
      <c r="FB44" s="973">
        <v>1</v>
      </c>
      <c r="FC44" s="972" t="s">
        <v>4721</v>
      </c>
      <c r="FD44" s="973">
        <v>3</v>
      </c>
      <c r="FE44" s="972" t="s">
        <v>4694</v>
      </c>
    </row>
    <row r="45" spans="1:161" ht="12" customHeight="1" thickBot="1">
      <c r="A45" s="922"/>
      <c r="B45" s="951">
        <v>44</v>
      </c>
      <c r="C45" s="923" t="s">
        <v>4651</v>
      </c>
      <c r="D45" s="924">
        <f ca="1">RANDBETWEEN(1,10)</f>
        <v>10</v>
      </c>
      <c r="E45" s="924">
        <f ca="1">RANDBETWEEN(1,10)</f>
        <v>2</v>
      </c>
      <c r="F45" s="924"/>
      <c r="G45" s="924"/>
      <c r="H45" s="925" t="str">
        <f ca="1">IF(D45=1,LOOKUP(E45,gpD10x,gpTic)," ")</f>
        <v xml:space="preserve"> </v>
      </c>
      <c r="I45" s="925"/>
      <c r="J45" s="925"/>
      <c r="K45" s="923" t="str">
        <f t="shared" ca="1" si="0"/>
        <v xml:space="preserve">Tics et manies =    </v>
      </c>
      <c r="O45" s="923"/>
      <c r="P45" s="923"/>
      <c r="Q45" s="923"/>
      <c r="R45" s="923"/>
      <c r="S45" s="923"/>
      <c r="T45" s="923"/>
      <c r="U45" s="925"/>
      <c r="V45" s="923"/>
      <c r="W45" s="923"/>
      <c r="X45" s="923"/>
      <c r="Y45" s="1071"/>
      <c r="Z45" s="923"/>
      <c r="AA45" s="923"/>
      <c r="AB45" s="923"/>
      <c r="AC45" s="923"/>
      <c r="AD45" s="923"/>
      <c r="AE45" s="923"/>
      <c r="AF45" s="923"/>
      <c r="AG45" s="923"/>
      <c r="AH45" s="923"/>
      <c r="AI45" s="923"/>
      <c r="AJ45" s="923"/>
      <c r="AK45" s="923"/>
      <c r="AL45" s="923"/>
      <c r="AM45" s="923"/>
      <c r="AN45" s="923"/>
      <c r="AO45" s="923"/>
      <c r="AP45" s="923"/>
      <c r="AQ45" s="923"/>
      <c r="AR45" s="923"/>
      <c r="AS45" s="923"/>
      <c r="AT45" s="923"/>
      <c r="AU45" s="923"/>
      <c r="AV45" s="924"/>
      <c r="AW45" s="923"/>
      <c r="AX45" s="923"/>
      <c r="AY45" s="923"/>
      <c r="AZ45" s="923"/>
      <c r="BA45" s="923"/>
      <c r="BB45" s="923"/>
      <c r="BC45" s="923"/>
      <c r="BD45" s="923"/>
      <c r="BE45" s="923"/>
      <c r="BF45" s="923"/>
      <c r="BG45" s="923"/>
      <c r="BH45" s="923"/>
      <c r="BI45" s="923"/>
      <c r="BJ45" s="923"/>
      <c r="BK45" s="923"/>
      <c r="BL45" s="923"/>
      <c r="BM45" s="923"/>
      <c r="BN45" s="923"/>
      <c r="BO45" s="923"/>
      <c r="BP45" s="923"/>
      <c r="BQ45" s="923"/>
      <c r="BR45" s="923"/>
      <c r="BS45" s="923"/>
      <c r="BT45" s="923"/>
      <c r="BU45" s="923"/>
      <c r="BV45" s="923"/>
      <c r="BW45" s="923"/>
      <c r="BX45" s="923"/>
      <c r="BY45" s="923"/>
      <c r="BZ45" s="923"/>
      <c r="CA45" s="923"/>
      <c r="CB45" s="923"/>
      <c r="CC45" s="923"/>
      <c r="CD45" s="923"/>
      <c r="CE45" s="923"/>
      <c r="CF45" s="923"/>
      <c r="CG45" s="923"/>
      <c r="CH45" s="923">
        <v>54</v>
      </c>
      <c r="CI45" s="966" t="s">
        <v>5073</v>
      </c>
      <c r="CJ45" s="923"/>
      <c r="CK45" s="923"/>
      <c r="CL45" s="923"/>
      <c r="CM45" s="923"/>
      <c r="CN45" s="923"/>
      <c r="CO45" s="923"/>
      <c r="CP45" s="923"/>
      <c r="CQ45" s="923"/>
      <c r="CR45" s="923"/>
      <c r="CS45" s="923"/>
      <c r="CT45" s="923"/>
      <c r="CU45" s="923"/>
      <c r="CV45" s="923"/>
      <c r="CW45" s="923"/>
      <c r="CX45" s="923"/>
      <c r="CY45" s="923"/>
      <c r="CZ45" s="923"/>
      <c r="DA45" s="923"/>
      <c r="DB45" s="923"/>
      <c r="DC45" s="923"/>
      <c r="DD45" s="923"/>
      <c r="DE45" s="923"/>
      <c r="DF45" s="923"/>
      <c r="DG45" s="923"/>
      <c r="DH45" s="923"/>
      <c r="DI45" s="923"/>
      <c r="DJ45" s="923"/>
      <c r="DK45" s="923"/>
      <c r="DL45" s="923"/>
      <c r="DM45" s="923"/>
      <c r="DN45" s="923"/>
      <c r="DO45" s="961" t="s">
        <v>4542</v>
      </c>
      <c r="DP45" s="923"/>
      <c r="DQ45" s="921"/>
      <c r="DR45" s="923"/>
      <c r="DS45" s="923"/>
      <c r="DT45" s="923"/>
      <c r="DU45" s="923"/>
      <c r="DV45" s="964" t="s">
        <v>4543</v>
      </c>
      <c r="DW45" s="964" t="s">
        <v>4544</v>
      </c>
      <c r="DX45" s="923"/>
      <c r="DY45" s="923"/>
      <c r="DZ45" s="923"/>
      <c r="EA45" s="923"/>
      <c r="EB45" s="923"/>
      <c r="EC45" s="923"/>
      <c r="ED45" s="923"/>
      <c r="EE45" s="923"/>
      <c r="EF45" s="923"/>
      <c r="EG45" s="923"/>
      <c r="EH45" s="923"/>
      <c r="EI45" s="923"/>
      <c r="EJ45" s="923"/>
      <c r="EK45" s="923"/>
      <c r="EL45" s="923"/>
      <c r="EM45" s="923"/>
      <c r="ES45" s="970" t="s">
        <v>4775</v>
      </c>
      <c r="ET45" s="971">
        <v>560</v>
      </c>
      <c r="EU45" s="972" t="s">
        <v>4764</v>
      </c>
      <c r="EV45" s="973">
        <v>2</v>
      </c>
      <c r="EW45" s="972" t="s">
        <v>4725</v>
      </c>
      <c r="EX45" s="973">
        <v>3</v>
      </c>
      <c r="EY45" s="972" t="s">
        <v>94</v>
      </c>
      <c r="EZ45" s="973">
        <v>3</v>
      </c>
      <c r="FA45" s="972" t="s">
        <v>4721</v>
      </c>
      <c r="FB45" s="973">
        <v>3</v>
      </c>
      <c r="FC45" s="972" t="s">
        <v>4774</v>
      </c>
      <c r="FD45" s="973">
        <v>3</v>
      </c>
      <c r="FE45" s="972" t="s">
        <v>1045</v>
      </c>
    </row>
    <row r="46" spans="1:161" ht="12" customHeight="1" thickBot="1">
      <c r="A46" s="922"/>
      <c r="B46" s="951">
        <v>45</v>
      </c>
      <c r="C46" s="923" t="s">
        <v>2188</v>
      </c>
      <c r="D46" s="924">
        <f ca="1">RANDBETWEEN(1,50)</f>
        <v>21</v>
      </c>
      <c r="E46" s="924"/>
      <c r="F46" s="924"/>
      <c r="G46" s="924"/>
      <c r="H46" s="925" t="str">
        <f ca="1">LOOKUP(D46,gpD100x,gpCaractere)</f>
        <v>Morose  V-2/Em+2</v>
      </c>
      <c r="I46" s="925"/>
      <c r="J46" s="925"/>
      <c r="K46" s="923" t="str">
        <f t="shared" ca="1" si="0"/>
        <v xml:space="preserve">Caractère = Morose  V-2/Em+2  </v>
      </c>
      <c r="O46" s="923"/>
      <c r="P46" s="923"/>
      <c r="Q46" s="923"/>
      <c r="R46" s="923"/>
      <c r="S46" s="923"/>
      <c r="T46" s="923"/>
      <c r="U46" s="925"/>
      <c r="V46" s="923"/>
      <c r="W46" s="923"/>
      <c r="X46" s="923"/>
      <c r="Y46" s="1071"/>
      <c r="Z46" s="923"/>
      <c r="AA46" s="923"/>
      <c r="AB46" s="923"/>
      <c r="AC46" s="923"/>
      <c r="AD46" s="923"/>
      <c r="AE46" s="923"/>
      <c r="AF46" s="923"/>
      <c r="AG46" s="923"/>
      <c r="AH46" s="923"/>
      <c r="AI46" s="923"/>
      <c r="AJ46" s="923"/>
      <c r="AK46" s="923"/>
      <c r="AL46" s="923"/>
      <c r="AM46" s="923"/>
      <c r="AN46" s="923"/>
      <c r="AO46" s="923"/>
      <c r="AP46" s="923"/>
      <c r="AQ46" s="923"/>
      <c r="AR46" s="923"/>
      <c r="AS46" s="923"/>
      <c r="AT46" s="923"/>
      <c r="AU46" s="923"/>
      <c r="AV46" s="924"/>
      <c r="AW46" s="923"/>
      <c r="AX46" s="923"/>
      <c r="AY46" s="923"/>
      <c r="AZ46" s="923"/>
      <c r="BA46" s="923"/>
      <c r="BB46" s="923"/>
      <c r="BC46" s="923"/>
      <c r="BD46" s="923"/>
      <c r="BE46" s="923"/>
      <c r="BF46" s="923"/>
      <c r="BG46" s="923"/>
      <c r="BH46" s="923"/>
      <c r="BI46" s="923"/>
      <c r="BJ46" s="923"/>
      <c r="BK46" s="923"/>
      <c r="BL46" s="923"/>
      <c r="BM46" s="923"/>
      <c r="BN46" s="923"/>
      <c r="BO46" s="923"/>
      <c r="BP46" s="923"/>
      <c r="BQ46" s="923"/>
      <c r="BR46" s="923"/>
      <c r="BS46" s="923"/>
      <c r="BT46" s="923"/>
      <c r="BU46" s="923"/>
      <c r="BV46" s="923"/>
      <c r="BW46" s="923"/>
      <c r="BX46" s="923"/>
      <c r="BY46" s="923"/>
      <c r="BZ46" s="923"/>
      <c r="CA46" s="923"/>
      <c r="CB46" s="923"/>
      <c r="CC46" s="923"/>
      <c r="CD46" s="923"/>
      <c r="CE46" s="923"/>
      <c r="CF46" s="923"/>
      <c r="CG46" s="923"/>
      <c r="CH46" s="923">
        <v>55</v>
      </c>
      <c r="CI46" s="978" t="s">
        <v>5074</v>
      </c>
      <c r="CJ46" s="923"/>
      <c r="CK46" s="923"/>
      <c r="CL46" s="923"/>
      <c r="CM46" s="923"/>
      <c r="CN46" s="923"/>
      <c r="CO46" s="923"/>
      <c r="CP46" s="923"/>
      <c r="CQ46" s="923"/>
      <c r="CR46" s="923"/>
      <c r="CS46" s="923"/>
      <c r="CT46" s="923"/>
      <c r="CU46" s="923"/>
      <c r="CV46" s="923"/>
      <c r="CW46" s="923"/>
      <c r="CX46" s="923"/>
      <c r="CY46" s="923"/>
      <c r="CZ46" s="923"/>
      <c r="DA46" s="923"/>
      <c r="DB46" s="923"/>
      <c r="DC46" s="923"/>
      <c r="DD46" s="923"/>
      <c r="DE46" s="923"/>
      <c r="DF46" s="923"/>
      <c r="DG46" s="923"/>
      <c r="DH46" s="923"/>
      <c r="DI46" s="923"/>
      <c r="DJ46" s="923"/>
      <c r="DK46" s="923"/>
      <c r="DL46" s="923"/>
      <c r="DM46" s="923"/>
      <c r="DN46" s="923"/>
      <c r="DO46" s="961" t="s">
        <v>4545</v>
      </c>
      <c r="DP46" s="923"/>
      <c r="DQ46" s="923"/>
      <c r="DR46" s="923"/>
      <c r="DS46" s="923"/>
      <c r="DT46" s="923"/>
      <c r="DU46" s="923"/>
      <c r="DV46" s="921" t="s">
        <v>4546</v>
      </c>
      <c r="DW46" s="921" t="s">
        <v>4547</v>
      </c>
      <c r="DX46" s="923"/>
      <c r="DY46" s="923"/>
      <c r="DZ46" s="923"/>
      <c r="EA46" s="923"/>
      <c r="EB46" s="923"/>
      <c r="EC46" s="923"/>
      <c r="ED46" s="923"/>
      <c r="EE46" s="923"/>
      <c r="EF46" s="923"/>
      <c r="EG46" s="923"/>
      <c r="EH46" s="923"/>
      <c r="EI46" s="923"/>
      <c r="EJ46" s="923"/>
      <c r="EK46" s="923"/>
      <c r="EL46" s="923"/>
      <c r="EM46" s="923"/>
      <c r="ES46" s="970" t="s">
        <v>4776</v>
      </c>
      <c r="ET46" s="971">
        <v>370</v>
      </c>
      <c r="EU46" s="972" t="s">
        <v>4719</v>
      </c>
      <c r="EV46" s="973">
        <v>3</v>
      </c>
      <c r="EW46" s="974" t="s">
        <v>4683</v>
      </c>
      <c r="EX46" s="973">
        <v>1</v>
      </c>
      <c r="EY46" s="974" t="s">
        <v>4691</v>
      </c>
      <c r="EZ46" s="973">
        <v>1</v>
      </c>
      <c r="FA46" s="972" t="s">
        <v>87</v>
      </c>
      <c r="FB46" s="973">
        <v>2</v>
      </c>
      <c r="FC46" s="972" t="s">
        <v>1045</v>
      </c>
      <c r="FD46" s="973">
        <v>2</v>
      </c>
      <c r="FE46" s="972" t="s">
        <v>4713</v>
      </c>
    </row>
    <row r="47" spans="1:161" ht="12" customHeight="1" thickBot="1">
      <c r="A47" s="922"/>
      <c r="B47" s="951">
        <v>46</v>
      </c>
      <c r="C47" s="923" t="s">
        <v>4652</v>
      </c>
      <c r="D47" s="924">
        <f ca="1">RANDBETWEEN(1,10)</f>
        <v>5</v>
      </c>
      <c r="E47" s="924">
        <f t="shared" ref="E47:E53" ca="1" si="3">RANDBETWEEN(1,100)</f>
        <v>28</v>
      </c>
      <c r="F47" s="924">
        <f ca="1">RANDBETWEEN(1,10)</f>
        <v>9</v>
      </c>
      <c r="G47" s="924">
        <f ca="1">RANDBETWEEN(1,10)</f>
        <v>6</v>
      </c>
      <c r="H47" s="925" t="str">
        <f ca="1">LOOKUP(E47,dTraitSpe,gpTraitSpe)</f>
        <v>Pilosité, nat Ap+d6-d6. D10* : 1=aucun poil…2=erratique…3=sur abondante…4=bicolore.</v>
      </c>
      <c r="I47" s="925"/>
      <c r="J47" s="925"/>
      <c r="K47" s="923" t="str">
        <f t="shared" ca="1" si="0"/>
        <v xml:space="preserve">Trait spécial 1 = Pilosité, nat Ap+d6-d6. D10* : 1=aucun poil…2=erratique…3=sur abondante…4=bicolore.  </v>
      </c>
      <c r="O47" s="923"/>
      <c r="P47" s="923"/>
      <c r="Q47" s="923"/>
      <c r="R47" s="923"/>
      <c r="S47" s="923"/>
      <c r="T47" s="923"/>
      <c r="U47" s="925"/>
      <c r="V47" s="923"/>
      <c r="W47" s="923"/>
      <c r="X47" s="923"/>
      <c r="Y47" s="1071"/>
      <c r="Z47" s="923"/>
      <c r="AA47" s="923"/>
      <c r="AB47" s="923"/>
      <c r="AC47" s="923"/>
      <c r="AD47" s="923"/>
      <c r="AE47" s="923"/>
      <c r="AF47" s="923"/>
      <c r="AG47" s="923"/>
      <c r="AH47" s="923"/>
      <c r="AI47" s="923"/>
      <c r="AJ47" s="923"/>
      <c r="AK47" s="923"/>
      <c r="AL47" s="923"/>
      <c r="AM47" s="923"/>
      <c r="AN47" s="923"/>
      <c r="AO47" s="923"/>
      <c r="AP47" s="923"/>
      <c r="AQ47" s="923"/>
      <c r="AR47" s="923"/>
      <c r="AS47" s="923"/>
      <c r="AT47" s="923"/>
      <c r="AU47" s="923"/>
      <c r="AV47" s="924"/>
      <c r="AW47" s="923"/>
      <c r="AX47" s="923"/>
      <c r="AY47" s="923"/>
      <c r="AZ47" s="923"/>
      <c r="BA47" s="923"/>
      <c r="BB47" s="923"/>
      <c r="BC47" s="923"/>
      <c r="BD47" s="923"/>
      <c r="BE47" s="923"/>
      <c r="BF47" s="923"/>
      <c r="BG47" s="923"/>
      <c r="BH47" s="923"/>
      <c r="BI47" s="923"/>
      <c r="BJ47" s="923"/>
      <c r="BK47" s="923"/>
      <c r="BL47" s="923"/>
      <c r="BM47" s="923"/>
      <c r="BN47" s="923"/>
      <c r="BO47" s="923"/>
      <c r="BP47" s="923"/>
      <c r="BQ47" s="923"/>
      <c r="BR47" s="923"/>
      <c r="BS47" s="923"/>
      <c r="BT47" s="923"/>
      <c r="BU47" s="923"/>
      <c r="BV47" s="923"/>
      <c r="BW47" s="923"/>
      <c r="BX47" s="923"/>
      <c r="BY47" s="923"/>
      <c r="BZ47" s="923"/>
      <c r="CA47" s="923"/>
      <c r="CB47" s="923"/>
      <c r="CC47" s="923"/>
      <c r="CD47" s="923"/>
      <c r="CE47" s="923"/>
      <c r="CF47" s="923"/>
      <c r="CG47" s="923"/>
      <c r="CH47" s="923">
        <v>57</v>
      </c>
      <c r="CI47" s="966" t="s">
        <v>5075</v>
      </c>
      <c r="CJ47" s="923"/>
      <c r="CK47" s="923"/>
      <c r="CL47" s="923"/>
      <c r="CM47" s="923"/>
      <c r="CN47" s="923"/>
      <c r="CO47" s="923"/>
      <c r="CP47" s="923"/>
      <c r="CQ47" s="923"/>
      <c r="CR47" s="923"/>
      <c r="CS47" s="923"/>
      <c r="CT47" s="923"/>
      <c r="CU47" s="923"/>
      <c r="CV47" s="923"/>
      <c r="CW47" s="923"/>
      <c r="CX47" s="923"/>
      <c r="CY47" s="923"/>
      <c r="CZ47" s="923"/>
      <c r="DA47" s="923"/>
      <c r="DB47" s="923"/>
      <c r="DC47" s="923"/>
      <c r="DD47" s="923"/>
      <c r="DE47" s="923"/>
      <c r="DF47" s="923"/>
      <c r="DG47" s="923"/>
      <c r="DH47" s="923"/>
      <c r="DI47" s="923"/>
      <c r="DJ47" s="923"/>
      <c r="DK47" s="923"/>
      <c r="DL47" s="923"/>
      <c r="DM47" s="923"/>
      <c r="DN47" s="923"/>
      <c r="DO47" s="961" t="s">
        <v>4548</v>
      </c>
      <c r="DP47" s="923"/>
      <c r="DQ47" s="923"/>
      <c r="DR47" s="923"/>
      <c r="DS47" s="923"/>
      <c r="DT47" s="923"/>
      <c r="DU47" s="923"/>
      <c r="DV47" s="964" t="s">
        <v>5076</v>
      </c>
      <c r="DW47" s="964" t="s">
        <v>4549</v>
      </c>
      <c r="DX47" s="923"/>
      <c r="DY47" s="923"/>
      <c r="DZ47" s="923"/>
      <c r="EA47" s="923"/>
      <c r="EB47" s="923"/>
      <c r="EC47" s="923"/>
      <c r="ED47" s="923"/>
      <c r="EE47" s="923"/>
      <c r="EF47" s="923"/>
      <c r="EG47" s="923"/>
      <c r="EH47" s="923"/>
      <c r="EI47" s="923"/>
      <c r="EJ47" s="923"/>
      <c r="EK47" s="923"/>
      <c r="EL47" s="923"/>
      <c r="EM47" s="923"/>
      <c r="ES47" s="970" t="s">
        <v>1146</v>
      </c>
      <c r="ET47" s="971">
        <v>80</v>
      </c>
      <c r="EU47" s="972" t="s">
        <v>1022</v>
      </c>
      <c r="EV47" s="973">
        <v>2</v>
      </c>
      <c r="EW47" s="972" t="s">
        <v>4384</v>
      </c>
      <c r="EX47" s="973">
        <v>3</v>
      </c>
      <c r="EY47" s="972" t="s">
        <v>4704</v>
      </c>
      <c r="EZ47" s="973">
        <v>1</v>
      </c>
      <c r="FA47" s="972" t="s">
        <v>4752</v>
      </c>
      <c r="FB47" s="973">
        <v>1</v>
      </c>
      <c r="FC47" s="972"/>
      <c r="FD47" s="973">
        <v>0</v>
      </c>
      <c r="FE47" s="972"/>
    </row>
    <row r="48" spans="1:161" ht="12" customHeight="1" thickBot="1">
      <c r="A48" s="922"/>
      <c r="B48" s="951">
        <v>47</v>
      </c>
      <c r="C48" s="923" t="s">
        <v>4653</v>
      </c>
      <c r="D48" s="924"/>
      <c r="E48" s="924">
        <f t="shared" ca="1" si="3"/>
        <v>78</v>
      </c>
      <c r="F48" s="924">
        <f t="shared" ref="F48:G50" ca="1" si="4">RANDBETWEEN(1,10)</f>
        <v>1</v>
      </c>
      <c r="G48" s="924">
        <f t="shared" ca="1" si="4"/>
        <v>2</v>
      </c>
      <c r="H48" s="925" t="str">
        <f ca="1">IF(D47&gt;4,LOOKUP(E48,dTraitSpe,gpTraitSpe)," ")</f>
        <v>Passion spéciale (objet de la passion à déterminer avec le Livre Trésor) D10* 1= petite passion…2=grande passion…3= objet rare…4= objet unique.</v>
      </c>
      <c r="I48" s="925"/>
      <c r="J48" s="925"/>
      <c r="K48" s="923" t="str">
        <f t="shared" ca="1" si="0"/>
        <v xml:space="preserve">Trait spécial 2 = Passion spéciale (objet de la passion à déterminer avec le Livre Trésor) D10* 1= petite passion…2=grande passion…3= objet rare…4= objet unique.  </v>
      </c>
      <c r="O48" s="923"/>
      <c r="P48" s="923"/>
      <c r="Q48" s="923"/>
      <c r="R48" s="923"/>
      <c r="S48" s="923"/>
      <c r="T48" s="923"/>
      <c r="U48" s="925"/>
      <c r="V48" s="923"/>
      <c r="W48" s="923"/>
      <c r="X48" s="923"/>
      <c r="Y48" s="1071"/>
      <c r="Z48" s="923"/>
      <c r="AA48" s="923"/>
      <c r="AB48" s="923"/>
      <c r="AC48" s="923"/>
      <c r="AD48" s="923"/>
      <c r="AE48" s="923"/>
      <c r="AF48" s="923"/>
      <c r="AG48" s="923"/>
      <c r="AH48" s="923"/>
      <c r="AI48" s="923"/>
      <c r="AJ48" s="923"/>
      <c r="AK48" s="923"/>
      <c r="AL48" s="923"/>
      <c r="AM48" s="923"/>
      <c r="AN48" s="923"/>
      <c r="AO48" s="923"/>
      <c r="AP48" s="923"/>
      <c r="AQ48" s="923"/>
      <c r="AR48" s="923"/>
      <c r="AS48" s="923"/>
      <c r="AT48" s="923"/>
      <c r="AU48" s="923"/>
      <c r="AV48" s="924"/>
      <c r="AW48" s="923"/>
      <c r="AX48" s="923"/>
      <c r="AY48" s="923"/>
      <c r="AZ48" s="923"/>
      <c r="BA48" s="923"/>
      <c r="BB48" s="923"/>
      <c r="BC48" s="923"/>
      <c r="BD48" s="923"/>
      <c r="BE48" s="923"/>
      <c r="BF48" s="923"/>
      <c r="BG48" s="923"/>
      <c r="BH48" s="923"/>
      <c r="BI48" s="923"/>
      <c r="BJ48" s="923"/>
      <c r="BK48" s="923"/>
      <c r="BL48" s="923"/>
      <c r="BM48" s="923"/>
      <c r="BN48" s="923"/>
      <c r="BO48" s="923"/>
      <c r="BP48" s="923"/>
      <c r="BQ48" s="923"/>
      <c r="BR48" s="923"/>
      <c r="BS48" s="923"/>
      <c r="BT48" s="923"/>
      <c r="BU48" s="923"/>
      <c r="BV48" s="923"/>
      <c r="BW48" s="923"/>
      <c r="BX48" s="923"/>
      <c r="BY48" s="923"/>
      <c r="BZ48" s="923"/>
      <c r="CA48" s="923"/>
      <c r="CB48" s="923"/>
      <c r="CC48" s="923"/>
      <c r="CD48" s="923"/>
      <c r="CE48" s="923"/>
      <c r="CF48" s="923"/>
      <c r="CG48" s="923"/>
      <c r="CH48" s="923">
        <v>58</v>
      </c>
      <c r="CI48" s="978" t="s">
        <v>5077</v>
      </c>
      <c r="CJ48" s="923"/>
      <c r="CK48" s="923"/>
      <c r="CL48" s="923"/>
      <c r="CM48" s="923"/>
      <c r="CN48" s="923"/>
      <c r="CO48" s="923"/>
      <c r="CP48" s="923"/>
      <c r="CQ48" s="923"/>
      <c r="CR48" s="923"/>
      <c r="CS48" s="923"/>
      <c r="CT48" s="923"/>
      <c r="CU48" s="923"/>
      <c r="CV48" s="923"/>
      <c r="CW48" s="923"/>
      <c r="CX48" s="923"/>
      <c r="CY48" s="923"/>
      <c r="CZ48" s="923"/>
      <c r="DA48" s="923"/>
      <c r="DB48" s="923"/>
      <c r="DC48" s="923"/>
      <c r="DD48" s="923"/>
      <c r="DE48" s="923"/>
      <c r="DF48" s="923"/>
      <c r="DG48" s="923"/>
      <c r="DH48" s="923"/>
      <c r="DI48" s="923"/>
      <c r="DJ48" s="923"/>
      <c r="DK48" s="923"/>
      <c r="DL48" s="923"/>
      <c r="DM48" s="923"/>
      <c r="DN48" s="923"/>
      <c r="DO48" s="961" t="s">
        <v>4550</v>
      </c>
      <c r="DP48" s="923"/>
      <c r="DQ48" s="923"/>
      <c r="DR48" s="923"/>
      <c r="DS48" s="923"/>
      <c r="DT48" s="923"/>
      <c r="DU48" s="923"/>
      <c r="DV48" s="921" t="s">
        <v>4551</v>
      </c>
      <c r="DW48" s="921" t="s">
        <v>4552</v>
      </c>
      <c r="DX48" s="923"/>
      <c r="DY48" s="923"/>
      <c r="DZ48" s="923"/>
      <c r="EA48" s="923"/>
      <c r="EB48" s="923"/>
      <c r="EC48" s="923"/>
      <c r="ED48" s="923"/>
      <c r="EE48" s="923"/>
      <c r="EF48" s="923"/>
      <c r="EG48" s="923"/>
      <c r="EH48" s="923"/>
      <c r="EI48" s="923"/>
      <c r="EJ48" s="923"/>
      <c r="EK48" s="923"/>
      <c r="EL48" s="923"/>
      <c r="EM48" s="923"/>
      <c r="ES48" s="970" t="s">
        <v>4777</v>
      </c>
      <c r="ET48" s="971">
        <v>340</v>
      </c>
      <c r="EU48" s="972" t="s">
        <v>4704</v>
      </c>
      <c r="EV48" s="973">
        <v>3</v>
      </c>
      <c r="EW48" s="972" t="s">
        <v>87</v>
      </c>
      <c r="EX48" s="973">
        <v>3</v>
      </c>
      <c r="EY48" s="972" t="s">
        <v>4695</v>
      </c>
      <c r="EZ48" s="973">
        <v>3</v>
      </c>
      <c r="FA48" s="972" t="s">
        <v>1526</v>
      </c>
      <c r="FB48" s="973">
        <v>2</v>
      </c>
      <c r="FC48" s="972" t="s">
        <v>4708</v>
      </c>
      <c r="FD48" s="973">
        <v>2</v>
      </c>
      <c r="FE48" s="972"/>
    </row>
    <row r="49" spans="1:161" ht="12" customHeight="1" thickBot="1">
      <c r="A49" s="922"/>
      <c r="B49" s="951">
        <v>48</v>
      </c>
      <c r="C49" s="923" t="s">
        <v>4654</v>
      </c>
      <c r="D49" s="924"/>
      <c r="E49" s="924">
        <f t="shared" ca="1" si="3"/>
        <v>45</v>
      </c>
      <c r="F49" s="924">
        <f t="shared" ca="1" si="4"/>
        <v>10</v>
      </c>
      <c r="G49" s="924">
        <f t="shared" ca="1" si="4"/>
        <v>9</v>
      </c>
      <c r="H49" s="925" t="str">
        <f ca="1">IF(D47&gt;7,LOOKUP(E49,dTraitSpe,gpTraitSpe)," ")</f>
        <v xml:space="preserve"> </v>
      </c>
      <c r="I49" s="925"/>
      <c r="J49" s="925"/>
      <c r="K49" s="923" t="str">
        <f t="shared" ca="1" si="0"/>
        <v xml:space="preserve">Trait spécial 3 =    </v>
      </c>
      <c r="O49" s="923"/>
      <c r="P49" s="923"/>
      <c r="Q49" s="923"/>
      <c r="R49" s="923"/>
      <c r="S49" s="923"/>
      <c r="T49" s="923"/>
      <c r="U49" s="925"/>
      <c r="V49" s="923"/>
      <c r="W49" s="923"/>
      <c r="X49" s="923"/>
      <c r="Y49" s="1071"/>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4"/>
      <c r="AW49" s="923"/>
      <c r="AX49" s="923"/>
      <c r="AY49" s="923"/>
      <c r="AZ49" s="923"/>
      <c r="BA49" s="923"/>
      <c r="BB49" s="923"/>
      <c r="BC49" s="923"/>
      <c r="BD49" s="923"/>
      <c r="BE49" s="923"/>
      <c r="BF49" s="923"/>
      <c r="BG49" s="923"/>
      <c r="BH49" s="923"/>
      <c r="BI49" s="923"/>
      <c r="BJ49" s="923"/>
      <c r="BK49" s="923"/>
      <c r="BL49" s="923"/>
      <c r="BM49" s="923"/>
      <c r="BN49" s="923"/>
      <c r="BO49" s="923"/>
      <c r="BP49" s="923"/>
      <c r="BQ49" s="923"/>
      <c r="BR49" s="923"/>
      <c r="BS49" s="923"/>
      <c r="BT49" s="923"/>
      <c r="BU49" s="923"/>
      <c r="BV49" s="923"/>
      <c r="BW49" s="923"/>
      <c r="BX49" s="923"/>
      <c r="BY49" s="923"/>
      <c r="BZ49" s="923"/>
      <c r="CA49" s="923"/>
      <c r="CB49" s="923"/>
      <c r="CC49" s="923"/>
      <c r="CD49" s="923"/>
      <c r="CE49" s="923"/>
      <c r="CF49" s="923"/>
      <c r="CG49" s="923"/>
      <c r="CH49" s="923">
        <v>59</v>
      </c>
      <c r="CI49" s="966" t="s">
        <v>5078</v>
      </c>
      <c r="CJ49" s="923"/>
      <c r="CK49" s="923"/>
      <c r="CL49" s="923"/>
      <c r="CM49" s="923"/>
      <c r="CN49" s="923"/>
      <c r="CO49" s="923"/>
      <c r="CP49" s="923"/>
      <c r="CQ49" s="923"/>
      <c r="CR49" s="923"/>
      <c r="CS49" s="923"/>
      <c r="CT49" s="923"/>
      <c r="CU49" s="923"/>
      <c r="CV49" s="923"/>
      <c r="CW49" s="923"/>
      <c r="CX49" s="923"/>
      <c r="CY49" s="923"/>
      <c r="CZ49" s="923"/>
      <c r="DA49" s="923"/>
      <c r="DB49" s="923"/>
      <c r="DC49" s="923"/>
      <c r="DD49" s="923"/>
      <c r="DE49" s="923"/>
      <c r="DF49" s="923"/>
      <c r="DG49" s="923"/>
      <c r="DH49" s="923"/>
      <c r="DI49" s="923"/>
      <c r="DJ49" s="923"/>
      <c r="DK49" s="923"/>
      <c r="DL49" s="923"/>
      <c r="DM49" s="923"/>
      <c r="DN49" s="923"/>
      <c r="DO49" s="961" t="s">
        <v>4553</v>
      </c>
      <c r="DP49" s="923"/>
      <c r="DQ49" s="923"/>
      <c r="DR49" s="923"/>
      <c r="DS49" s="923"/>
      <c r="DT49" s="923"/>
      <c r="DU49" s="923"/>
      <c r="DV49" s="964" t="s">
        <v>4554</v>
      </c>
      <c r="DW49" s="964" t="s">
        <v>4555</v>
      </c>
      <c r="DX49" s="923"/>
      <c r="DY49" s="923"/>
      <c r="DZ49" s="923"/>
      <c r="EA49" s="923"/>
      <c r="EB49" s="923"/>
      <c r="EC49" s="923"/>
      <c r="ED49" s="923"/>
      <c r="EE49" s="923"/>
      <c r="EF49" s="923"/>
      <c r="EG49" s="923"/>
      <c r="EH49" s="923"/>
      <c r="EI49" s="923"/>
      <c r="EJ49" s="923"/>
      <c r="EK49" s="923"/>
      <c r="EL49" s="923"/>
      <c r="EM49" s="923"/>
      <c r="ES49" s="970" t="s">
        <v>1306</v>
      </c>
      <c r="ET49" s="971">
        <v>760</v>
      </c>
      <c r="EU49" s="972" t="s">
        <v>4693</v>
      </c>
      <c r="EV49" s="973">
        <v>3</v>
      </c>
      <c r="EW49" s="972" t="s">
        <v>94</v>
      </c>
      <c r="EX49" s="973">
        <v>2</v>
      </c>
      <c r="EY49" s="972" t="s">
        <v>4694</v>
      </c>
      <c r="EZ49" s="973">
        <v>2</v>
      </c>
      <c r="FA49" s="972" t="s">
        <v>4729</v>
      </c>
      <c r="FB49" s="973">
        <v>2</v>
      </c>
      <c r="FC49" s="972" t="s">
        <v>4725</v>
      </c>
      <c r="FD49" s="973">
        <v>2</v>
      </c>
      <c r="FE49" s="972" t="s">
        <v>4764</v>
      </c>
    </row>
    <row r="50" spans="1:161" ht="12" customHeight="1" thickBot="1">
      <c r="A50" s="922"/>
      <c r="B50" s="951">
        <v>49</v>
      </c>
      <c r="C50" s="923" t="s">
        <v>4655</v>
      </c>
      <c r="D50" s="924"/>
      <c r="E50" s="924">
        <f t="shared" ca="1" si="3"/>
        <v>53</v>
      </c>
      <c r="F50" s="924">
        <f t="shared" ca="1" si="4"/>
        <v>9</v>
      </c>
      <c r="G50" s="924">
        <f t="shared" ca="1" si="4"/>
        <v>5</v>
      </c>
      <c r="H50" s="925" t="str">
        <f ca="1">IF(D47&gt;9,LOOKUP(E50,dTraitSpe,gpTraitSpe)," ")</f>
        <v xml:space="preserve"> </v>
      </c>
      <c r="I50" s="925"/>
      <c r="J50" s="925"/>
      <c r="K50" s="923" t="str">
        <f t="shared" ca="1" si="0"/>
        <v xml:space="preserve">Trait spécial 4 =    </v>
      </c>
      <c r="O50" s="923"/>
      <c r="P50" s="923"/>
      <c r="Q50" s="923"/>
      <c r="R50" s="923"/>
      <c r="S50" s="923"/>
      <c r="T50" s="923"/>
      <c r="U50" s="925"/>
      <c r="V50" s="923"/>
      <c r="W50" s="923"/>
      <c r="X50" s="923"/>
      <c r="Y50" s="1071"/>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4"/>
      <c r="AW50" s="923"/>
      <c r="AX50" s="923"/>
      <c r="AY50" s="923"/>
      <c r="AZ50" s="923"/>
      <c r="BA50" s="923"/>
      <c r="BB50" s="923"/>
      <c r="BC50" s="923"/>
      <c r="BD50" s="923"/>
      <c r="BE50" s="923"/>
      <c r="BF50" s="923"/>
      <c r="BG50" s="923"/>
      <c r="BH50" s="923"/>
      <c r="BI50" s="923"/>
      <c r="BJ50" s="923"/>
      <c r="BK50" s="923"/>
      <c r="BL50" s="923"/>
      <c r="BM50" s="923"/>
      <c r="BN50" s="923"/>
      <c r="BO50" s="923"/>
      <c r="BP50" s="923"/>
      <c r="BQ50" s="923"/>
      <c r="BR50" s="923"/>
      <c r="BS50" s="923"/>
      <c r="BT50" s="923"/>
      <c r="BU50" s="923"/>
      <c r="BV50" s="923"/>
      <c r="BW50" s="923"/>
      <c r="BX50" s="923"/>
      <c r="BY50" s="923"/>
      <c r="BZ50" s="923"/>
      <c r="CA50" s="923"/>
      <c r="CB50" s="923"/>
      <c r="CC50" s="923"/>
      <c r="CD50" s="923"/>
      <c r="CE50" s="923"/>
      <c r="CF50" s="923"/>
      <c r="CG50" s="923"/>
      <c r="CH50" s="923">
        <v>60</v>
      </c>
      <c r="CI50" s="978" t="s">
        <v>5079</v>
      </c>
      <c r="CJ50" s="923"/>
      <c r="CK50" s="923"/>
      <c r="CL50" s="923"/>
      <c r="CM50" s="923"/>
      <c r="CN50" s="923"/>
      <c r="CO50" s="923"/>
      <c r="CP50" s="923"/>
      <c r="CQ50" s="923"/>
      <c r="CR50" s="923"/>
      <c r="CS50" s="923"/>
      <c r="CT50" s="923"/>
      <c r="CU50" s="923"/>
      <c r="CV50" s="923"/>
      <c r="CW50" s="923"/>
      <c r="CX50" s="923"/>
      <c r="CY50" s="923"/>
      <c r="CZ50" s="923"/>
      <c r="DA50" s="923"/>
      <c r="DB50" s="923"/>
      <c r="DC50" s="923"/>
      <c r="DD50" s="923"/>
      <c r="DE50" s="923"/>
      <c r="DF50" s="923"/>
      <c r="DG50" s="923"/>
      <c r="DH50" s="923"/>
      <c r="DI50" s="923"/>
      <c r="DJ50" s="923"/>
      <c r="DK50" s="923"/>
      <c r="DL50" s="923"/>
      <c r="DM50" s="923"/>
      <c r="DN50" s="923"/>
      <c r="DO50" s="961" t="s">
        <v>4556</v>
      </c>
      <c r="DP50" s="923"/>
      <c r="DQ50" s="923"/>
      <c r="DR50" s="923"/>
      <c r="DS50" s="923"/>
      <c r="DT50" s="923"/>
      <c r="DU50" s="923"/>
      <c r="DV50" s="921" t="s">
        <v>4557</v>
      </c>
      <c r="DW50" s="921" t="s">
        <v>4558</v>
      </c>
      <c r="DX50" s="923"/>
      <c r="DY50" s="923"/>
      <c r="DZ50" s="923"/>
      <c r="EA50" s="923"/>
      <c r="EB50" s="923"/>
      <c r="EC50" s="923"/>
      <c r="ED50" s="923"/>
      <c r="EE50" s="923"/>
      <c r="EF50" s="923"/>
      <c r="EG50" s="923"/>
      <c r="EH50" s="923"/>
      <c r="EI50" s="923"/>
      <c r="EJ50" s="923"/>
      <c r="EK50" s="923"/>
      <c r="EL50" s="923"/>
      <c r="EM50" s="923"/>
      <c r="ES50" s="970" t="s">
        <v>4778</v>
      </c>
      <c r="ET50" s="971">
        <v>400</v>
      </c>
      <c r="EU50" s="972" t="s">
        <v>4753</v>
      </c>
      <c r="EV50" s="973">
        <v>3</v>
      </c>
      <c r="EW50" s="972" t="s">
        <v>87</v>
      </c>
      <c r="EX50" s="973">
        <v>2</v>
      </c>
      <c r="EY50" s="972" t="s">
        <v>4695</v>
      </c>
      <c r="EZ50" s="973">
        <v>2</v>
      </c>
      <c r="FA50" s="972" t="s">
        <v>4700</v>
      </c>
      <c r="FB50" s="973">
        <v>2</v>
      </c>
      <c r="FC50" s="972" t="s">
        <v>4779</v>
      </c>
      <c r="FD50" s="973">
        <v>1</v>
      </c>
      <c r="FE50" s="972" t="s">
        <v>4742</v>
      </c>
    </row>
    <row r="51" spans="1:161" ht="12" customHeight="1" thickBot="1">
      <c r="A51" s="922"/>
      <c r="B51" s="951">
        <v>50</v>
      </c>
      <c r="C51" s="923" t="s">
        <v>4656</v>
      </c>
      <c r="D51" s="924">
        <f ca="1">RANDBETWEEN(1,10)</f>
        <v>1</v>
      </c>
      <c r="E51" s="924">
        <f t="shared" ca="1" si="3"/>
        <v>86</v>
      </c>
      <c r="F51" s="924"/>
      <c r="G51" s="924"/>
      <c r="H51" s="925" t="str">
        <f ca="1">IF(D51&gt;4,LOOKUP(E51,dHistoire,gpHistoire)," ")</f>
        <v xml:space="preserve"> </v>
      </c>
      <c r="I51" s="925"/>
      <c r="J51" s="925"/>
      <c r="K51" s="923" t="str">
        <f t="shared" ca="1" si="0"/>
        <v xml:space="preserve">Histoire 1 =    </v>
      </c>
      <c r="O51" s="923"/>
      <c r="P51" s="923"/>
      <c r="Q51" s="923"/>
      <c r="R51" s="923"/>
      <c r="S51" s="923"/>
      <c r="T51" s="923"/>
      <c r="U51" s="925"/>
      <c r="V51" s="923"/>
      <c r="W51" s="923"/>
      <c r="X51" s="923"/>
      <c r="Y51" s="1071"/>
      <c r="Z51" s="923"/>
      <c r="AA51" s="923"/>
      <c r="AB51" s="923"/>
      <c r="AC51" s="923"/>
      <c r="AD51" s="923"/>
      <c r="AE51" s="923"/>
      <c r="AF51" s="923"/>
      <c r="AG51" s="923"/>
      <c r="AH51" s="923"/>
      <c r="AI51" s="923"/>
      <c r="AJ51" s="923"/>
      <c r="AK51" s="923"/>
      <c r="AL51" s="923"/>
      <c r="AM51" s="923"/>
      <c r="AN51" s="923"/>
      <c r="AO51" s="923"/>
      <c r="AP51" s="923"/>
      <c r="AQ51" s="923"/>
      <c r="AR51" s="923"/>
      <c r="AS51" s="923"/>
      <c r="AT51" s="923"/>
      <c r="AU51" s="923"/>
      <c r="AV51" s="924"/>
      <c r="AW51" s="923"/>
      <c r="AX51" s="923"/>
      <c r="AY51" s="923"/>
      <c r="AZ51" s="923"/>
      <c r="BA51" s="923"/>
      <c r="BB51" s="923"/>
      <c r="BC51" s="923"/>
      <c r="BD51" s="923"/>
      <c r="BE51" s="923"/>
      <c r="BF51" s="923"/>
      <c r="BG51" s="923"/>
      <c r="BH51" s="923"/>
      <c r="BI51" s="923"/>
      <c r="BJ51" s="923"/>
      <c r="BK51" s="923"/>
      <c r="BL51" s="923"/>
      <c r="BM51" s="923"/>
      <c r="BN51" s="923"/>
      <c r="BO51" s="923"/>
      <c r="BP51" s="923"/>
      <c r="BQ51" s="923"/>
      <c r="BR51" s="923"/>
      <c r="BS51" s="923"/>
      <c r="BT51" s="923"/>
      <c r="BU51" s="923"/>
      <c r="BV51" s="923"/>
      <c r="BW51" s="923"/>
      <c r="BX51" s="923"/>
      <c r="BY51" s="923"/>
      <c r="BZ51" s="923"/>
      <c r="CA51" s="923"/>
      <c r="CB51" s="923"/>
      <c r="CC51" s="923"/>
      <c r="CD51" s="923"/>
      <c r="CE51" s="923"/>
      <c r="CF51" s="923"/>
      <c r="CG51" s="923"/>
      <c r="CH51" s="923">
        <v>62</v>
      </c>
      <c r="CI51" s="966" t="s">
        <v>5080</v>
      </c>
      <c r="CJ51" s="923"/>
      <c r="CK51" s="923"/>
      <c r="CL51" s="923"/>
      <c r="CM51" s="923"/>
      <c r="CN51" s="923"/>
      <c r="CO51" s="923"/>
      <c r="CP51" s="923"/>
      <c r="CQ51" s="923"/>
      <c r="CR51" s="923"/>
      <c r="CS51" s="923"/>
      <c r="CT51" s="923"/>
      <c r="CU51" s="923"/>
      <c r="CV51" s="923"/>
      <c r="CW51" s="923"/>
      <c r="CX51" s="923"/>
      <c r="CY51" s="923"/>
      <c r="CZ51" s="923"/>
      <c r="DA51" s="923"/>
      <c r="DB51" s="923"/>
      <c r="DC51" s="923"/>
      <c r="DD51" s="923"/>
      <c r="DE51" s="923"/>
      <c r="DF51" s="923"/>
      <c r="DG51" s="923"/>
      <c r="DH51" s="923"/>
      <c r="DI51" s="923"/>
      <c r="DJ51" s="923"/>
      <c r="DK51" s="923"/>
      <c r="DL51" s="923"/>
      <c r="DM51" s="923"/>
      <c r="DN51" s="923"/>
      <c r="DO51" s="961" t="s">
        <v>4559</v>
      </c>
      <c r="DP51" s="923"/>
      <c r="DQ51" s="923"/>
      <c r="DR51" s="923"/>
      <c r="DS51" s="923"/>
      <c r="DT51" s="923"/>
      <c r="DU51" s="923"/>
      <c r="DV51" s="964" t="s">
        <v>4560</v>
      </c>
      <c r="DW51" s="964" t="s">
        <v>4561</v>
      </c>
      <c r="DX51" s="923"/>
      <c r="DY51" s="923"/>
      <c r="DZ51" s="923"/>
      <c r="EA51" s="923"/>
      <c r="EB51" s="923"/>
      <c r="EC51" s="923"/>
      <c r="ED51" s="923"/>
      <c r="EE51" s="923"/>
      <c r="EF51" s="923"/>
      <c r="EG51" s="923"/>
      <c r="EH51" s="923"/>
      <c r="EI51" s="923"/>
      <c r="EJ51" s="923"/>
      <c r="EK51" s="923"/>
      <c r="EL51" s="923"/>
      <c r="EM51" s="923"/>
      <c r="ES51" s="970" t="s">
        <v>1167</v>
      </c>
      <c r="ET51" s="971">
        <v>260</v>
      </c>
      <c r="EU51" s="974" t="s">
        <v>1423</v>
      </c>
      <c r="EV51" s="973">
        <v>2</v>
      </c>
      <c r="EW51" s="974" t="s">
        <v>4780</v>
      </c>
      <c r="EX51" s="973">
        <v>2</v>
      </c>
      <c r="EY51" s="972" t="s">
        <v>1022</v>
      </c>
      <c r="EZ51" s="973">
        <v>2</v>
      </c>
      <c r="FA51" s="972" t="s">
        <v>4738</v>
      </c>
      <c r="FB51" s="973">
        <v>1</v>
      </c>
      <c r="FC51" s="972" t="s">
        <v>4779</v>
      </c>
      <c r="FD51" s="973">
        <v>1</v>
      </c>
      <c r="FE51" s="972" t="s">
        <v>4781</v>
      </c>
    </row>
    <row r="52" spans="1:161" ht="12" customHeight="1" thickBot="1">
      <c r="A52" s="922"/>
      <c r="B52" s="951">
        <v>51</v>
      </c>
      <c r="C52" s="923" t="s">
        <v>4657</v>
      </c>
      <c r="D52" s="924"/>
      <c r="E52" s="924">
        <f t="shared" ca="1" si="3"/>
        <v>97</v>
      </c>
      <c r="F52" s="924"/>
      <c r="G52" s="924"/>
      <c r="H52" s="925" t="str">
        <f ca="1">IF(D51&gt;7,LOOKUP(E52,dHistoire,gpHistoire)," ")</f>
        <v xml:space="preserve"> </v>
      </c>
      <c r="I52" s="925"/>
      <c r="J52" s="925"/>
      <c r="K52" s="923" t="str">
        <f t="shared" ca="1" si="0"/>
        <v xml:space="preserve">Histoire 2 =    </v>
      </c>
      <c r="O52" s="923"/>
      <c r="P52" s="923"/>
      <c r="Q52" s="923"/>
      <c r="R52" s="923"/>
      <c r="S52" s="923"/>
      <c r="T52" s="923"/>
      <c r="U52" s="925"/>
      <c r="V52" s="923"/>
      <c r="W52" s="923"/>
      <c r="X52" s="923"/>
      <c r="Y52" s="1071"/>
      <c r="Z52" s="923"/>
      <c r="AA52" s="923"/>
      <c r="AB52" s="923"/>
      <c r="AC52" s="923"/>
      <c r="AD52" s="923"/>
      <c r="AE52" s="923"/>
      <c r="AF52" s="923"/>
      <c r="AG52" s="923"/>
      <c r="AH52" s="923"/>
      <c r="AI52" s="923"/>
      <c r="AJ52" s="923"/>
      <c r="AK52" s="923"/>
      <c r="AL52" s="923"/>
      <c r="AM52" s="923"/>
      <c r="AN52" s="923"/>
      <c r="AO52" s="923"/>
      <c r="AP52" s="923"/>
      <c r="AQ52" s="923"/>
      <c r="AR52" s="923"/>
      <c r="AS52" s="923"/>
      <c r="AT52" s="923"/>
      <c r="AU52" s="923"/>
      <c r="AV52" s="924"/>
      <c r="AW52" s="923"/>
      <c r="AX52" s="923"/>
      <c r="AY52" s="923"/>
      <c r="AZ52" s="923"/>
      <c r="BA52" s="923"/>
      <c r="BB52" s="923"/>
      <c r="BC52" s="923"/>
      <c r="BD52" s="923"/>
      <c r="BE52" s="923"/>
      <c r="BF52" s="923"/>
      <c r="BG52" s="923"/>
      <c r="BH52" s="923"/>
      <c r="BI52" s="923"/>
      <c r="BJ52" s="923"/>
      <c r="BK52" s="923"/>
      <c r="BL52" s="923"/>
      <c r="BM52" s="923"/>
      <c r="BN52" s="923"/>
      <c r="BO52" s="923"/>
      <c r="BP52" s="923"/>
      <c r="BQ52" s="923"/>
      <c r="BR52" s="923"/>
      <c r="BS52" s="923"/>
      <c r="BT52" s="923"/>
      <c r="BU52" s="923"/>
      <c r="BV52" s="923"/>
      <c r="BW52" s="923"/>
      <c r="BX52" s="923"/>
      <c r="BY52" s="923"/>
      <c r="BZ52" s="923"/>
      <c r="CA52" s="923"/>
      <c r="CB52" s="923"/>
      <c r="CC52" s="923"/>
      <c r="CD52" s="923"/>
      <c r="CE52" s="923"/>
      <c r="CF52" s="923"/>
      <c r="CG52" s="923"/>
      <c r="CH52" s="923">
        <v>63</v>
      </c>
      <c r="CI52" s="978" t="s">
        <v>5081</v>
      </c>
      <c r="CJ52" s="923"/>
      <c r="CK52" s="923"/>
      <c r="CL52" s="923"/>
      <c r="CM52" s="923"/>
      <c r="CN52" s="923"/>
      <c r="CO52" s="923"/>
      <c r="CP52" s="923"/>
      <c r="CQ52" s="923"/>
      <c r="CR52" s="923"/>
      <c r="CS52" s="923"/>
      <c r="CT52" s="923"/>
      <c r="CU52" s="923"/>
      <c r="CV52" s="923"/>
      <c r="CW52" s="923"/>
      <c r="CX52" s="923"/>
      <c r="CY52" s="923"/>
      <c r="CZ52" s="923"/>
      <c r="DA52" s="923"/>
      <c r="DB52" s="923"/>
      <c r="DC52" s="923"/>
      <c r="DD52" s="923"/>
      <c r="DE52" s="923"/>
      <c r="DF52" s="923"/>
      <c r="DG52" s="923"/>
      <c r="DH52" s="923"/>
      <c r="DI52" s="923"/>
      <c r="DJ52" s="923"/>
      <c r="DK52" s="923"/>
      <c r="DL52" s="923"/>
      <c r="DM52" s="923"/>
      <c r="DN52" s="923"/>
      <c r="DO52" s="923"/>
      <c r="DP52" s="923"/>
      <c r="DQ52" s="923"/>
      <c r="DR52" s="923"/>
      <c r="DS52" s="923"/>
      <c r="DT52" s="923"/>
      <c r="DU52" s="923"/>
      <c r="DV52" s="921" t="s">
        <v>4562</v>
      </c>
      <c r="DW52" s="921" t="s">
        <v>4563</v>
      </c>
      <c r="DX52" s="923"/>
      <c r="DY52" s="923"/>
      <c r="DZ52" s="923"/>
      <c r="EA52" s="923"/>
      <c r="EB52" s="923"/>
      <c r="EC52" s="923"/>
      <c r="ED52" s="923"/>
      <c r="EE52" s="923"/>
      <c r="EF52" s="923"/>
      <c r="EG52" s="923"/>
      <c r="EH52" s="923"/>
      <c r="EI52" s="923"/>
      <c r="EJ52" s="923"/>
      <c r="EK52" s="923"/>
      <c r="EL52" s="923"/>
      <c r="EM52" s="923"/>
      <c r="ES52" s="970" t="s">
        <v>4168</v>
      </c>
      <c r="ET52" s="971">
        <v>320</v>
      </c>
      <c r="EU52" s="972" t="s">
        <v>4694</v>
      </c>
      <c r="EV52" s="973">
        <v>3</v>
      </c>
      <c r="EW52" s="972" t="s">
        <v>4708</v>
      </c>
      <c r="EX52" s="973">
        <v>2</v>
      </c>
      <c r="EY52" s="972" t="s">
        <v>87</v>
      </c>
      <c r="EZ52" s="973">
        <v>2</v>
      </c>
      <c r="FA52" s="972" t="s">
        <v>4774</v>
      </c>
      <c r="FB52" s="973">
        <v>2</v>
      </c>
      <c r="FC52" s="972" t="s">
        <v>4711</v>
      </c>
      <c r="FD52" s="973">
        <v>1</v>
      </c>
      <c r="FE52" s="972" t="s">
        <v>4694</v>
      </c>
    </row>
    <row r="53" spans="1:161" ht="12" customHeight="1" thickBot="1">
      <c r="A53" s="922"/>
      <c r="B53" s="951">
        <v>52</v>
      </c>
      <c r="C53" s="923" t="s">
        <v>4658</v>
      </c>
      <c r="D53" s="924"/>
      <c r="E53" s="924">
        <f t="shared" ca="1" si="3"/>
        <v>54</v>
      </c>
      <c r="F53" s="924"/>
      <c r="G53" s="924"/>
      <c r="H53" s="925" t="str">
        <f ca="1">IF(D51&gt;9,LOOKUP(E53,dHistoire,gpHistoire)," ")</f>
        <v xml:space="preserve"> </v>
      </c>
      <c r="I53" s="925"/>
      <c r="J53" s="925"/>
      <c r="K53" s="923" t="str">
        <f t="shared" ca="1" si="0"/>
        <v xml:space="preserve">Histoire 3 =    </v>
      </c>
      <c r="O53" s="923"/>
      <c r="P53" s="923"/>
      <c r="Q53" s="923"/>
      <c r="R53" s="923"/>
      <c r="S53" s="923"/>
      <c r="T53" s="923"/>
      <c r="U53" s="925"/>
      <c r="V53" s="923"/>
      <c r="W53" s="923"/>
      <c r="X53" s="923"/>
      <c r="Y53" s="1071"/>
      <c r="Z53" s="923"/>
      <c r="AA53" s="923"/>
      <c r="AB53" s="923"/>
      <c r="AC53" s="923"/>
      <c r="AD53" s="923"/>
      <c r="AE53" s="923"/>
      <c r="AF53" s="923"/>
      <c r="AG53" s="923"/>
      <c r="AH53" s="923"/>
      <c r="AI53" s="923"/>
      <c r="AJ53" s="923"/>
      <c r="AK53" s="923"/>
      <c r="AL53" s="923"/>
      <c r="AM53" s="923"/>
      <c r="AN53" s="923"/>
      <c r="AO53" s="923"/>
      <c r="AP53" s="923"/>
      <c r="AQ53" s="923"/>
      <c r="AR53" s="923"/>
      <c r="AS53" s="923"/>
      <c r="AT53" s="923"/>
      <c r="AU53" s="923"/>
      <c r="AV53" s="924"/>
      <c r="AW53" s="923"/>
      <c r="AX53" s="923"/>
      <c r="AY53" s="923"/>
      <c r="AZ53" s="923"/>
      <c r="BA53" s="923"/>
      <c r="BB53" s="923"/>
      <c r="BC53" s="923"/>
      <c r="BD53" s="923"/>
      <c r="BE53" s="923"/>
      <c r="BF53" s="923"/>
      <c r="BG53" s="923"/>
      <c r="BH53" s="923"/>
      <c r="BI53" s="923"/>
      <c r="BJ53" s="923"/>
      <c r="BK53" s="923"/>
      <c r="BL53" s="923"/>
      <c r="BM53" s="923"/>
      <c r="BN53" s="923"/>
      <c r="BO53" s="923"/>
      <c r="BP53" s="923"/>
      <c r="BQ53" s="923"/>
      <c r="BR53" s="923"/>
      <c r="BS53" s="923"/>
      <c r="BT53" s="923"/>
      <c r="BU53" s="923"/>
      <c r="BV53" s="923"/>
      <c r="BW53" s="923"/>
      <c r="BX53" s="923"/>
      <c r="BY53" s="923"/>
      <c r="BZ53" s="923"/>
      <c r="CA53" s="923"/>
      <c r="CB53" s="923"/>
      <c r="CC53" s="923"/>
      <c r="CD53" s="923"/>
      <c r="CE53" s="923"/>
      <c r="CF53" s="923"/>
      <c r="CG53" s="923"/>
      <c r="CH53" s="923">
        <v>64</v>
      </c>
      <c r="CI53" s="966" t="s">
        <v>5082</v>
      </c>
      <c r="CJ53" s="923"/>
      <c r="CK53" s="923"/>
      <c r="CL53" s="923"/>
      <c r="CM53" s="923"/>
      <c r="CN53" s="923"/>
      <c r="CO53" s="923"/>
      <c r="CP53" s="923"/>
      <c r="CQ53" s="923"/>
      <c r="CR53" s="923"/>
      <c r="CS53" s="923"/>
      <c r="CT53" s="923"/>
      <c r="CU53" s="923"/>
      <c r="CV53" s="923"/>
      <c r="CW53" s="923"/>
      <c r="CX53" s="923"/>
      <c r="CY53" s="923"/>
      <c r="CZ53" s="923"/>
      <c r="DA53" s="923"/>
      <c r="DB53" s="923"/>
      <c r="DC53" s="923"/>
      <c r="DD53" s="923"/>
      <c r="DE53" s="923"/>
      <c r="DF53" s="923"/>
      <c r="DG53" s="923"/>
      <c r="DH53" s="923"/>
      <c r="DI53" s="923"/>
      <c r="DJ53" s="923"/>
      <c r="DK53" s="923"/>
      <c r="DL53" s="923"/>
      <c r="DM53" s="923"/>
      <c r="DN53" s="923"/>
      <c r="DO53" s="923"/>
      <c r="DP53" s="923"/>
      <c r="DQ53" s="923"/>
      <c r="DR53" s="923"/>
      <c r="DS53" s="923"/>
      <c r="DT53" s="923"/>
      <c r="DU53" s="923"/>
      <c r="DV53" s="964" t="s">
        <v>4564</v>
      </c>
      <c r="DW53" s="964" t="s">
        <v>4565</v>
      </c>
      <c r="DX53" s="923"/>
      <c r="DY53" s="923"/>
      <c r="DZ53" s="923"/>
      <c r="EA53" s="923"/>
      <c r="EB53" s="923"/>
      <c r="EC53" s="923"/>
      <c r="ED53" s="923"/>
      <c r="EE53" s="923"/>
      <c r="EF53" s="923"/>
      <c r="EG53" s="923"/>
      <c r="EH53" s="923"/>
      <c r="EI53" s="923"/>
      <c r="EJ53" s="923"/>
      <c r="EK53" s="923"/>
      <c r="EL53" s="923"/>
      <c r="EM53" s="923"/>
      <c r="ES53" s="970" t="s">
        <v>4782</v>
      </c>
      <c r="ET53" s="971">
        <v>430</v>
      </c>
      <c r="EU53" s="972" t="s">
        <v>4761</v>
      </c>
      <c r="EV53" s="973">
        <v>2</v>
      </c>
      <c r="EW53" s="980" t="s">
        <v>4731</v>
      </c>
      <c r="EX53" s="973">
        <v>2</v>
      </c>
      <c r="EY53" s="980" t="s">
        <v>4762</v>
      </c>
      <c r="EZ53" s="973">
        <v>2</v>
      </c>
      <c r="FA53" s="980" t="s">
        <v>303</v>
      </c>
      <c r="FB53" s="973">
        <v>1</v>
      </c>
      <c r="FC53" s="980" t="s">
        <v>4720</v>
      </c>
      <c r="FD53" s="973">
        <v>2</v>
      </c>
      <c r="FE53" s="972" t="s">
        <v>901</v>
      </c>
    </row>
    <row r="54" spans="1:161" ht="12" customHeight="1" thickBot="1">
      <c r="A54" s="922"/>
      <c r="B54" s="951">
        <v>53</v>
      </c>
      <c r="C54" s="923" t="s">
        <v>4659</v>
      </c>
      <c r="D54" s="924">
        <f ca="1">RANDBETWEEN(1,10)</f>
        <v>1</v>
      </c>
      <c r="E54" s="924">
        <f ca="1">RANDBETWEEN(1,20)</f>
        <v>8</v>
      </c>
      <c r="F54" s="924">
        <f ca="1">IF(E54&gt;0,LOOKUP(E54,gpD100x,TableSpe))</f>
        <v>23</v>
      </c>
      <c r="G54" s="924">
        <f ca="1">IF(E54&gt;0,RANDBETWEEN(1,F54),0)</f>
        <v>21</v>
      </c>
      <c r="H54" s="988" t="str">
        <f ca="1">IF(E54&gt;0,OFFSET($DT$1,0,E54-1)&amp;" - "&amp;OFFSET($DT$1,G54,E54-1),0)</f>
        <v>gpCapacite - vue magique : voit les sources de chaleur à travers 1m de matière à Vue/2 m, défaut = nécessite 1d6h de sommeil ou malus général -5 pendant ces heures, max Em(inu)+2</v>
      </c>
      <c r="I54" s="925"/>
      <c r="J54" s="925"/>
      <c r="K54" s="923"/>
      <c r="O54" s="923"/>
      <c r="P54" s="923"/>
      <c r="Q54" s="923"/>
      <c r="R54" s="923"/>
      <c r="S54" s="923"/>
      <c r="T54" s="923"/>
      <c r="U54" s="925"/>
      <c r="V54" s="923"/>
      <c r="W54" s="923"/>
      <c r="X54" s="923"/>
      <c r="Y54" s="1071"/>
      <c r="Z54" s="923"/>
      <c r="AA54" s="923"/>
      <c r="AB54" s="923"/>
      <c r="AC54" s="923"/>
      <c r="AD54" s="923"/>
      <c r="AE54" s="923"/>
      <c r="AF54" s="923"/>
      <c r="AG54" s="923"/>
      <c r="AH54" s="923"/>
      <c r="AI54" s="923"/>
      <c r="AJ54" s="923"/>
      <c r="AK54" s="923"/>
      <c r="AL54" s="923"/>
      <c r="AM54" s="923"/>
      <c r="AN54" s="923"/>
      <c r="AO54" s="923"/>
      <c r="AP54" s="923"/>
      <c r="AQ54" s="923"/>
      <c r="AR54" s="923"/>
      <c r="AS54" s="923"/>
      <c r="AT54" s="923"/>
      <c r="AU54" s="923"/>
      <c r="AV54" s="924"/>
      <c r="AW54" s="923"/>
      <c r="AX54" s="923"/>
      <c r="AY54" s="923"/>
      <c r="AZ54" s="923"/>
      <c r="BA54" s="923"/>
      <c r="BB54" s="923"/>
      <c r="BC54" s="923"/>
      <c r="BD54" s="923"/>
      <c r="BE54" s="923"/>
      <c r="BF54" s="923"/>
      <c r="BG54" s="923"/>
      <c r="BH54" s="923"/>
      <c r="BI54" s="923"/>
      <c r="BJ54" s="923"/>
      <c r="BK54" s="923"/>
      <c r="BL54" s="923"/>
      <c r="BM54" s="923"/>
      <c r="BN54" s="923"/>
      <c r="BO54" s="923"/>
      <c r="BP54" s="923"/>
      <c r="BQ54" s="923"/>
      <c r="BR54" s="923"/>
      <c r="BS54" s="923"/>
      <c r="BT54" s="923"/>
      <c r="BU54" s="923"/>
      <c r="BV54" s="923"/>
      <c r="BW54" s="923"/>
      <c r="BX54" s="923"/>
      <c r="BY54" s="923"/>
      <c r="BZ54" s="923"/>
      <c r="CA54" s="923"/>
      <c r="CB54" s="923"/>
      <c r="CC54" s="923"/>
      <c r="CD54" s="923"/>
      <c r="CE54" s="923"/>
      <c r="CF54" s="923"/>
      <c r="CG54" s="923"/>
      <c r="CH54" s="923">
        <v>65</v>
      </c>
      <c r="CI54" s="978" t="s">
        <v>5083</v>
      </c>
      <c r="CJ54" s="923"/>
      <c r="CK54" s="923"/>
      <c r="CL54" s="923"/>
      <c r="CM54" s="923"/>
      <c r="CN54" s="923"/>
      <c r="CO54" s="923"/>
      <c r="CP54" s="923"/>
      <c r="CQ54" s="923"/>
      <c r="CR54" s="923"/>
      <c r="CS54" s="923"/>
      <c r="CT54" s="923"/>
      <c r="CU54" s="923"/>
      <c r="CV54" s="923"/>
      <c r="CW54" s="923"/>
      <c r="CX54" s="923"/>
      <c r="CY54" s="923"/>
      <c r="CZ54" s="923"/>
      <c r="DA54" s="923"/>
      <c r="DB54" s="923"/>
      <c r="DC54" s="923"/>
      <c r="DD54" s="923"/>
      <c r="DE54" s="923"/>
      <c r="DF54" s="923"/>
      <c r="DG54" s="923"/>
      <c r="DH54" s="923"/>
      <c r="DI54" s="923"/>
      <c r="DJ54" s="923"/>
      <c r="DK54" s="923"/>
      <c r="DL54" s="923"/>
      <c r="DM54" s="923"/>
      <c r="DN54" s="923"/>
      <c r="DO54" s="923"/>
      <c r="DP54" s="923"/>
      <c r="DQ54" s="923"/>
      <c r="DR54" s="923"/>
      <c r="DS54" s="923"/>
      <c r="DT54" s="923"/>
      <c r="DU54" s="923"/>
      <c r="DV54" s="921" t="s">
        <v>4566</v>
      </c>
      <c r="DW54" s="921" t="s">
        <v>4567</v>
      </c>
      <c r="DX54" s="923"/>
      <c r="DY54" s="923"/>
      <c r="DZ54" s="923"/>
      <c r="EA54" s="923"/>
      <c r="EB54" s="923"/>
      <c r="EC54" s="923"/>
      <c r="ED54" s="923"/>
      <c r="EE54" s="923"/>
      <c r="EF54" s="923"/>
      <c r="EG54" s="923"/>
      <c r="EH54" s="923"/>
      <c r="EI54" s="923"/>
      <c r="EJ54" s="923"/>
      <c r="EK54" s="923"/>
      <c r="EL54" s="923"/>
      <c r="EM54" s="923"/>
      <c r="ES54" s="970" t="s">
        <v>1623</v>
      </c>
      <c r="ET54" s="971">
        <v>230</v>
      </c>
      <c r="EU54" s="972" t="s">
        <v>901</v>
      </c>
      <c r="EV54" s="973">
        <v>3</v>
      </c>
      <c r="EW54" s="972" t="s">
        <v>1022</v>
      </c>
      <c r="EX54" s="973">
        <v>1</v>
      </c>
      <c r="EY54" s="972" t="s">
        <v>87</v>
      </c>
      <c r="EZ54" s="973">
        <v>1</v>
      </c>
      <c r="FA54" s="972" t="s">
        <v>4706</v>
      </c>
      <c r="FB54" s="973">
        <v>2</v>
      </c>
      <c r="FC54" s="972" t="s">
        <v>4709</v>
      </c>
      <c r="FD54" s="973">
        <v>1</v>
      </c>
      <c r="FE54" s="972" t="s">
        <v>4756</v>
      </c>
    </row>
    <row r="55" spans="1:161" ht="12" customHeight="1" thickBot="1">
      <c r="A55" s="922"/>
      <c r="B55" s="951">
        <v>54</v>
      </c>
      <c r="C55" s="923" t="s">
        <v>4659</v>
      </c>
      <c r="D55" s="924"/>
      <c r="E55" s="924">
        <f ca="1">IF(D54&gt;4,RANDBETWEEN(1,20),0)</f>
        <v>0</v>
      </c>
      <c r="F55" s="924">
        <f ca="1">IF(E55&gt;0,LOOKUP(E55,gpD100x,TableSpe),0)</f>
        <v>0</v>
      </c>
      <c r="G55" s="924">
        <f t="shared" ref="G55:G57" ca="1" si="5">IF(E55&gt;0,RANDBETWEEN(1,F55),0)</f>
        <v>0</v>
      </c>
      <c r="H55" s="988">
        <f t="shared" ref="H55:H57" ca="1" si="6">IF(E55&gt;0,OFFSET($DT$1,0,E55-1)&amp;" - "&amp;OFFSET($DT$1,G55,E55-1),0)</f>
        <v>0</v>
      </c>
      <c r="I55" s="925"/>
      <c r="J55" s="925"/>
      <c r="K55" s="923" t="str">
        <f t="shared" ca="1" si="0"/>
        <v xml:space="preserve">TableSpe = 0  </v>
      </c>
      <c r="O55" s="923"/>
      <c r="P55" s="923"/>
      <c r="Q55" s="923"/>
      <c r="R55" s="923"/>
      <c r="S55" s="923"/>
      <c r="T55" s="923"/>
      <c r="U55" s="925"/>
      <c r="V55" s="923"/>
      <c r="W55" s="923"/>
      <c r="X55" s="923"/>
      <c r="Y55" s="1071"/>
      <c r="Z55" s="923"/>
      <c r="AA55" s="923"/>
      <c r="AB55" s="923"/>
      <c r="AC55" s="923"/>
      <c r="AD55" s="923"/>
      <c r="AE55" s="923"/>
      <c r="AF55" s="923"/>
      <c r="AG55" s="923"/>
      <c r="AH55" s="923"/>
      <c r="AI55" s="923"/>
      <c r="AJ55" s="923"/>
      <c r="AK55" s="923"/>
      <c r="AL55" s="923"/>
      <c r="AM55" s="923"/>
      <c r="AN55" s="923"/>
      <c r="AO55" s="923"/>
      <c r="AP55" s="923"/>
      <c r="AQ55" s="923"/>
      <c r="AR55" s="923"/>
      <c r="AS55" s="923"/>
      <c r="AT55" s="923"/>
      <c r="AU55" s="923"/>
      <c r="AV55" s="924"/>
      <c r="AW55" s="923"/>
      <c r="AX55" s="923"/>
      <c r="AY55" s="923"/>
      <c r="AZ55" s="923"/>
      <c r="BA55" s="923"/>
      <c r="BB55" s="923"/>
      <c r="BC55" s="923"/>
      <c r="BD55" s="923"/>
      <c r="BE55" s="923"/>
      <c r="BF55" s="923"/>
      <c r="BG55" s="923"/>
      <c r="BH55" s="923"/>
      <c r="BI55" s="923"/>
      <c r="BJ55" s="923"/>
      <c r="BK55" s="923"/>
      <c r="BL55" s="923"/>
      <c r="BM55" s="923"/>
      <c r="BN55" s="923"/>
      <c r="BO55" s="923"/>
      <c r="BP55" s="923"/>
      <c r="BQ55" s="923"/>
      <c r="BR55" s="923"/>
      <c r="BS55" s="923"/>
      <c r="BT55" s="923"/>
      <c r="BU55" s="923"/>
      <c r="BV55" s="923"/>
      <c r="BW55" s="923"/>
      <c r="BX55" s="923"/>
      <c r="BY55" s="923"/>
      <c r="BZ55" s="923"/>
      <c r="CA55" s="923"/>
      <c r="CB55" s="923"/>
      <c r="CC55" s="923"/>
      <c r="CD55" s="923"/>
      <c r="CE55" s="923"/>
      <c r="CF55" s="923"/>
      <c r="CG55" s="923"/>
      <c r="CH55" s="923">
        <v>66</v>
      </c>
      <c r="CI55" s="961" t="s">
        <v>5084</v>
      </c>
      <c r="CJ55" s="923"/>
      <c r="CK55" s="923"/>
      <c r="CL55" s="923"/>
      <c r="CM55" s="923"/>
      <c r="CN55" s="923"/>
      <c r="CO55" s="923"/>
      <c r="CP55" s="923"/>
      <c r="CQ55" s="923"/>
      <c r="CR55" s="923"/>
      <c r="CS55" s="923"/>
      <c r="CT55" s="923"/>
      <c r="CU55" s="923"/>
      <c r="CV55" s="923"/>
      <c r="CW55" s="923"/>
      <c r="CX55" s="923"/>
      <c r="CY55" s="923"/>
      <c r="CZ55" s="923"/>
      <c r="DA55" s="923"/>
      <c r="DB55" s="923"/>
      <c r="DC55" s="923"/>
      <c r="DD55" s="923"/>
      <c r="DE55" s="923"/>
      <c r="DF55" s="923"/>
      <c r="DG55" s="923"/>
      <c r="DH55" s="923"/>
      <c r="DI55" s="923"/>
      <c r="DJ55" s="923"/>
      <c r="DK55" s="923"/>
      <c r="DL55" s="923"/>
      <c r="DM55" s="923"/>
      <c r="DN55" s="923"/>
      <c r="DO55" s="923"/>
      <c r="DP55" s="923"/>
      <c r="DQ55" s="923"/>
      <c r="DR55" s="923"/>
      <c r="DS55" s="923"/>
      <c r="DT55" s="923"/>
      <c r="DU55" s="923"/>
      <c r="DV55" s="964" t="s">
        <v>4568</v>
      </c>
      <c r="DW55" s="964" t="s">
        <v>4569</v>
      </c>
      <c r="DX55" s="923"/>
      <c r="DY55" s="923"/>
      <c r="DZ55" s="923"/>
      <c r="EA55" s="923"/>
      <c r="EB55" s="923"/>
      <c r="EC55" s="923"/>
      <c r="ED55" s="923"/>
      <c r="EE55" s="923"/>
      <c r="EF55" s="923"/>
      <c r="EG55" s="923"/>
      <c r="EH55" s="923"/>
      <c r="EI55" s="923"/>
      <c r="EJ55" s="923"/>
      <c r="EK55" s="923"/>
      <c r="EL55" s="923"/>
      <c r="EM55" s="923"/>
      <c r="ES55" s="970" t="s">
        <v>4783</v>
      </c>
      <c r="ET55" s="971">
        <v>380</v>
      </c>
      <c r="EU55" s="972" t="s">
        <v>4707</v>
      </c>
      <c r="EV55" s="973">
        <v>2</v>
      </c>
      <c r="EW55" s="972" t="s">
        <v>2397</v>
      </c>
      <c r="EX55" s="973">
        <v>1</v>
      </c>
      <c r="EY55" s="972" t="s">
        <v>167</v>
      </c>
      <c r="EZ55" s="973">
        <v>2</v>
      </c>
      <c r="FA55" s="972" t="s">
        <v>4693</v>
      </c>
      <c r="FB55" s="973">
        <v>1</v>
      </c>
      <c r="FC55" s="972" t="s">
        <v>4681</v>
      </c>
      <c r="FD55" s="973">
        <v>3</v>
      </c>
      <c r="FE55" s="972"/>
    </row>
    <row r="56" spans="1:161" ht="12" customHeight="1" thickBot="1">
      <c r="A56" s="922"/>
      <c r="B56" s="951">
        <v>55</v>
      </c>
      <c r="C56" s="923" t="s">
        <v>4659</v>
      </c>
      <c r="D56" s="924"/>
      <c r="E56" s="924">
        <f ca="1">IF(D54&gt;7,RANDBETWEEN(1,20),0)</f>
        <v>0</v>
      </c>
      <c r="F56" s="924">
        <f ca="1">IF(E56&gt;0,LOOKUP(E56,gpD100x,TableSpe),0)</f>
        <v>0</v>
      </c>
      <c r="G56" s="924">
        <f t="shared" ca="1" si="5"/>
        <v>0</v>
      </c>
      <c r="H56" s="988">
        <f t="shared" ca="1" si="6"/>
        <v>0</v>
      </c>
      <c r="I56" s="925"/>
      <c r="J56" s="925"/>
      <c r="K56" s="923" t="str">
        <f t="shared" ca="1" si="0"/>
        <v xml:space="preserve">TableSpe = 0  </v>
      </c>
      <c r="O56" s="923"/>
      <c r="P56" s="923"/>
      <c r="Q56" s="923"/>
      <c r="R56" s="923"/>
      <c r="S56" s="923"/>
      <c r="T56" s="923"/>
      <c r="U56" s="925"/>
      <c r="V56" s="923"/>
      <c r="W56" s="923"/>
      <c r="X56" s="923"/>
      <c r="Y56" s="1071"/>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4"/>
      <c r="AW56" s="923"/>
      <c r="AX56" s="923"/>
      <c r="AY56" s="923"/>
      <c r="AZ56" s="923"/>
      <c r="BA56" s="923"/>
      <c r="BB56" s="923"/>
      <c r="BC56" s="923"/>
      <c r="BD56" s="923"/>
      <c r="BE56" s="923"/>
      <c r="BF56" s="923"/>
      <c r="BG56" s="923"/>
      <c r="BH56" s="923"/>
      <c r="BI56" s="923"/>
      <c r="BJ56" s="923"/>
      <c r="BK56" s="923"/>
      <c r="BL56" s="923"/>
      <c r="BM56" s="923"/>
      <c r="BN56" s="923"/>
      <c r="BO56" s="923"/>
      <c r="BP56" s="923"/>
      <c r="BQ56" s="923"/>
      <c r="BR56" s="923"/>
      <c r="BS56" s="923"/>
      <c r="BT56" s="923"/>
      <c r="BU56" s="923"/>
      <c r="BV56" s="923"/>
      <c r="BW56" s="923"/>
      <c r="BX56" s="923"/>
      <c r="BY56" s="923"/>
      <c r="BZ56" s="923"/>
      <c r="CA56" s="923"/>
      <c r="CB56" s="923"/>
      <c r="CC56" s="923"/>
      <c r="CD56" s="923"/>
      <c r="CE56" s="923"/>
      <c r="CF56" s="923"/>
      <c r="CG56" s="923"/>
      <c r="CH56" s="923">
        <v>97</v>
      </c>
      <c r="CI56" s="978" t="s">
        <v>5085</v>
      </c>
      <c r="CJ56" s="923"/>
      <c r="CK56" s="923"/>
      <c r="CL56" s="923"/>
      <c r="CM56" s="923"/>
      <c r="CN56" s="923"/>
      <c r="CO56" s="923"/>
      <c r="CP56" s="923"/>
      <c r="CQ56" s="923"/>
      <c r="CR56" s="923"/>
      <c r="CS56" s="923"/>
      <c r="CT56" s="923"/>
      <c r="CU56" s="923"/>
      <c r="CV56" s="923"/>
      <c r="CW56" s="923"/>
      <c r="CX56" s="923"/>
      <c r="CY56" s="923"/>
      <c r="CZ56" s="923"/>
      <c r="DA56" s="923"/>
      <c r="DB56" s="923"/>
      <c r="DC56" s="923"/>
      <c r="DD56" s="923"/>
      <c r="DE56" s="923"/>
      <c r="DF56" s="923"/>
      <c r="DG56" s="923"/>
      <c r="DH56" s="923"/>
      <c r="DI56" s="923"/>
      <c r="DJ56" s="923"/>
      <c r="DK56" s="923"/>
      <c r="DL56" s="923"/>
      <c r="DM56" s="923"/>
      <c r="DN56" s="923"/>
      <c r="DO56" s="923"/>
      <c r="DP56" s="923"/>
      <c r="DQ56" s="923"/>
      <c r="DR56" s="923"/>
      <c r="DS56" s="923"/>
      <c r="DT56" s="923"/>
      <c r="DU56" s="923"/>
      <c r="DV56" s="921" t="s">
        <v>5086</v>
      </c>
      <c r="DW56" s="923"/>
      <c r="DX56" s="923"/>
      <c r="DY56" s="923"/>
      <c r="DZ56" s="923"/>
      <c r="EA56" s="923"/>
      <c r="EB56" s="923"/>
      <c r="EC56" s="923"/>
      <c r="ED56" s="923"/>
      <c r="EE56" s="923"/>
      <c r="EF56" s="923"/>
      <c r="EG56" s="923"/>
      <c r="EH56" s="923"/>
      <c r="EI56" s="923"/>
      <c r="EJ56" s="923"/>
      <c r="EK56" s="923"/>
      <c r="EL56" s="923"/>
      <c r="EM56" s="923"/>
      <c r="ES56" s="970" t="s">
        <v>4784</v>
      </c>
      <c r="ET56" s="971">
        <v>480</v>
      </c>
      <c r="EU56" s="972" t="s">
        <v>4694</v>
      </c>
      <c r="EV56" s="973">
        <v>3</v>
      </c>
      <c r="EW56" s="972" t="s">
        <v>4711</v>
      </c>
      <c r="EX56" s="973">
        <v>3</v>
      </c>
      <c r="EY56" s="972" t="s">
        <v>4695</v>
      </c>
      <c r="EZ56" s="973">
        <v>2</v>
      </c>
      <c r="FA56" s="972" t="s">
        <v>4694</v>
      </c>
      <c r="FB56" s="973">
        <v>1</v>
      </c>
      <c r="FC56" s="972" t="s">
        <v>152</v>
      </c>
      <c r="FD56" s="973">
        <v>2</v>
      </c>
      <c r="FE56" s="972"/>
    </row>
    <row r="57" spans="1:161" ht="12" customHeight="1" thickBot="1">
      <c r="A57" s="922"/>
      <c r="B57" s="951">
        <v>56</v>
      </c>
      <c r="C57" s="923" t="s">
        <v>4659</v>
      </c>
      <c r="D57" s="924"/>
      <c r="E57" s="924">
        <f ca="1">IF(D54&gt;9,RANDBETWEEN(1,20),0)</f>
        <v>0</v>
      </c>
      <c r="F57" s="924">
        <f ca="1">IF(E57&gt;0,LOOKUP(E57,gpD100x,TableSpe),0)</f>
        <v>0</v>
      </c>
      <c r="G57" s="924">
        <f t="shared" ca="1" si="5"/>
        <v>0</v>
      </c>
      <c r="H57" s="988">
        <f t="shared" ca="1" si="6"/>
        <v>0</v>
      </c>
      <c r="I57" s="925"/>
      <c r="J57" s="925"/>
      <c r="K57" s="923" t="str">
        <f t="shared" ca="1" si="0"/>
        <v xml:space="preserve">TableSpe = 0  </v>
      </c>
      <c r="O57" s="923"/>
      <c r="P57" s="923"/>
      <c r="Q57" s="923"/>
      <c r="R57" s="923"/>
      <c r="S57" s="923"/>
      <c r="T57" s="923"/>
      <c r="U57" s="925"/>
      <c r="V57" s="923"/>
      <c r="W57" s="923"/>
      <c r="X57" s="923"/>
      <c r="Y57" s="1071"/>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4"/>
      <c r="AW57" s="923"/>
      <c r="AX57" s="923"/>
      <c r="AY57" s="923"/>
      <c r="AZ57" s="923"/>
      <c r="BA57" s="923"/>
      <c r="BB57" s="923"/>
      <c r="BC57" s="923"/>
      <c r="BD57" s="923"/>
      <c r="BE57" s="923"/>
      <c r="BF57" s="923"/>
      <c r="BG57" s="923"/>
      <c r="BH57" s="923"/>
      <c r="BI57" s="923"/>
      <c r="BJ57" s="923"/>
      <c r="BK57" s="923"/>
      <c r="BL57" s="923"/>
      <c r="BM57" s="923"/>
      <c r="BN57" s="923"/>
      <c r="BO57" s="923"/>
      <c r="BP57" s="923"/>
      <c r="BQ57" s="923"/>
      <c r="BR57" s="923"/>
      <c r="BS57" s="923"/>
      <c r="BT57" s="923"/>
      <c r="BU57" s="923"/>
      <c r="BV57" s="923"/>
      <c r="BW57" s="923"/>
      <c r="BX57" s="923"/>
      <c r="BY57" s="923"/>
      <c r="BZ57" s="923"/>
      <c r="CA57" s="923"/>
      <c r="CB57" s="923"/>
      <c r="CC57" s="923"/>
      <c r="CD57" s="923"/>
      <c r="CE57" s="923"/>
      <c r="CF57" s="923"/>
      <c r="CG57" s="923"/>
      <c r="CH57" s="923">
        <v>98</v>
      </c>
      <c r="CI57" s="966" t="s">
        <v>5087</v>
      </c>
      <c r="CJ57" s="923"/>
      <c r="CK57" s="923"/>
      <c r="CL57" s="923"/>
      <c r="CM57" s="923"/>
      <c r="CN57" s="923"/>
      <c r="CO57" s="923"/>
      <c r="CP57" s="923"/>
      <c r="CQ57" s="923"/>
      <c r="CR57" s="923"/>
      <c r="CS57" s="923"/>
      <c r="CT57" s="923"/>
      <c r="CU57" s="923"/>
      <c r="CV57" s="923"/>
      <c r="CW57" s="923"/>
      <c r="CX57" s="923"/>
      <c r="CY57" s="923"/>
      <c r="CZ57" s="923"/>
      <c r="DA57" s="923"/>
      <c r="DB57" s="923"/>
      <c r="DC57" s="923"/>
      <c r="DD57" s="923"/>
      <c r="DE57" s="923"/>
      <c r="DF57" s="923"/>
      <c r="DG57" s="923"/>
      <c r="DH57" s="923"/>
      <c r="DI57" s="923"/>
      <c r="DJ57" s="923"/>
      <c r="DK57" s="923"/>
      <c r="DL57" s="923"/>
      <c r="DM57" s="923"/>
      <c r="DN57" s="923"/>
      <c r="DO57" s="923"/>
      <c r="DP57" s="923"/>
      <c r="DQ57" s="923"/>
      <c r="DR57" s="923"/>
      <c r="DS57" s="923"/>
      <c r="DT57" s="923"/>
      <c r="DU57" s="923"/>
      <c r="DV57" s="964" t="s">
        <v>5088</v>
      </c>
      <c r="DW57" s="923"/>
      <c r="DX57" s="923"/>
      <c r="DY57" s="923"/>
      <c r="DZ57" s="923"/>
      <c r="EA57" s="923"/>
      <c r="EB57" s="923"/>
      <c r="EC57" s="923"/>
      <c r="ED57" s="923"/>
      <c r="EE57" s="923"/>
      <c r="EF57" s="923"/>
      <c r="EG57" s="923"/>
      <c r="EH57" s="923"/>
      <c r="EI57" s="923"/>
      <c r="EJ57" s="923"/>
      <c r="EK57" s="923"/>
      <c r="EL57" s="923"/>
      <c r="EM57" s="923"/>
      <c r="ES57" s="970" t="s">
        <v>4362</v>
      </c>
      <c r="ET57" s="971">
        <v>240</v>
      </c>
      <c r="EU57" s="972" t="s">
        <v>901</v>
      </c>
      <c r="EV57" s="973">
        <v>3</v>
      </c>
      <c r="EW57" s="972" t="s">
        <v>621</v>
      </c>
      <c r="EX57" s="973">
        <v>2</v>
      </c>
      <c r="EY57" s="972" t="s">
        <v>1022</v>
      </c>
      <c r="EZ57" s="973">
        <v>2</v>
      </c>
      <c r="FA57" s="972" t="s">
        <v>4758</v>
      </c>
      <c r="FB57" s="973">
        <v>2</v>
      </c>
      <c r="FC57" s="972" t="s">
        <v>2016</v>
      </c>
      <c r="FD57" s="973">
        <v>1</v>
      </c>
      <c r="FE57" s="980" t="s">
        <v>4757</v>
      </c>
    </row>
    <row r="58" spans="1:161" ht="12" customHeight="1" thickBot="1">
      <c r="A58" s="922"/>
      <c r="B58" s="951">
        <v>57</v>
      </c>
      <c r="C58" s="995" t="s">
        <v>5089</v>
      </c>
      <c r="D58" s="924">
        <f ca="1">MAX(6,RANDBETWEEN(1,10)+RANDBETWEEN(1,10))</f>
        <v>13</v>
      </c>
      <c r="E58" s="996">
        <f ca="1">LOOKUP(D58,dNatif,gpNatif)+2</f>
        <v>15</v>
      </c>
      <c r="F58" s="996">
        <f ca="1">ROUND(E58+((G58-gpForce)/10)*(RANDBETWEEN(1,6)+4),0)</f>
        <v>50</v>
      </c>
      <c r="G58" s="996">
        <f ca="1">ROUND(E58*(30+RANDBETWEEN(0,10)-RANDBETWEEN(0,10))/10,0)</f>
        <v>50</v>
      </c>
      <c r="H58" s="925"/>
      <c r="I58" s="925"/>
      <c r="J58" s="925"/>
      <c r="K58" s="923" t="str">
        <f t="shared" si="0"/>
        <v xml:space="preserve">Force =   </v>
      </c>
      <c r="O58" s="923"/>
      <c r="P58" s="923"/>
      <c r="Q58" s="923"/>
      <c r="R58" s="923"/>
      <c r="S58" s="923"/>
      <c r="T58" s="923"/>
      <c r="U58" s="925"/>
      <c r="V58" s="923"/>
      <c r="W58" s="923"/>
      <c r="X58" s="923"/>
      <c r="Y58" s="1071"/>
      <c r="Z58" s="923"/>
      <c r="AA58" s="923"/>
      <c r="AB58" s="923"/>
      <c r="AC58" s="923"/>
      <c r="AD58" s="923"/>
      <c r="AE58" s="923"/>
      <c r="AF58" s="923"/>
      <c r="AG58" s="923"/>
      <c r="AH58" s="923"/>
      <c r="AI58" s="923"/>
      <c r="AJ58" s="923"/>
      <c r="AK58" s="923"/>
      <c r="AL58" s="923"/>
      <c r="AM58" s="923"/>
      <c r="AN58" s="923"/>
      <c r="AO58" s="923"/>
      <c r="AP58" s="923"/>
      <c r="AQ58" s="923"/>
      <c r="AR58" s="923"/>
      <c r="AS58" s="923"/>
      <c r="AT58" s="923"/>
      <c r="AU58" s="923"/>
      <c r="AV58" s="924"/>
      <c r="AW58" s="923"/>
      <c r="AX58" s="923"/>
      <c r="AY58" s="923"/>
      <c r="AZ58" s="923"/>
      <c r="BA58" s="923"/>
      <c r="BB58" s="923"/>
      <c r="BC58" s="923"/>
      <c r="BD58" s="923"/>
      <c r="BE58" s="923"/>
      <c r="BF58" s="923"/>
      <c r="BG58" s="923"/>
      <c r="BH58" s="923"/>
      <c r="BI58" s="923"/>
      <c r="BJ58" s="923"/>
      <c r="BK58" s="923"/>
      <c r="BL58" s="923"/>
      <c r="BM58" s="923"/>
      <c r="BN58" s="923"/>
      <c r="BO58" s="923"/>
      <c r="BP58" s="923"/>
      <c r="BQ58" s="923"/>
      <c r="BR58" s="923"/>
      <c r="BS58" s="923"/>
      <c r="BT58" s="923"/>
      <c r="BU58" s="923"/>
      <c r="BV58" s="923"/>
      <c r="BW58" s="923"/>
      <c r="BX58" s="923"/>
      <c r="BY58" s="923"/>
      <c r="BZ58" s="923"/>
      <c r="CA58" s="923"/>
      <c r="CB58" s="923"/>
      <c r="CC58" s="923"/>
      <c r="CD58" s="923"/>
      <c r="CE58" s="923"/>
      <c r="CF58" s="923"/>
      <c r="CG58" s="923"/>
      <c r="CH58" s="923">
        <v>99</v>
      </c>
      <c r="CI58" s="978" t="s">
        <v>5090</v>
      </c>
      <c r="CJ58" s="923"/>
      <c r="CK58" s="923"/>
      <c r="CL58" s="923"/>
      <c r="CM58" s="923"/>
      <c r="CN58" s="923"/>
      <c r="CO58" s="923"/>
      <c r="CP58" s="923"/>
      <c r="CQ58" s="923"/>
      <c r="CR58" s="923"/>
      <c r="CS58" s="923"/>
      <c r="CT58" s="923"/>
      <c r="CU58" s="923"/>
      <c r="CV58" s="923"/>
      <c r="CW58" s="923"/>
      <c r="CX58" s="923"/>
      <c r="CY58" s="923"/>
      <c r="CZ58" s="923"/>
      <c r="DA58" s="923"/>
      <c r="DB58" s="923"/>
      <c r="DC58" s="923"/>
      <c r="DD58" s="923"/>
      <c r="DE58" s="923"/>
      <c r="DF58" s="923"/>
      <c r="DG58" s="923"/>
      <c r="DH58" s="923"/>
      <c r="DI58" s="923"/>
      <c r="DJ58" s="923"/>
      <c r="DK58" s="923"/>
      <c r="DL58" s="923"/>
      <c r="DM58" s="923"/>
      <c r="DN58" s="923"/>
      <c r="DO58" s="923"/>
      <c r="DP58" s="923"/>
      <c r="DQ58" s="923"/>
      <c r="DR58" s="923"/>
      <c r="DS58" s="923"/>
      <c r="DT58" s="923"/>
      <c r="DU58" s="923"/>
      <c r="DV58" s="921" t="s">
        <v>4570</v>
      </c>
      <c r="DW58" s="923"/>
      <c r="DX58" s="923"/>
      <c r="DY58" s="923"/>
      <c r="DZ58" s="923"/>
      <c r="EA58" s="923"/>
      <c r="EB58" s="923"/>
      <c r="EC58" s="923"/>
      <c r="ED58" s="923"/>
      <c r="EE58" s="923"/>
      <c r="EF58" s="923"/>
      <c r="EG58" s="923"/>
      <c r="EH58" s="923"/>
      <c r="EI58" s="923"/>
      <c r="EJ58" s="923"/>
      <c r="EK58" s="923"/>
      <c r="EL58" s="923"/>
      <c r="EM58" s="923"/>
      <c r="ES58" s="970" t="s">
        <v>4785</v>
      </c>
      <c r="ET58" s="971">
        <v>410</v>
      </c>
      <c r="EU58" s="997" t="s">
        <v>4709</v>
      </c>
      <c r="EV58" s="973">
        <v>3</v>
      </c>
      <c r="EW58" s="972" t="s">
        <v>603</v>
      </c>
      <c r="EX58" s="973">
        <v>2</v>
      </c>
      <c r="EY58" s="972" t="s">
        <v>1410</v>
      </c>
      <c r="EZ58" s="973">
        <v>2</v>
      </c>
      <c r="FA58" s="980" t="s">
        <v>1756</v>
      </c>
      <c r="FB58" s="973">
        <v>1</v>
      </c>
      <c r="FC58" s="972" t="s">
        <v>1396</v>
      </c>
      <c r="FD58" s="973">
        <v>1</v>
      </c>
      <c r="FE58" s="972" t="s">
        <v>87</v>
      </c>
    </row>
    <row r="59" spans="1:161" ht="12" customHeight="1" thickBot="1">
      <c r="A59" s="922"/>
      <c r="B59" s="951">
        <v>58</v>
      </c>
      <c r="C59" s="998" t="s">
        <v>5091</v>
      </c>
      <c r="D59" s="924">
        <f t="shared" ref="D59:D67" ca="1" si="7">MAX(6,RANDBETWEEN(1,10)+RANDBETWEEN(1,10))</f>
        <v>11</v>
      </c>
      <c r="E59" s="996">
        <f ca="1">LOOKUP(D59,dNatif,gpNatif)</f>
        <v>11</v>
      </c>
      <c r="F59" s="996">
        <f ca="1">ROUND(E59+((G59-E59)/10)*(RANDBETWEEN(1,6)+4),0)</f>
        <v>23</v>
      </c>
      <c r="G59" s="996">
        <f t="shared" ref="G59:G67" ca="1" si="8">ROUND(E59*(30+RANDBETWEEN(0,10)-RANDBETWEEN(0,10))/10,0)</f>
        <v>35</v>
      </c>
      <c r="H59" s="925"/>
      <c r="I59" s="925"/>
      <c r="J59" s="925"/>
      <c r="K59" s="923" t="str">
        <f t="shared" si="0"/>
        <v xml:space="preserve">Endurance =   </v>
      </c>
      <c r="O59" s="923"/>
      <c r="P59" s="923"/>
      <c r="Q59" s="923"/>
      <c r="R59" s="923"/>
      <c r="S59" s="923"/>
      <c r="T59" s="923"/>
      <c r="U59" s="925"/>
      <c r="V59" s="923"/>
      <c r="W59" s="923"/>
      <c r="X59" s="923"/>
      <c r="Y59" s="1071"/>
      <c r="Z59" s="923"/>
      <c r="AA59" s="923"/>
      <c r="AB59" s="923"/>
      <c r="AC59" s="923"/>
      <c r="AD59" s="923"/>
      <c r="AE59" s="923"/>
      <c r="AF59" s="923"/>
      <c r="AG59" s="923"/>
      <c r="AH59" s="923"/>
      <c r="AI59" s="923"/>
      <c r="AJ59" s="923"/>
      <c r="AK59" s="923"/>
      <c r="AL59" s="923"/>
      <c r="AM59" s="923"/>
      <c r="AN59" s="923"/>
      <c r="AO59" s="923"/>
      <c r="AP59" s="923"/>
      <c r="AQ59" s="923"/>
      <c r="AR59" s="923"/>
      <c r="AS59" s="923"/>
      <c r="AT59" s="923"/>
      <c r="AU59" s="923"/>
      <c r="AV59" s="924"/>
      <c r="AW59" s="923"/>
      <c r="AX59" s="923"/>
      <c r="AY59" s="923"/>
      <c r="AZ59" s="923"/>
      <c r="BA59" s="923"/>
      <c r="BB59" s="923"/>
      <c r="BC59" s="923"/>
      <c r="BD59" s="923"/>
      <c r="BE59" s="923"/>
      <c r="BF59" s="923"/>
      <c r="BG59" s="923"/>
      <c r="BH59" s="923"/>
      <c r="BI59" s="923"/>
      <c r="BJ59" s="923"/>
      <c r="BK59" s="923"/>
      <c r="BL59" s="923"/>
      <c r="BM59" s="923"/>
      <c r="BN59" s="923"/>
      <c r="BO59" s="923"/>
      <c r="BP59" s="923"/>
      <c r="BQ59" s="923"/>
      <c r="BR59" s="923"/>
      <c r="BS59" s="923"/>
      <c r="BT59" s="923"/>
      <c r="BU59" s="923"/>
      <c r="BV59" s="923"/>
      <c r="BW59" s="923"/>
      <c r="BX59" s="923"/>
      <c r="BY59" s="923"/>
      <c r="BZ59" s="923"/>
      <c r="CA59" s="923"/>
      <c r="CB59" s="923"/>
      <c r="CC59" s="923"/>
      <c r="CD59" s="923"/>
      <c r="CE59" s="923"/>
      <c r="CF59" s="923"/>
      <c r="CG59" s="923"/>
      <c r="CH59" s="923">
        <v>100</v>
      </c>
      <c r="CI59" s="966" t="s">
        <v>5092</v>
      </c>
      <c r="CJ59" s="923"/>
      <c r="CK59" s="923"/>
      <c r="CL59" s="923"/>
      <c r="CM59" s="923"/>
      <c r="CN59" s="923"/>
      <c r="CO59" s="923"/>
      <c r="CP59" s="923"/>
      <c r="CQ59" s="923"/>
      <c r="CR59" s="923"/>
      <c r="CS59" s="923"/>
      <c r="CT59" s="923"/>
      <c r="CU59" s="923"/>
      <c r="CV59" s="923"/>
      <c r="CW59" s="923"/>
      <c r="CX59" s="923"/>
      <c r="CY59" s="923"/>
      <c r="CZ59" s="923"/>
      <c r="DA59" s="923"/>
      <c r="DB59" s="923"/>
      <c r="DC59" s="923"/>
      <c r="DD59" s="923"/>
      <c r="DE59" s="923"/>
      <c r="DF59" s="923"/>
      <c r="DG59" s="923"/>
      <c r="DH59" s="923"/>
      <c r="DI59" s="923"/>
      <c r="DJ59" s="923"/>
      <c r="DK59" s="923"/>
      <c r="DL59" s="923"/>
      <c r="DM59" s="923"/>
      <c r="DN59" s="923"/>
      <c r="DO59" s="923"/>
      <c r="DP59" s="923"/>
      <c r="DQ59" s="923"/>
      <c r="DR59" s="923"/>
      <c r="DS59" s="923"/>
      <c r="DT59" s="923"/>
      <c r="DU59" s="923"/>
      <c r="DV59" s="964" t="s">
        <v>4571</v>
      </c>
      <c r="DW59" s="923"/>
      <c r="DX59" s="923"/>
      <c r="DY59" s="923"/>
      <c r="DZ59" s="923"/>
      <c r="EA59" s="923"/>
      <c r="EB59" s="923"/>
      <c r="EC59" s="923"/>
      <c r="ED59" s="923"/>
      <c r="EE59" s="923"/>
      <c r="EF59" s="923"/>
      <c r="EG59" s="923"/>
      <c r="EH59" s="923"/>
      <c r="EI59" s="923"/>
      <c r="EJ59" s="923"/>
      <c r="EK59" s="923"/>
      <c r="EL59" s="923"/>
      <c r="EM59" s="923"/>
      <c r="ES59" s="970" t="s">
        <v>4786</v>
      </c>
      <c r="ET59" s="971">
        <v>230</v>
      </c>
      <c r="EU59" s="972" t="s">
        <v>4787</v>
      </c>
      <c r="EV59" s="973">
        <v>2</v>
      </c>
      <c r="EW59" s="972" t="s">
        <v>4788</v>
      </c>
      <c r="EX59" s="973">
        <v>2</v>
      </c>
      <c r="EY59" s="972" t="s">
        <v>4738</v>
      </c>
      <c r="EZ59" s="973">
        <v>3</v>
      </c>
      <c r="FA59" s="972" t="s">
        <v>4789</v>
      </c>
      <c r="FB59" s="973">
        <v>1</v>
      </c>
      <c r="FC59" s="972" t="s">
        <v>1484</v>
      </c>
      <c r="FD59" s="973">
        <v>2</v>
      </c>
      <c r="FE59" s="972" t="s">
        <v>4722</v>
      </c>
    </row>
    <row r="60" spans="1:161" ht="12" customHeight="1" thickBot="1">
      <c r="A60" s="922"/>
      <c r="B60" s="951">
        <v>59</v>
      </c>
      <c r="C60" s="999" t="s">
        <v>5093</v>
      </c>
      <c r="D60" s="924">
        <f t="shared" ca="1" si="7"/>
        <v>12</v>
      </c>
      <c r="E60" s="996">
        <f ca="1">LOOKUP(D60,dNatif,gpNatif)</f>
        <v>12</v>
      </c>
      <c r="F60" s="996">
        <f t="shared" ref="F60:F67" ca="1" si="9">ROUND(E60+((G60-E60)/10)*(RANDBETWEEN(1,6)+4),0)</f>
        <v>27</v>
      </c>
      <c r="G60" s="996">
        <f t="shared" ca="1" si="8"/>
        <v>34</v>
      </c>
      <c r="H60" s="925"/>
      <c r="I60" s="925"/>
      <c r="J60" s="925"/>
      <c r="K60" s="923" t="str">
        <f t="shared" si="0"/>
        <v xml:space="preserve">Dextérité =   </v>
      </c>
      <c r="O60" s="923"/>
      <c r="P60" s="923"/>
      <c r="Q60" s="923"/>
      <c r="R60" s="923"/>
      <c r="S60" s="923"/>
      <c r="T60" s="923"/>
      <c r="U60" s="925"/>
      <c r="V60" s="923"/>
      <c r="W60" s="923"/>
      <c r="X60" s="923"/>
      <c r="Y60" s="1071"/>
      <c r="Z60" s="923"/>
      <c r="AA60" s="923"/>
      <c r="AB60" s="923"/>
      <c r="AC60" s="923"/>
      <c r="AD60" s="923"/>
      <c r="AE60" s="923"/>
      <c r="AF60" s="923"/>
      <c r="AG60" s="923"/>
      <c r="AH60" s="923"/>
      <c r="AI60" s="923"/>
      <c r="AJ60" s="923"/>
      <c r="AK60" s="923"/>
      <c r="AL60" s="923"/>
      <c r="AM60" s="923"/>
      <c r="AN60" s="923"/>
      <c r="AO60" s="923"/>
      <c r="AP60" s="923"/>
      <c r="AQ60" s="923"/>
      <c r="AR60" s="923"/>
      <c r="AS60" s="923"/>
      <c r="AT60" s="923"/>
      <c r="AU60" s="923"/>
      <c r="AV60" s="924"/>
      <c r="AW60" s="923"/>
      <c r="AX60" s="923"/>
      <c r="AY60" s="923"/>
      <c r="AZ60" s="923"/>
      <c r="BA60" s="923"/>
      <c r="BB60" s="923"/>
      <c r="BC60" s="923"/>
      <c r="BD60" s="923"/>
      <c r="BE60" s="923"/>
      <c r="BF60" s="923"/>
      <c r="BG60" s="923"/>
      <c r="BH60" s="923"/>
      <c r="BI60" s="923"/>
      <c r="BJ60" s="923"/>
      <c r="BK60" s="923"/>
      <c r="BL60" s="923"/>
      <c r="BM60" s="923"/>
      <c r="BN60" s="923"/>
      <c r="BO60" s="923"/>
      <c r="BP60" s="923"/>
      <c r="BQ60" s="923"/>
      <c r="BR60" s="923"/>
      <c r="BS60" s="923"/>
      <c r="BT60" s="923"/>
      <c r="BU60" s="923"/>
      <c r="BV60" s="923"/>
      <c r="BW60" s="923"/>
      <c r="BX60" s="923"/>
      <c r="BY60" s="923"/>
      <c r="BZ60" s="923"/>
      <c r="CA60" s="923"/>
      <c r="CB60" s="923"/>
      <c r="CC60" s="923"/>
      <c r="CD60" s="923"/>
      <c r="CE60" s="923"/>
      <c r="CF60" s="923"/>
      <c r="CG60" s="923"/>
      <c r="CH60" s="923"/>
      <c r="CI60" s="923"/>
      <c r="CJ60" s="923"/>
      <c r="CK60" s="923"/>
      <c r="CL60" s="923"/>
      <c r="CM60" s="923"/>
      <c r="CN60" s="923"/>
      <c r="CO60" s="923"/>
      <c r="CP60" s="923"/>
      <c r="CQ60" s="923"/>
      <c r="CR60" s="923"/>
      <c r="CS60" s="923"/>
      <c r="CT60" s="923"/>
      <c r="CU60" s="923"/>
      <c r="CV60" s="923"/>
      <c r="CW60" s="923"/>
      <c r="CX60" s="923"/>
      <c r="CY60" s="923"/>
      <c r="CZ60" s="923"/>
      <c r="DA60" s="923"/>
      <c r="DB60" s="923"/>
      <c r="DC60" s="923"/>
      <c r="DD60" s="923"/>
      <c r="DE60" s="923"/>
      <c r="DF60" s="923"/>
      <c r="DG60" s="923"/>
      <c r="DH60" s="923"/>
      <c r="DI60" s="923"/>
      <c r="DJ60" s="923"/>
      <c r="DK60" s="923"/>
      <c r="DL60" s="923"/>
      <c r="DM60" s="923"/>
      <c r="DN60" s="923"/>
      <c r="DO60" s="923"/>
      <c r="DP60" s="923"/>
      <c r="DQ60" s="923"/>
      <c r="DR60" s="923"/>
      <c r="DS60" s="923"/>
      <c r="DT60" s="923"/>
      <c r="DU60" s="923"/>
      <c r="DV60" s="921" t="s">
        <v>4572</v>
      </c>
      <c r="DW60" s="923"/>
      <c r="DX60" s="923"/>
      <c r="DY60" s="923"/>
      <c r="DZ60" s="923"/>
      <c r="EA60" s="923"/>
      <c r="EB60" s="923"/>
      <c r="EC60" s="923"/>
      <c r="ED60" s="923"/>
      <c r="EE60" s="923"/>
      <c r="EF60" s="923"/>
      <c r="EG60" s="923"/>
      <c r="EH60" s="923"/>
      <c r="EI60" s="923"/>
      <c r="EJ60" s="923"/>
      <c r="EK60" s="923"/>
      <c r="EL60" s="923"/>
      <c r="EM60" s="923"/>
      <c r="ES60" s="970" t="s">
        <v>1194</v>
      </c>
      <c r="ET60" s="971">
        <v>250</v>
      </c>
      <c r="EU60" s="972" t="s">
        <v>87</v>
      </c>
      <c r="EV60" s="973">
        <v>2</v>
      </c>
      <c r="EW60" s="972" t="s">
        <v>4707</v>
      </c>
      <c r="EX60" s="973">
        <v>2</v>
      </c>
      <c r="EY60" s="972" t="s">
        <v>4384</v>
      </c>
      <c r="EZ60" s="973">
        <v>3</v>
      </c>
      <c r="FA60" s="972" t="s">
        <v>1022</v>
      </c>
      <c r="FB60" s="973">
        <v>2</v>
      </c>
      <c r="FC60" s="972" t="s">
        <v>4724</v>
      </c>
      <c r="FD60" s="973">
        <v>2</v>
      </c>
      <c r="FE60" s="972"/>
    </row>
    <row r="61" spans="1:161" ht="12" customHeight="1" thickBot="1">
      <c r="A61" s="922"/>
      <c r="B61" s="951">
        <v>60</v>
      </c>
      <c r="C61" s="998" t="s">
        <v>5094</v>
      </c>
      <c r="D61" s="924">
        <f t="shared" ca="1" si="7"/>
        <v>16</v>
      </c>
      <c r="E61" s="996">
        <f ca="1">LOOKUP(D61,dNatif,gpNatif)-1</f>
        <v>15</v>
      </c>
      <c r="F61" s="996">
        <f t="shared" ca="1" si="9"/>
        <v>31</v>
      </c>
      <c r="G61" s="996">
        <f t="shared" ca="1" si="8"/>
        <v>35</v>
      </c>
      <c r="H61" s="925"/>
      <c r="I61" s="925"/>
      <c r="J61" s="925"/>
      <c r="K61" s="923" t="str">
        <f t="shared" si="0"/>
        <v xml:space="preserve">Agilité =   </v>
      </c>
      <c r="O61" s="923"/>
      <c r="P61" s="923"/>
      <c r="Q61" s="923"/>
      <c r="R61" s="923"/>
      <c r="S61" s="923"/>
      <c r="T61" s="923"/>
      <c r="U61" s="925"/>
      <c r="V61" s="923"/>
      <c r="W61" s="923"/>
      <c r="X61" s="923"/>
      <c r="Y61" s="1071"/>
      <c r="Z61" s="923"/>
      <c r="AA61" s="923"/>
      <c r="AB61" s="923"/>
      <c r="AC61" s="923"/>
      <c r="AD61" s="923"/>
      <c r="AE61" s="923"/>
      <c r="AF61" s="923"/>
      <c r="AG61" s="923"/>
      <c r="AH61" s="923"/>
      <c r="AI61" s="923"/>
      <c r="AJ61" s="923"/>
      <c r="AK61" s="923"/>
      <c r="AL61" s="923"/>
      <c r="AM61" s="923"/>
      <c r="AN61" s="923"/>
      <c r="AO61" s="923"/>
      <c r="AP61" s="923"/>
      <c r="AQ61" s="923"/>
      <c r="AR61" s="923"/>
      <c r="AS61" s="923"/>
      <c r="AT61" s="923"/>
      <c r="AU61" s="923"/>
      <c r="AV61" s="924"/>
      <c r="AW61" s="923"/>
      <c r="AX61" s="923"/>
      <c r="AY61" s="923"/>
      <c r="AZ61" s="923"/>
      <c r="BA61" s="923"/>
      <c r="BB61" s="923"/>
      <c r="BC61" s="923"/>
      <c r="BD61" s="923"/>
      <c r="BE61" s="923"/>
      <c r="BF61" s="923"/>
      <c r="BG61" s="923"/>
      <c r="BH61" s="923"/>
      <c r="BI61" s="923"/>
      <c r="BJ61" s="923"/>
      <c r="BK61" s="923"/>
      <c r="BL61" s="923"/>
      <c r="BM61" s="923"/>
      <c r="BN61" s="923"/>
      <c r="BO61" s="923"/>
      <c r="BP61" s="923"/>
      <c r="BQ61" s="923"/>
      <c r="BR61" s="923"/>
      <c r="BS61" s="923"/>
      <c r="BT61" s="923"/>
      <c r="BU61" s="923"/>
      <c r="BV61" s="923"/>
      <c r="BW61" s="923"/>
      <c r="BX61" s="923"/>
      <c r="BY61" s="923"/>
      <c r="BZ61" s="923"/>
      <c r="CA61" s="923"/>
      <c r="CB61" s="923"/>
      <c r="CC61" s="923"/>
      <c r="CD61" s="923"/>
      <c r="CE61" s="923"/>
      <c r="CF61" s="923"/>
      <c r="CG61" s="923"/>
      <c r="CH61" s="923"/>
      <c r="CI61" s="923"/>
      <c r="CJ61" s="923"/>
      <c r="CK61" s="923"/>
      <c r="CL61" s="923"/>
      <c r="CM61" s="923"/>
      <c r="CN61" s="923"/>
      <c r="CO61" s="923"/>
      <c r="CP61" s="923"/>
      <c r="CQ61" s="923"/>
      <c r="CR61" s="923"/>
      <c r="CS61" s="923"/>
      <c r="CT61" s="923"/>
      <c r="CU61" s="923"/>
      <c r="CV61" s="923"/>
      <c r="CW61" s="923"/>
      <c r="CX61" s="923"/>
      <c r="CY61" s="923"/>
      <c r="CZ61" s="923"/>
      <c r="DA61" s="923"/>
      <c r="DB61" s="923"/>
      <c r="DC61" s="923"/>
      <c r="DD61" s="923"/>
      <c r="DE61" s="923"/>
      <c r="DF61" s="923"/>
      <c r="DG61" s="923"/>
      <c r="DH61" s="923"/>
      <c r="DI61" s="923"/>
      <c r="DJ61" s="923"/>
      <c r="DK61" s="923"/>
      <c r="DL61" s="923"/>
      <c r="DM61" s="923"/>
      <c r="DN61" s="923"/>
      <c r="DO61" s="923"/>
      <c r="DP61" s="923"/>
      <c r="DQ61" s="923"/>
      <c r="DR61" s="923"/>
      <c r="DS61" s="923"/>
      <c r="DT61" s="923"/>
      <c r="DU61" s="923"/>
      <c r="DV61" s="964" t="s">
        <v>4573</v>
      </c>
      <c r="DW61" s="923"/>
      <c r="DX61" s="923"/>
      <c r="DY61" s="923"/>
      <c r="DZ61" s="923"/>
      <c r="EA61" s="923"/>
      <c r="EB61" s="923"/>
      <c r="EC61" s="923"/>
      <c r="ED61" s="923"/>
      <c r="EE61" s="923"/>
      <c r="EF61" s="923"/>
      <c r="EG61" s="923"/>
      <c r="EH61" s="923"/>
      <c r="EI61" s="923"/>
      <c r="EJ61" s="923"/>
      <c r="EK61" s="923"/>
      <c r="EL61" s="923"/>
      <c r="EM61" s="923"/>
      <c r="ES61" s="970" t="s">
        <v>1147</v>
      </c>
      <c r="ET61" s="971">
        <v>90</v>
      </c>
      <c r="EU61" s="972" t="s">
        <v>4722</v>
      </c>
      <c r="EV61" s="973">
        <v>2</v>
      </c>
      <c r="EW61" s="972" t="s">
        <v>1022</v>
      </c>
      <c r="EX61" s="973">
        <v>2</v>
      </c>
      <c r="EY61" s="974" t="s">
        <v>4770</v>
      </c>
      <c r="EZ61" s="973">
        <v>1</v>
      </c>
      <c r="FA61" s="974" t="s">
        <v>4731</v>
      </c>
      <c r="FB61" s="973">
        <v>1</v>
      </c>
      <c r="FC61" s="974" t="s">
        <v>4739</v>
      </c>
      <c r="FD61" s="973">
        <v>1</v>
      </c>
      <c r="FE61" s="972" t="s">
        <v>4752</v>
      </c>
    </row>
    <row r="62" spans="1:161" ht="12" customHeight="1" thickBot="1">
      <c r="A62" s="922"/>
      <c r="B62" s="951">
        <v>61</v>
      </c>
      <c r="C62" s="999" t="s">
        <v>5095</v>
      </c>
      <c r="D62" s="924">
        <f t="shared" ca="1" si="7"/>
        <v>9</v>
      </c>
      <c r="E62" s="996">
        <f ca="1">LOOKUP(D62,dNatif,gpNatif)</f>
        <v>9</v>
      </c>
      <c r="F62" s="996">
        <f t="shared" ca="1" si="9"/>
        <v>25</v>
      </c>
      <c r="G62" s="996">
        <f t="shared" ca="1" si="8"/>
        <v>27</v>
      </c>
      <c r="H62" s="925"/>
      <c r="I62" s="925"/>
      <c r="J62" s="925"/>
      <c r="K62" s="923" t="str">
        <f t="shared" si="0"/>
        <v xml:space="preserve">Intelligence =   </v>
      </c>
      <c r="O62" s="923"/>
      <c r="P62" s="923"/>
      <c r="Q62" s="923"/>
      <c r="R62" s="923"/>
      <c r="S62" s="923"/>
      <c r="T62" s="923"/>
      <c r="U62" s="925"/>
      <c r="V62" s="923"/>
      <c r="W62" s="923"/>
      <c r="X62" s="923"/>
      <c r="Y62" s="1071"/>
      <c r="Z62" s="923"/>
      <c r="AA62" s="923"/>
      <c r="AB62" s="923"/>
      <c r="AC62" s="923"/>
      <c r="AD62" s="923"/>
      <c r="AE62" s="923"/>
      <c r="AF62" s="923"/>
      <c r="AG62" s="923"/>
      <c r="AH62" s="923"/>
      <c r="AI62" s="923"/>
      <c r="AJ62" s="923"/>
      <c r="AK62" s="923"/>
      <c r="AL62" s="923"/>
      <c r="AM62" s="923"/>
      <c r="AN62" s="923"/>
      <c r="AO62" s="923"/>
      <c r="AP62" s="923"/>
      <c r="AQ62" s="923"/>
      <c r="AR62" s="923"/>
      <c r="AS62" s="923"/>
      <c r="AT62" s="923"/>
      <c r="AU62" s="923"/>
      <c r="AV62" s="924"/>
      <c r="AW62" s="923"/>
      <c r="AX62" s="923"/>
      <c r="AY62" s="923"/>
      <c r="AZ62" s="923"/>
      <c r="BA62" s="923"/>
      <c r="BB62" s="923"/>
      <c r="BC62" s="923"/>
      <c r="BD62" s="923"/>
      <c r="BE62" s="923"/>
      <c r="BF62" s="923"/>
      <c r="BG62" s="923"/>
      <c r="BH62" s="923"/>
      <c r="BI62" s="923"/>
      <c r="BJ62" s="923"/>
      <c r="BK62" s="923"/>
      <c r="BL62" s="923"/>
      <c r="BM62" s="923"/>
      <c r="BN62" s="923"/>
      <c r="BO62" s="923"/>
      <c r="BP62" s="923"/>
      <c r="BQ62" s="923"/>
      <c r="BR62" s="923"/>
      <c r="BS62" s="923"/>
      <c r="BT62" s="923"/>
      <c r="BU62" s="923"/>
      <c r="BV62" s="923"/>
      <c r="BW62" s="923"/>
      <c r="BX62" s="923"/>
      <c r="BY62" s="923"/>
      <c r="BZ62" s="923"/>
      <c r="CA62" s="923"/>
      <c r="CB62" s="923"/>
      <c r="CC62" s="923"/>
      <c r="CD62" s="923"/>
      <c r="CE62" s="923"/>
      <c r="CF62" s="923"/>
      <c r="CG62" s="923"/>
      <c r="CH62" s="923"/>
      <c r="CI62" s="923"/>
      <c r="CJ62" s="923"/>
      <c r="CK62" s="923"/>
      <c r="CL62" s="923"/>
      <c r="CM62" s="923"/>
      <c r="CN62" s="923"/>
      <c r="CO62" s="923"/>
      <c r="CP62" s="923"/>
      <c r="CQ62" s="923"/>
      <c r="CR62" s="923"/>
      <c r="CS62" s="923"/>
      <c r="CT62" s="923"/>
      <c r="CU62" s="923"/>
      <c r="CV62" s="923"/>
      <c r="CW62" s="923"/>
      <c r="CX62" s="923"/>
      <c r="CY62" s="923"/>
      <c r="CZ62" s="923"/>
      <c r="DA62" s="923"/>
      <c r="DB62" s="923"/>
      <c r="DC62" s="923"/>
      <c r="DD62" s="923"/>
      <c r="DE62" s="923"/>
      <c r="DF62" s="923"/>
      <c r="DG62" s="923"/>
      <c r="DH62" s="923"/>
      <c r="DI62" s="923"/>
      <c r="DJ62" s="923"/>
      <c r="DK62" s="923"/>
      <c r="DL62" s="923"/>
      <c r="DM62" s="923"/>
      <c r="DN62" s="923"/>
      <c r="DO62" s="923"/>
      <c r="DP62" s="923"/>
      <c r="DQ62" s="923"/>
      <c r="DR62" s="923"/>
      <c r="DS62" s="923"/>
      <c r="DT62" s="923"/>
      <c r="DU62" s="923"/>
      <c r="DV62" s="921" t="s">
        <v>4574</v>
      </c>
      <c r="DW62" s="923"/>
      <c r="DX62" s="923"/>
      <c r="DY62" s="923"/>
      <c r="DZ62" s="923"/>
      <c r="EA62" s="923"/>
      <c r="EB62" s="923"/>
      <c r="EC62" s="923"/>
      <c r="ED62" s="923"/>
      <c r="EE62" s="923"/>
      <c r="EF62" s="923"/>
      <c r="EG62" s="923"/>
      <c r="EH62" s="923"/>
      <c r="EI62" s="923"/>
      <c r="EJ62" s="923"/>
      <c r="EK62" s="923"/>
      <c r="EL62" s="923"/>
      <c r="EM62" s="923"/>
      <c r="ES62" s="970" t="s">
        <v>4790</v>
      </c>
      <c r="ET62" s="971">
        <v>350</v>
      </c>
      <c r="EU62" s="972" t="s">
        <v>4714</v>
      </c>
      <c r="EV62" s="973">
        <v>3</v>
      </c>
      <c r="EW62" s="972" t="s">
        <v>4756</v>
      </c>
      <c r="EX62" s="973">
        <v>3</v>
      </c>
      <c r="EY62" s="972" t="s">
        <v>4781</v>
      </c>
      <c r="EZ62" s="973">
        <v>2</v>
      </c>
      <c r="FA62" s="972" t="s">
        <v>59</v>
      </c>
      <c r="FB62" s="973">
        <v>2</v>
      </c>
      <c r="FC62" s="972" t="s">
        <v>1045</v>
      </c>
      <c r="FD62" s="973">
        <v>2</v>
      </c>
      <c r="FE62" s="972" t="s">
        <v>591</v>
      </c>
    </row>
    <row r="63" spans="1:161" ht="12" customHeight="1" thickBot="1">
      <c r="A63" s="922"/>
      <c r="B63" s="951">
        <v>62</v>
      </c>
      <c r="C63" s="998" t="s">
        <v>5096</v>
      </c>
      <c r="D63" s="924">
        <f t="shared" ca="1" si="7"/>
        <v>12</v>
      </c>
      <c r="E63" s="996">
        <f ca="1">LOOKUP(D63,dNatif,gpNatif)+1</f>
        <v>13</v>
      </c>
      <c r="F63" s="996">
        <f t="shared" ca="1" si="9"/>
        <v>23</v>
      </c>
      <c r="G63" s="996">
        <f t="shared" ca="1" si="8"/>
        <v>33</v>
      </c>
      <c r="H63" s="925"/>
      <c r="I63" s="925"/>
      <c r="J63" s="925"/>
      <c r="K63" s="923" t="str">
        <f t="shared" si="0"/>
        <v xml:space="preserve">Volonté =   </v>
      </c>
      <c r="O63" s="923"/>
      <c r="P63" s="923"/>
      <c r="Q63" s="923"/>
      <c r="R63" s="923"/>
      <c r="S63" s="923"/>
      <c r="T63" s="923"/>
      <c r="U63" s="925"/>
      <c r="V63" s="923"/>
      <c r="W63" s="923"/>
      <c r="X63" s="923"/>
      <c r="Y63" s="1071"/>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4"/>
      <c r="AW63" s="923"/>
      <c r="AX63" s="923"/>
      <c r="AY63" s="923"/>
      <c r="AZ63" s="923"/>
      <c r="BA63" s="923"/>
      <c r="BB63" s="923"/>
      <c r="BC63" s="923"/>
      <c r="BD63" s="923"/>
      <c r="BE63" s="923"/>
      <c r="BF63" s="923"/>
      <c r="BG63" s="923"/>
      <c r="BH63" s="923"/>
      <c r="BI63" s="923"/>
      <c r="BJ63" s="923"/>
      <c r="BK63" s="923"/>
      <c r="BL63" s="923"/>
      <c r="BM63" s="923"/>
      <c r="BN63" s="923"/>
      <c r="BO63" s="923"/>
      <c r="BP63" s="923"/>
      <c r="BQ63" s="923"/>
      <c r="BR63" s="923"/>
      <c r="BS63" s="923"/>
      <c r="BT63" s="923"/>
      <c r="BU63" s="923"/>
      <c r="BV63" s="923"/>
      <c r="BW63" s="923"/>
      <c r="BX63" s="923"/>
      <c r="BY63" s="923"/>
      <c r="BZ63" s="923"/>
      <c r="CA63" s="923"/>
      <c r="CB63" s="923"/>
      <c r="CC63" s="923"/>
      <c r="CD63" s="923"/>
      <c r="CE63" s="923"/>
      <c r="CF63" s="923"/>
      <c r="CG63" s="923"/>
      <c r="CH63" s="923"/>
      <c r="CI63" s="923"/>
      <c r="CJ63" s="923"/>
      <c r="CK63" s="923"/>
      <c r="CL63" s="923"/>
      <c r="CM63" s="923"/>
      <c r="CN63" s="923"/>
      <c r="CO63" s="923"/>
      <c r="CP63" s="923"/>
      <c r="CQ63" s="923"/>
      <c r="CR63" s="923"/>
      <c r="CS63" s="923"/>
      <c r="CT63" s="923"/>
      <c r="CU63" s="923"/>
      <c r="CV63" s="923"/>
      <c r="CW63" s="923"/>
      <c r="CX63" s="923"/>
      <c r="CY63" s="923"/>
      <c r="CZ63" s="923"/>
      <c r="DA63" s="923"/>
      <c r="DB63" s="923"/>
      <c r="DC63" s="923"/>
      <c r="DD63" s="923"/>
      <c r="DE63" s="923"/>
      <c r="DF63" s="923"/>
      <c r="DG63" s="923"/>
      <c r="DH63" s="923"/>
      <c r="DI63" s="923"/>
      <c r="DJ63" s="923"/>
      <c r="DK63" s="923"/>
      <c r="DL63" s="923"/>
      <c r="DM63" s="923"/>
      <c r="DN63" s="923"/>
      <c r="DO63" s="923"/>
      <c r="DP63" s="923"/>
      <c r="DQ63" s="923"/>
      <c r="DR63" s="923"/>
      <c r="DS63" s="923"/>
      <c r="DT63" s="923"/>
      <c r="DU63" s="923"/>
      <c r="DV63" s="964" t="s">
        <v>4575</v>
      </c>
      <c r="DW63" s="923"/>
      <c r="DX63" s="923"/>
      <c r="DY63" s="923"/>
      <c r="DZ63" s="923"/>
      <c r="EA63" s="923"/>
      <c r="EB63" s="923"/>
      <c r="EC63" s="923"/>
      <c r="ED63" s="923"/>
      <c r="EE63" s="923"/>
      <c r="EF63" s="923"/>
      <c r="EG63" s="923"/>
      <c r="EH63" s="923"/>
      <c r="EI63" s="923"/>
      <c r="EJ63" s="923"/>
      <c r="EK63" s="923"/>
      <c r="EL63" s="923"/>
      <c r="EM63" s="923"/>
      <c r="ES63" s="970" t="s">
        <v>1271</v>
      </c>
      <c r="ET63" s="971">
        <v>420</v>
      </c>
      <c r="EU63" s="972" t="s">
        <v>2033</v>
      </c>
      <c r="EV63" s="973">
        <v>2</v>
      </c>
      <c r="EW63" s="972" t="s">
        <v>4694</v>
      </c>
      <c r="EX63" s="973">
        <v>3</v>
      </c>
      <c r="EY63" s="972" t="s">
        <v>4774</v>
      </c>
      <c r="EZ63" s="973">
        <v>2</v>
      </c>
      <c r="FA63" s="972" t="s">
        <v>4721</v>
      </c>
      <c r="FB63" s="973">
        <v>2</v>
      </c>
      <c r="FC63" s="972" t="s">
        <v>4791</v>
      </c>
      <c r="FD63" s="973">
        <v>1</v>
      </c>
      <c r="FE63" s="972"/>
    </row>
    <row r="64" spans="1:161" ht="12" customHeight="1" thickBot="1">
      <c r="A64" s="922"/>
      <c r="B64" s="951">
        <v>63</v>
      </c>
      <c r="C64" s="999" t="s">
        <v>5097</v>
      </c>
      <c r="D64" s="924">
        <f t="shared" ca="1" si="7"/>
        <v>8</v>
      </c>
      <c r="E64" s="996">
        <f ca="1">LOOKUP(D64,dNatif,gpNatif)</f>
        <v>8</v>
      </c>
      <c r="F64" s="996">
        <f t="shared" ca="1" si="9"/>
        <v>16</v>
      </c>
      <c r="G64" s="996">
        <f t="shared" ca="1" si="8"/>
        <v>22</v>
      </c>
      <c r="H64" s="925"/>
      <c r="I64" s="925"/>
      <c r="J64" s="925"/>
      <c r="K64" s="923" t="str">
        <f t="shared" si="0"/>
        <v xml:space="preserve">Eloquence =   </v>
      </c>
      <c r="O64" s="923"/>
      <c r="P64" s="923"/>
      <c r="Q64" s="923"/>
      <c r="R64" s="923"/>
      <c r="S64" s="923"/>
      <c r="T64" s="923"/>
      <c r="U64" s="925"/>
      <c r="V64" s="923"/>
      <c r="W64" s="923"/>
      <c r="X64" s="923"/>
      <c r="Y64" s="1071"/>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4"/>
      <c r="AW64" s="923"/>
      <c r="AX64" s="923"/>
      <c r="AY64" s="923"/>
      <c r="AZ64" s="923"/>
      <c r="BA64" s="923"/>
      <c r="BB64" s="923"/>
      <c r="BC64" s="923"/>
      <c r="BD64" s="923"/>
      <c r="BE64" s="923"/>
      <c r="BF64" s="923"/>
      <c r="BG64" s="923"/>
      <c r="BH64" s="923"/>
      <c r="BI64" s="923"/>
      <c r="BJ64" s="923"/>
      <c r="BK64" s="923"/>
      <c r="BL64" s="923"/>
      <c r="BM64" s="923"/>
      <c r="BN64" s="923"/>
      <c r="BO64" s="923"/>
      <c r="BP64" s="923"/>
      <c r="BQ64" s="923"/>
      <c r="BR64" s="923"/>
      <c r="BS64" s="923"/>
      <c r="BT64" s="923"/>
      <c r="BU64" s="923"/>
      <c r="BV64" s="923"/>
      <c r="BW64" s="923"/>
      <c r="BX64" s="923"/>
      <c r="BY64" s="923"/>
      <c r="BZ64" s="923"/>
      <c r="CA64" s="923"/>
      <c r="CB64" s="923"/>
      <c r="CC64" s="923"/>
      <c r="CD64" s="923"/>
      <c r="CE64" s="923"/>
      <c r="CF64" s="923"/>
      <c r="CG64" s="923"/>
      <c r="CH64" s="923"/>
      <c r="CI64" s="923"/>
      <c r="CJ64" s="923"/>
      <c r="CK64" s="923"/>
      <c r="CL64" s="923"/>
      <c r="CM64" s="923"/>
      <c r="CN64" s="923"/>
      <c r="CO64" s="923"/>
      <c r="CP64" s="923"/>
      <c r="CQ64" s="923"/>
      <c r="CR64" s="923"/>
      <c r="CS64" s="923"/>
      <c r="CT64" s="923"/>
      <c r="CU64" s="923"/>
      <c r="CV64" s="923"/>
      <c r="CW64" s="923"/>
      <c r="CX64" s="923"/>
      <c r="CY64" s="923"/>
      <c r="CZ64" s="923"/>
      <c r="DA64" s="923"/>
      <c r="DB64" s="923"/>
      <c r="DC64" s="923"/>
      <c r="DD64" s="923"/>
      <c r="DE64" s="923"/>
      <c r="DF64" s="923"/>
      <c r="DG64" s="923"/>
      <c r="DH64" s="923"/>
      <c r="DI64" s="923"/>
      <c r="DJ64" s="923"/>
      <c r="DK64" s="923"/>
      <c r="DL64" s="923"/>
      <c r="DM64" s="923"/>
      <c r="DN64" s="923"/>
      <c r="DO64" s="923"/>
      <c r="DP64" s="923"/>
      <c r="DQ64" s="923"/>
      <c r="DR64" s="923"/>
      <c r="DS64" s="923"/>
      <c r="DT64" s="923"/>
      <c r="DU64" s="923"/>
      <c r="DV64" s="921" t="s">
        <v>4576</v>
      </c>
      <c r="DW64" s="923"/>
      <c r="DX64" s="923"/>
      <c r="DY64" s="923"/>
      <c r="DZ64" s="923"/>
      <c r="EA64" s="923"/>
      <c r="EB64" s="923"/>
      <c r="EC64" s="923"/>
      <c r="ED64" s="923"/>
      <c r="EE64" s="923"/>
      <c r="EF64" s="923"/>
      <c r="EG64" s="923"/>
      <c r="EH64" s="923"/>
      <c r="EI64" s="923"/>
      <c r="EJ64" s="923"/>
      <c r="EK64" s="923"/>
      <c r="EL64" s="923"/>
      <c r="EM64" s="923"/>
      <c r="ES64" s="970" t="s">
        <v>4792</v>
      </c>
      <c r="ET64" s="971">
        <v>300</v>
      </c>
      <c r="EU64" s="972" t="s">
        <v>4704</v>
      </c>
      <c r="EV64" s="973">
        <v>3</v>
      </c>
      <c r="EW64" s="972" t="s">
        <v>4706</v>
      </c>
      <c r="EX64" s="973">
        <v>2</v>
      </c>
      <c r="EY64" s="972" t="s">
        <v>4753</v>
      </c>
      <c r="EZ64" s="973">
        <v>2</v>
      </c>
      <c r="FA64" s="972" t="s">
        <v>87</v>
      </c>
      <c r="FB64" s="973">
        <v>2</v>
      </c>
      <c r="FC64" s="972" t="s">
        <v>1022</v>
      </c>
      <c r="FD64" s="973">
        <v>2</v>
      </c>
      <c r="FE64" s="972"/>
    </row>
    <row r="65" spans="1:161" ht="12" customHeight="1" thickBot="1">
      <c r="A65" s="922"/>
      <c r="B65" s="951">
        <v>64</v>
      </c>
      <c r="C65" s="998" t="s">
        <v>5098</v>
      </c>
      <c r="D65" s="924">
        <f t="shared" ca="1" si="7"/>
        <v>11</v>
      </c>
      <c r="E65" s="996">
        <f ca="1">LOOKUP(D65,dNatif,gpNatif)-2</f>
        <v>9</v>
      </c>
      <c r="F65" s="996">
        <f t="shared" ca="1" si="9"/>
        <v>19</v>
      </c>
      <c r="G65" s="996">
        <f t="shared" ca="1" si="8"/>
        <v>23</v>
      </c>
      <c r="H65" s="925"/>
      <c r="I65" s="925"/>
      <c r="J65" s="925"/>
      <c r="K65" s="923" t="str">
        <f t="shared" si="0"/>
        <v xml:space="preserve">Empathie =   </v>
      </c>
      <c r="O65" s="923"/>
      <c r="P65" s="923"/>
      <c r="Q65" s="923"/>
      <c r="R65" s="923"/>
      <c r="S65" s="923"/>
      <c r="T65" s="923"/>
      <c r="U65" s="925"/>
      <c r="V65" s="923"/>
      <c r="W65" s="923"/>
      <c r="X65" s="923"/>
      <c r="Y65" s="1071"/>
      <c r="Z65" s="923"/>
      <c r="AA65" s="923"/>
      <c r="AB65" s="923"/>
      <c r="AC65" s="923"/>
      <c r="AD65" s="923"/>
      <c r="AE65" s="923"/>
      <c r="AF65" s="923"/>
      <c r="AG65" s="923"/>
      <c r="AH65" s="923"/>
      <c r="AI65" s="923"/>
      <c r="AJ65" s="923"/>
      <c r="AK65" s="923"/>
      <c r="AL65" s="923"/>
      <c r="AM65" s="923"/>
      <c r="AN65" s="923"/>
      <c r="AO65" s="923"/>
      <c r="AP65" s="923"/>
      <c r="AQ65" s="923"/>
      <c r="AR65" s="923"/>
      <c r="AS65" s="923"/>
      <c r="AT65" s="923"/>
      <c r="AU65" s="923"/>
      <c r="AV65" s="924"/>
      <c r="AW65" s="923"/>
      <c r="AX65" s="923"/>
      <c r="AY65" s="923"/>
      <c r="AZ65" s="923"/>
      <c r="BA65" s="923"/>
      <c r="BB65" s="923"/>
      <c r="BC65" s="923"/>
      <c r="BD65" s="923"/>
      <c r="BE65" s="923"/>
      <c r="BF65" s="923"/>
      <c r="BG65" s="923"/>
      <c r="BH65" s="923"/>
      <c r="BI65" s="923"/>
      <c r="BJ65" s="923"/>
      <c r="BK65" s="923"/>
      <c r="BL65" s="923"/>
      <c r="BM65" s="923"/>
      <c r="BN65" s="923"/>
      <c r="BO65" s="923"/>
      <c r="BP65" s="923"/>
      <c r="BQ65" s="923"/>
      <c r="BR65" s="923"/>
      <c r="BS65" s="923"/>
      <c r="BT65" s="923"/>
      <c r="BU65" s="923"/>
      <c r="BV65" s="923"/>
      <c r="BW65" s="923"/>
      <c r="BX65" s="923"/>
      <c r="BY65" s="923"/>
      <c r="BZ65" s="923"/>
      <c r="CA65" s="923"/>
      <c r="CB65" s="923"/>
      <c r="CC65" s="923"/>
      <c r="CD65" s="923"/>
      <c r="CE65" s="923"/>
      <c r="CF65" s="923"/>
      <c r="CG65" s="923"/>
      <c r="CH65" s="923"/>
      <c r="CI65" s="923"/>
      <c r="CJ65" s="923"/>
      <c r="CK65" s="923"/>
      <c r="CL65" s="923"/>
      <c r="CM65" s="923"/>
      <c r="CN65" s="923"/>
      <c r="CO65" s="923"/>
      <c r="CP65" s="923"/>
      <c r="CQ65" s="923"/>
      <c r="CR65" s="923"/>
      <c r="CS65" s="923"/>
      <c r="CT65" s="923"/>
      <c r="CU65" s="923"/>
      <c r="CV65" s="923"/>
      <c r="CW65" s="923"/>
      <c r="CX65" s="923"/>
      <c r="CY65" s="923"/>
      <c r="CZ65" s="923"/>
      <c r="DA65" s="923"/>
      <c r="DB65" s="923"/>
      <c r="DC65" s="923"/>
      <c r="DD65" s="923"/>
      <c r="DE65" s="923"/>
      <c r="DF65" s="923"/>
      <c r="DG65" s="923"/>
      <c r="DH65" s="923"/>
      <c r="DI65" s="923"/>
      <c r="DJ65" s="923"/>
      <c r="DK65" s="923"/>
      <c r="DL65" s="923"/>
      <c r="DM65" s="923"/>
      <c r="DN65" s="923"/>
      <c r="DO65" s="923"/>
      <c r="DP65" s="923"/>
      <c r="DQ65" s="923"/>
      <c r="DR65" s="923"/>
      <c r="DS65" s="923"/>
      <c r="DT65" s="923"/>
      <c r="DU65" s="923"/>
      <c r="DV65" s="964" t="s">
        <v>4577</v>
      </c>
      <c r="DW65" s="923"/>
      <c r="DX65" s="923"/>
      <c r="DY65" s="923"/>
      <c r="DZ65" s="923"/>
      <c r="EA65" s="923"/>
      <c r="EB65" s="923"/>
      <c r="EC65" s="923"/>
      <c r="ED65" s="923"/>
      <c r="EE65" s="923"/>
      <c r="EF65" s="923"/>
      <c r="EG65" s="923"/>
      <c r="EH65" s="923"/>
      <c r="EI65" s="923"/>
      <c r="EJ65" s="923"/>
      <c r="EK65" s="923"/>
      <c r="EL65" s="923"/>
      <c r="EM65" s="923"/>
      <c r="ES65" s="970" t="s">
        <v>4125</v>
      </c>
      <c r="ET65" s="971">
        <v>350</v>
      </c>
      <c r="EU65" s="972" t="s">
        <v>4696</v>
      </c>
      <c r="EV65" s="973">
        <v>3</v>
      </c>
      <c r="EW65" s="972" t="s">
        <v>4684</v>
      </c>
      <c r="EX65" s="973">
        <v>2</v>
      </c>
      <c r="EY65" s="972" t="s">
        <v>4753</v>
      </c>
      <c r="EZ65" s="973">
        <v>2</v>
      </c>
      <c r="FA65" s="972" t="s">
        <v>114</v>
      </c>
      <c r="FB65" s="973">
        <v>1</v>
      </c>
      <c r="FC65" s="972" t="s">
        <v>4714</v>
      </c>
      <c r="FD65" s="973">
        <v>2</v>
      </c>
      <c r="FE65" s="972" t="s">
        <v>4756</v>
      </c>
    </row>
    <row r="66" spans="1:161" ht="12" customHeight="1" thickBot="1">
      <c r="A66" s="922"/>
      <c r="B66" s="951">
        <v>65</v>
      </c>
      <c r="C66" s="999" t="s">
        <v>5099</v>
      </c>
      <c r="D66" s="924">
        <f t="shared" ca="1" si="7"/>
        <v>6</v>
      </c>
      <c r="E66" s="996">
        <f ca="1">LOOKUP(D66,dNatif,gpNatif)+1</f>
        <v>7</v>
      </c>
      <c r="F66" s="996">
        <f t="shared" ca="1" si="9"/>
        <v>20</v>
      </c>
      <c r="G66" s="996">
        <f t="shared" ca="1" si="8"/>
        <v>20</v>
      </c>
      <c r="H66" s="925"/>
      <c r="I66" s="925"/>
      <c r="J66" s="925"/>
      <c r="K66" s="923" t="str">
        <f t="shared" si="0"/>
        <v xml:space="preserve">Constitution =   </v>
      </c>
      <c r="O66" s="923"/>
      <c r="P66" s="923"/>
      <c r="Q66" s="923"/>
      <c r="R66" s="923"/>
      <c r="S66" s="923"/>
      <c r="T66" s="923"/>
      <c r="U66" s="925"/>
      <c r="V66" s="923"/>
      <c r="W66" s="923"/>
      <c r="X66" s="923"/>
      <c r="Y66" s="1071"/>
      <c r="Z66" s="923"/>
      <c r="AA66" s="923"/>
      <c r="AB66" s="923"/>
      <c r="AC66" s="923"/>
      <c r="AD66" s="923"/>
      <c r="AE66" s="923"/>
      <c r="AF66" s="923"/>
      <c r="AG66" s="923"/>
      <c r="AH66" s="923"/>
      <c r="AI66" s="923"/>
      <c r="AJ66" s="923"/>
      <c r="AK66" s="923"/>
      <c r="AL66" s="923"/>
      <c r="AM66" s="923"/>
      <c r="AN66" s="923"/>
      <c r="AO66" s="923"/>
      <c r="AP66" s="923"/>
      <c r="AQ66" s="923"/>
      <c r="AR66" s="923"/>
      <c r="AS66" s="923"/>
      <c r="AT66" s="923"/>
      <c r="AU66" s="923"/>
      <c r="AV66" s="924"/>
      <c r="AW66" s="923"/>
      <c r="AX66" s="923"/>
      <c r="AY66" s="923"/>
      <c r="AZ66" s="923"/>
      <c r="BA66" s="923"/>
      <c r="BB66" s="923"/>
      <c r="BC66" s="923"/>
      <c r="BD66" s="923"/>
      <c r="BE66" s="923"/>
      <c r="BF66" s="923"/>
      <c r="BG66" s="923"/>
      <c r="BH66" s="923"/>
      <c r="BI66" s="923"/>
      <c r="BJ66" s="923"/>
      <c r="BK66" s="923"/>
      <c r="BL66" s="923"/>
      <c r="BM66" s="923"/>
      <c r="BN66" s="923"/>
      <c r="BO66" s="923"/>
      <c r="BP66" s="923"/>
      <c r="BQ66" s="923"/>
      <c r="BR66" s="923"/>
      <c r="BS66" s="923"/>
      <c r="BT66" s="923"/>
      <c r="BU66" s="923"/>
      <c r="BV66" s="923"/>
      <c r="BW66" s="923"/>
      <c r="BX66" s="923"/>
      <c r="BY66" s="923"/>
      <c r="BZ66" s="923"/>
      <c r="CA66" s="923"/>
      <c r="CB66" s="923"/>
      <c r="CC66" s="923"/>
      <c r="CD66" s="923"/>
      <c r="CE66" s="923"/>
      <c r="CF66" s="923"/>
      <c r="CG66" s="923"/>
      <c r="CH66" s="923"/>
      <c r="CI66" s="923"/>
      <c r="CJ66" s="923"/>
      <c r="CK66" s="923"/>
      <c r="CL66" s="923"/>
      <c r="CM66" s="923"/>
      <c r="CN66" s="923"/>
      <c r="CO66" s="923"/>
      <c r="CP66" s="923"/>
      <c r="CQ66" s="923"/>
      <c r="CR66" s="923"/>
      <c r="CS66" s="923"/>
      <c r="CT66" s="923"/>
      <c r="CU66" s="923"/>
      <c r="CV66" s="923"/>
      <c r="CW66" s="923"/>
      <c r="CX66" s="923"/>
      <c r="CY66" s="923"/>
      <c r="CZ66" s="923"/>
      <c r="DA66" s="923"/>
      <c r="DB66" s="923"/>
      <c r="DC66" s="923"/>
      <c r="DD66" s="923"/>
      <c r="DE66" s="923"/>
      <c r="DF66" s="923"/>
      <c r="DG66" s="923"/>
      <c r="DH66" s="923"/>
      <c r="DI66" s="923"/>
      <c r="DJ66" s="923"/>
      <c r="DK66" s="923"/>
      <c r="DL66" s="923"/>
      <c r="DM66" s="923"/>
      <c r="DN66" s="923"/>
      <c r="DO66" s="923"/>
      <c r="DP66" s="923"/>
      <c r="DQ66" s="923"/>
      <c r="DR66" s="923"/>
      <c r="DS66" s="923"/>
      <c r="DT66" s="923"/>
      <c r="DU66" s="923"/>
      <c r="DV66" s="921" t="s">
        <v>4578</v>
      </c>
      <c r="DW66" s="923"/>
      <c r="DX66" s="923"/>
      <c r="DY66" s="923"/>
      <c r="DZ66" s="923"/>
      <c r="EA66" s="923"/>
      <c r="EB66" s="923"/>
      <c r="EC66" s="923"/>
      <c r="ED66" s="923"/>
      <c r="EE66" s="923"/>
      <c r="EF66" s="923"/>
      <c r="EG66" s="923"/>
      <c r="EH66" s="923"/>
      <c r="EI66" s="923"/>
      <c r="EJ66" s="923"/>
      <c r="EK66" s="923"/>
      <c r="EL66" s="923"/>
      <c r="EM66" s="923"/>
      <c r="ES66" s="970" t="s">
        <v>4793</v>
      </c>
      <c r="ET66" s="971">
        <v>410</v>
      </c>
      <c r="EU66" s="972" t="s">
        <v>901</v>
      </c>
      <c r="EV66" s="973">
        <v>3</v>
      </c>
      <c r="EW66" s="972" t="s">
        <v>893</v>
      </c>
      <c r="EX66" s="973">
        <v>2</v>
      </c>
      <c r="EY66" s="972" t="s">
        <v>621</v>
      </c>
      <c r="EZ66" s="973">
        <v>3</v>
      </c>
      <c r="FA66" s="972" t="s">
        <v>4756</v>
      </c>
      <c r="FB66" s="973">
        <v>3</v>
      </c>
      <c r="FC66" s="972" t="s">
        <v>4709</v>
      </c>
      <c r="FD66" s="973">
        <v>2</v>
      </c>
      <c r="FE66" s="980" t="s">
        <v>4728</v>
      </c>
    </row>
    <row r="67" spans="1:161" ht="12" customHeight="1" thickBot="1">
      <c r="A67" s="922"/>
      <c r="B67" s="951">
        <v>66</v>
      </c>
      <c r="C67" s="998" t="s">
        <v>5100</v>
      </c>
      <c r="D67" s="924">
        <f t="shared" ca="1" si="7"/>
        <v>7</v>
      </c>
      <c r="E67" s="996">
        <f ca="1">LOOKUP(D67,dNatif,gpNatif)</f>
        <v>7</v>
      </c>
      <c r="F67" s="996">
        <f t="shared" ca="1" si="9"/>
        <v>16</v>
      </c>
      <c r="G67" s="996">
        <f t="shared" ca="1" si="8"/>
        <v>20</v>
      </c>
      <c r="H67" s="925"/>
      <c r="I67" s="925"/>
      <c r="J67" s="919" t="s">
        <v>2282</v>
      </c>
      <c r="K67" s="923" t="str">
        <f t="shared" ref="K67:K87" si="10">C67&amp;" = "&amp;H67&amp;" "&amp;I67&amp;" "&amp;J67</f>
        <v>Apparence =   Arbalète</v>
      </c>
      <c r="O67" s="923"/>
      <c r="P67" s="923"/>
      <c r="Q67" s="923"/>
      <c r="R67" s="923"/>
      <c r="S67" s="923"/>
      <c r="T67" s="923"/>
      <c r="U67" s="925"/>
      <c r="V67" s="923"/>
      <c r="W67" s="923"/>
      <c r="X67" s="923"/>
      <c r="Y67" s="1071"/>
      <c r="Z67" s="923"/>
      <c r="AA67" s="923"/>
      <c r="AB67" s="923"/>
      <c r="AC67" s="923"/>
      <c r="AD67" s="923"/>
      <c r="AE67" s="923"/>
      <c r="AF67" s="923"/>
      <c r="AG67" s="923"/>
      <c r="AH67" s="923"/>
      <c r="AI67" s="923"/>
      <c r="AJ67" s="923"/>
      <c r="AK67" s="923"/>
      <c r="AL67" s="923"/>
      <c r="AM67" s="923"/>
      <c r="AN67" s="923"/>
      <c r="AO67" s="923"/>
      <c r="AP67" s="923"/>
      <c r="AQ67" s="923"/>
      <c r="AR67" s="923"/>
      <c r="AS67" s="923"/>
      <c r="AT67" s="923"/>
      <c r="AU67" s="923"/>
      <c r="AV67" s="924"/>
      <c r="AW67" s="923"/>
      <c r="AX67" s="923"/>
      <c r="AY67" s="923"/>
      <c r="AZ67" s="923"/>
      <c r="BA67" s="923"/>
      <c r="BB67" s="923"/>
      <c r="BC67" s="923"/>
      <c r="BD67" s="923"/>
      <c r="BE67" s="923"/>
      <c r="BF67" s="923"/>
      <c r="BG67" s="923"/>
      <c r="BH67" s="923"/>
      <c r="BI67" s="923"/>
      <c r="BJ67" s="923"/>
      <c r="BK67" s="923"/>
      <c r="BL67" s="923"/>
      <c r="BM67" s="923"/>
      <c r="BN67" s="923"/>
      <c r="BO67" s="923"/>
      <c r="BP67" s="923"/>
      <c r="BQ67" s="923"/>
      <c r="BR67" s="923"/>
      <c r="BS67" s="923"/>
      <c r="BT67" s="923"/>
      <c r="BU67" s="923"/>
      <c r="BV67" s="923"/>
      <c r="BW67" s="923"/>
      <c r="BX67" s="923"/>
      <c r="BY67" s="923"/>
      <c r="BZ67" s="923"/>
      <c r="CA67" s="923"/>
      <c r="CB67" s="923"/>
      <c r="CC67" s="923"/>
      <c r="CD67" s="923"/>
      <c r="CE67" s="923"/>
      <c r="CF67" s="923"/>
      <c r="CG67" s="923"/>
      <c r="CH67" s="923"/>
      <c r="CI67" s="923"/>
      <c r="CJ67" s="923"/>
      <c r="CK67" s="923"/>
      <c r="CL67" s="923"/>
      <c r="CM67" s="923"/>
      <c r="CN67" s="923"/>
      <c r="CO67" s="923"/>
      <c r="CP67" s="923"/>
      <c r="CQ67" s="923"/>
      <c r="CR67" s="923"/>
      <c r="CS67" s="923"/>
      <c r="CT67" s="923"/>
      <c r="CU67" s="923"/>
      <c r="CV67" s="923"/>
      <c r="CW67" s="923"/>
      <c r="CX67" s="923"/>
      <c r="CY67" s="923"/>
      <c r="CZ67" s="923"/>
      <c r="DA67" s="923"/>
      <c r="DB67" s="923"/>
      <c r="DC67" s="923"/>
      <c r="DD67" s="923"/>
      <c r="DE67" s="923"/>
      <c r="DF67" s="923"/>
      <c r="DG67" s="923"/>
      <c r="DH67" s="923"/>
      <c r="DI67" s="923"/>
      <c r="DJ67" s="923"/>
      <c r="DK67" s="923"/>
      <c r="DL67" s="923"/>
      <c r="DM67" s="923"/>
      <c r="DN67" s="923"/>
      <c r="DO67" s="923"/>
      <c r="DP67" s="923"/>
      <c r="DQ67" s="923"/>
      <c r="DR67" s="923"/>
      <c r="DS67" s="923"/>
      <c r="DT67" s="923"/>
      <c r="DU67" s="923"/>
      <c r="DV67" s="964" t="s">
        <v>4579</v>
      </c>
      <c r="DW67" s="923"/>
      <c r="DX67" s="923"/>
      <c r="DY67" s="923"/>
      <c r="DZ67" s="923"/>
      <c r="EA67" s="923"/>
      <c r="EB67" s="923"/>
      <c r="EC67" s="923"/>
      <c r="ED67" s="923"/>
      <c r="EE67" s="923"/>
      <c r="EF67" s="923"/>
      <c r="EG67" s="923"/>
      <c r="EH67" s="923"/>
      <c r="EI67" s="923"/>
      <c r="EJ67" s="923"/>
      <c r="EK67" s="923"/>
      <c r="EL67" s="923"/>
      <c r="EM67" s="923"/>
      <c r="ES67" s="970" t="s">
        <v>1171</v>
      </c>
      <c r="ET67" s="971">
        <v>180</v>
      </c>
      <c r="EU67" s="972" t="s">
        <v>895</v>
      </c>
      <c r="EV67" s="973">
        <v>3</v>
      </c>
      <c r="EW67" s="972" t="s">
        <v>4794</v>
      </c>
      <c r="EX67" s="973">
        <v>2</v>
      </c>
      <c r="EY67" s="972" t="s">
        <v>901</v>
      </c>
      <c r="EZ67" s="973">
        <v>2</v>
      </c>
      <c r="FA67" s="972" t="s">
        <v>4742</v>
      </c>
      <c r="FB67" s="973">
        <v>1</v>
      </c>
      <c r="FC67" s="972" t="s">
        <v>2016</v>
      </c>
      <c r="FD67" s="973">
        <v>2</v>
      </c>
      <c r="FE67" s="972" t="s">
        <v>4384</v>
      </c>
    </row>
    <row r="68" spans="1:161" ht="12" customHeight="1" thickBot="1">
      <c r="A68" s="922"/>
      <c r="B68" s="951">
        <v>67</v>
      </c>
      <c r="C68" s="923" t="s">
        <v>4662</v>
      </c>
      <c r="D68" s="924">
        <f ca="1">30+persoAge+persoNSpere*2+RANDBETWEEN(1,10)+RANDBETWEEN(1,10)</f>
        <v>60</v>
      </c>
      <c r="E68" s="924"/>
      <c r="F68" s="924"/>
      <c r="G68" s="924"/>
      <c r="H68" s="925"/>
      <c r="I68" s="925"/>
      <c r="J68" s="1012" t="s">
        <v>640</v>
      </c>
      <c r="K68" s="923" t="str">
        <f t="shared" si="10"/>
        <v>Points de Const. =   Armure</v>
      </c>
      <c r="O68" s="923"/>
      <c r="P68" s="923"/>
      <c r="Q68" s="923"/>
      <c r="R68" s="923"/>
      <c r="S68" s="923"/>
      <c r="T68" s="923"/>
      <c r="U68" s="925"/>
      <c r="V68" s="923"/>
      <c r="W68" s="923"/>
      <c r="X68" s="923"/>
      <c r="Y68" s="1071"/>
      <c r="Z68" s="923"/>
      <c r="AA68" s="923"/>
      <c r="AB68" s="923"/>
      <c r="AC68" s="923"/>
      <c r="AD68" s="923"/>
      <c r="AE68" s="923"/>
      <c r="AF68" s="923"/>
      <c r="AG68" s="923"/>
      <c r="AH68" s="923"/>
      <c r="AI68" s="923"/>
      <c r="AJ68" s="923"/>
      <c r="AK68" s="923"/>
      <c r="AL68" s="923"/>
      <c r="AM68" s="923"/>
      <c r="AN68" s="923"/>
      <c r="AO68" s="923"/>
      <c r="AP68" s="923"/>
      <c r="AQ68" s="923"/>
      <c r="AR68" s="923"/>
      <c r="AS68" s="923"/>
      <c r="AT68" s="923"/>
      <c r="AU68" s="923"/>
      <c r="AV68" s="924"/>
      <c r="AW68" s="923"/>
      <c r="AX68" s="923"/>
      <c r="AY68" s="923"/>
      <c r="AZ68" s="923"/>
      <c r="BA68" s="923"/>
      <c r="BB68" s="923"/>
      <c r="BC68" s="923"/>
      <c r="BD68" s="923"/>
      <c r="BE68" s="923"/>
      <c r="BF68" s="923"/>
      <c r="BG68" s="923"/>
      <c r="BH68" s="923"/>
      <c r="BI68" s="923"/>
      <c r="BJ68" s="923"/>
      <c r="BK68" s="923"/>
      <c r="BL68" s="923"/>
      <c r="BM68" s="923"/>
      <c r="BN68" s="923"/>
      <c r="BO68" s="923"/>
      <c r="BP68" s="923"/>
      <c r="BQ68" s="923"/>
      <c r="BR68" s="923"/>
      <c r="BS68" s="923"/>
      <c r="BT68" s="923"/>
      <c r="BU68" s="923"/>
      <c r="BV68" s="923"/>
      <c r="BW68" s="923"/>
      <c r="BX68" s="923"/>
      <c r="BY68" s="923"/>
      <c r="BZ68" s="923"/>
      <c r="CA68" s="923"/>
      <c r="CB68" s="923"/>
      <c r="CC68" s="923"/>
      <c r="CD68" s="923"/>
      <c r="CE68" s="923"/>
      <c r="CF68" s="923"/>
      <c r="CG68" s="923"/>
      <c r="CH68" s="923"/>
      <c r="CI68" s="923"/>
      <c r="CJ68" s="923"/>
      <c r="CK68" s="923"/>
      <c r="CL68" s="923"/>
      <c r="CM68" s="923"/>
      <c r="CN68" s="923"/>
      <c r="CO68" s="923"/>
      <c r="CP68" s="923"/>
      <c r="CQ68" s="923"/>
      <c r="CR68" s="923"/>
      <c r="CS68" s="923"/>
      <c r="CT68" s="923"/>
      <c r="CU68" s="923"/>
      <c r="CV68" s="923"/>
      <c r="CW68" s="923"/>
      <c r="CX68" s="923"/>
      <c r="CY68" s="923"/>
      <c r="CZ68" s="923"/>
      <c r="DA68" s="923"/>
      <c r="DB68" s="923"/>
      <c r="DC68" s="923"/>
      <c r="DD68" s="923"/>
      <c r="DE68" s="923"/>
      <c r="DF68" s="923"/>
      <c r="DG68" s="923"/>
      <c r="DH68" s="923"/>
      <c r="DI68" s="923"/>
      <c r="DJ68" s="923"/>
      <c r="DK68" s="923"/>
      <c r="DL68" s="923"/>
      <c r="DM68" s="923"/>
      <c r="DN68" s="923"/>
      <c r="DO68" s="923"/>
      <c r="DP68" s="923"/>
      <c r="DQ68" s="923"/>
      <c r="DR68" s="923"/>
      <c r="DS68" s="923"/>
      <c r="DT68" s="923"/>
      <c r="DU68" s="923"/>
      <c r="DV68" s="921" t="s">
        <v>4569</v>
      </c>
      <c r="DW68" s="923"/>
      <c r="DX68" s="923"/>
      <c r="DY68" s="923"/>
      <c r="DZ68" s="923"/>
      <c r="EA68" s="923"/>
      <c r="EB68" s="923"/>
      <c r="EC68" s="923"/>
      <c r="ED68" s="923"/>
      <c r="EE68" s="923"/>
      <c r="EF68" s="923"/>
      <c r="EG68" s="923"/>
      <c r="EH68" s="923"/>
      <c r="EI68" s="923"/>
      <c r="EJ68" s="923"/>
      <c r="EK68" s="923"/>
      <c r="EL68" s="923"/>
      <c r="EM68" s="923"/>
      <c r="ES68" s="970" t="s">
        <v>4795</v>
      </c>
      <c r="ET68" s="971">
        <v>270</v>
      </c>
      <c r="EU68" s="972" t="s">
        <v>4742</v>
      </c>
      <c r="EV68" s="973">
        <v>3</v>
      </c>
      <c r="EW68" s="972" t="s">
        <v>4756</v>
      </c>
      <c r="EX68" s="973">
        <v>2</v>
      </c>
      <c r="EY68" s="972" t="s">
        <v>4743</v>
      </c>
      <c r="EZ68" s="973">
        <v>2</v>
      </c>
      <c r="FA68" s="972" t="s">
        <v>2016</v>
      </c>
      <c r="FB68" s="973">
        <v>3</v>
      </c>
      <c r="FC68" s="980" t="s">
        <v>4796</v>
      </c>
      <c r="FD68" s="973">
        <v>2</v>
      </c>
      <c r="FE68" s="980" t="s">
        <v>4731</v>
      </c>
    </row>
    <row r="69" spans="1:161" ht="12" customHeight="1" thickBot="1">
      <c r="A69" s="922"/>
      <c r="B69" s="951">
        <v>68</v>
      </c>
      <c r="C69" s="923" t="s">
        <v>4663</v>
      </c>
      <c r="D69" s="924">
        <f ca="1">20+RANDBETWEEN(1,10)</f>
        <v>26</v>
      </c>
      <c r="F69" s="924"/>
      <c r="G69" s="924"/>
      <c r="H69" s="975">
        <f ca="1">ROUND($D$68*D69/100,0)</f>
        <v>16</v>
      </c>
      <c r="I69" s="925"/>
      <c r="J69" s="1012" t="s">
        <v>2257</v>
      </c>
      <c r="K69" s="923"/>
      <c r="O69" s="923"/>
      <c r="P69" s="923"/>
      <c r="Q69" s="923"/>
      <c r="R69" s="923"/>
      <c r="S69" s="923"/>
      <c r="T69" s="923"/>
      <c r="U69" s="925"/>
      <c r="V69" s="923"/>
      <c r="W69" s="923"/>
      <c r="X69" s="923"/>
      <c r="Y69" s="1071"/>
      <c r="Z69" s="923"/>
      <c r="AA69" s="923"/>
      <c r="AB69" s="923"/>
      <c r="AC69" s="923"/>
      <c r="AD69" s="923"/>
      <c r="AE69" s="923"/>
      <c r="AF69" s="923"/>
      <c r="AG69" s="923"/>
      <c r="AH69" s="923"/>
      <c r="AI69" s="923"/>
      <c r="AJ69" s="923"/>
      <c r="AK69" s="923"/>
      <c r="AL69" s="923"/>
      <c r="AM69" s="923"/>
      <c r="AN69" s="923"/>
      <c r="AO69" s="923"/>
      <c r="AP69" s="923"/>
      <c r="AQ69" s="923"/>
      <c r="AR69" s="923"/>
      <c r="AS69" s="923"/>
      <c r="AT69" s="923"/>
      <c r="AU69" s="923"/>
      <c r="AV69" s="924"/>
      <c r="AW69" s="923"/>
      <c r="AX69" s="923"/>
      <c r="AY69" s="923"/>
      <c r="AZ69" s="923"/>
      <c r="BA69" s="923"/>
      <c r="BB69" s="923"/>
      <c r="BC69" s="923"/>
      <c r="BD69" s="923"/>
      <c r="BE69" s="923"/>
      <c r="BF69" s="923"/>
      <c r="BG69" s="923"/>
      <c r="BH69" s="923"/>
      <c r="BI69" s="923"/>
      <c r="BJ69" s="923"/>
      <c r="BK69" s="923"/>
      <c r="BL69" s="923"/>
      <c r="BM69" s="923"/>
      <c r="BN69" s="923"/>
      <c r="BO69" s="923"/>
      <c r="BP69" s="923"/>
      <c r="BQ69" s="923"/>
      <c r="BR69" s="923"/>
      <c r="BS69" s="923"/>
      <c r="BT69" s="923"/>
      <c r="BU69" s="923"/>
      <c r="BV69" s="923"/>
      <c r="BW69" s="923"/>
      <c r="BX69" s="923"/>
      <c r="BY69" s="923"/>
      <c r="BZ69" s="923"/>
      <c r="CA69" s="923"/>
      <c r="CB69" s="923"/>
      <c r="CC69" s="923"/>
      <c r="CD69" s="923"/>
      <c r="CE69" s="923"/>
      <c r="CF69" s="923"/>
      <c r="CG69" s="923"/>
      <c r="CH69" s="923"/>
      <c r="CI69" s="923"/>
      <c r="CJ69" s="923"/>
      <c r="CK69" s="923"/>
      <c r="CL69" s="923"/>
      <c r="CM69" s="923"/>
      <c r="CN69" s="923"/>
      <c r="CO69" s="923"/>
      <c r="CP69" s="923"/>
      <c r="CQ69" s="923"/>
      <c r="CR69" s="923"/>
      <c r="CS69" s="923"/>
      <c r="CT69" s="923"/>
      <c r="CU69" s="923"/>
      <c r="CV69" s="923"/>
      <c r="CW69" s="923"/>
      <c r="CX69" s="923"/>
      <c r="CY69" s="923"/>
      <c r="CZ69" s="923"/>
      <c r="DA69" s="923"/>
      <c r="DB69" s="923"/>
      <c r="DC69" s="923"/>
      <c r="DD69" s="923"/>
      <c r="DE69" s="923"/>
      <c r="DF69" s="923"/>
      <c r="DG69" s="923"/>
      <c r="DH69" s="923"/>
      <c r="DI69" s="923"/>
      <c r="DJ69" s="923"/>
      <c r="DK69" s="923"/>
      <c r="DL69" s="923"/>
      <c r="DM69" s="923"/>
      <c r="DN69" s="923"/>
      <c r="DO69" s="923"/>
      <c r="DP69" s="923"/>
      <c r="DQ69" s="923"/>
      <c r="DR69" s="923"/>
      <c r="DS69" s="923"/>
      <c r="DT69" s="923"/>
      <c r="DU69" s="923"/>
      <c r="DV69" s="923"/>
      <c r="DW69" s="923"/>
      <c r="DX69" s="923"/>
      <c r="DY69" s="923"/>
      <c r="DZ69" s="923"/>
      <c r="EA69" s="923"/>
      <c r="EB69" s="923"/>
      <c r="EC69" s="923"/>
      <c r="ED69" s="923"/>
      <c r="EE69" s="923"/>
      <c r="EF69" s="923"/>
      <c r="EG69" s="923"/>
      <c r="EH69" s="923"/>
      <c r="EI69" s="923"/>
      <c r="EJ69" s="923"/>
      <c r="EK69" s="923"/>
      <c r="EL69" s="923"/>
      <c r="EM69" s="923"/>
      <c r="ES69" s="970" t="s">
        <v>4026</v>
      </c>
      <c r="ET69" s="971">
        <v>440</v>
      </c>
      <c r="EU69" s="972" t="s">
        <v>4684</v>
      </c>
      <c r="EV69" s="973">
        <v>3</v>
      </c>
      <c r="EW69" s="980" t="s">
        <v>303</v>
      </c>
      <c r="EX69" s="973">
        <v>2</v>
      </c>
      <c r="EY69" s="972" t="s">
        <v>87</v>
      </c>
      <c r="EZ69" s="973">
        <v>2</v>
      </c>
      <c r="FA69" s="980" t="s">
        <v>4731</v>
      </c>
      <c r="FB69" s="973">
        <v>1</v>
      </c>
      <c r="FC69" s="972" t="s">
        <v>4760</v>
      </c>
      <c r="FD69" s="973">
        <v>1</v>
      </c>
      <c r="FE69" s="980" t="s">
        <v>862</v>
      </c>
    </row>
    <row r="70" spans="1:161" ht="12" customHeight="1" thickBot="1">
      <c r="A70" s="922"/>
      <c r="B70" s="951">
        <v>69</v>
      </c>
      <c r="C70" s="923" t="s">
        <v>2543</v>
      </c>
      <c r="D70" s="924">
        <f t="shared" ref="D70:D71" ca="1" si="11">20+RANDBETWEEN(1,10)</f>
        <v>23</v>
      </c>
      <c r="F70" s="924"/>
      <c r="G70" s="924"/>
      <c r="H70" s="975">
        <f ca="1">ROUND($D$68*D70/100,0)</f>
        <v>14</v>
      </c>
      <c r="I70" s="925"/>
      <c r="J70" s="920" t="s">
        <v>2285</v>
      </c>
      <c r="K70" s="923"/>
      <c r="O70" s="923"/>
      <c r="P70" s="923"/>
      <c r="Q70" s="923"/>
      <c r="R70" s="923"/>
      <c r="S70" s="923"/>
      <c r="T70" s="923"/>
      <c r="U70" s="925"/>
      <c r="V70" s="923"/>
      <c r="W70" s="923"/>
      <c r="X70" s="923"/>
      <c r="Y70" s="1071"/>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4"/>
      <c r="AW70" s="923"/>
      <c r="AX70" s="923"/>
      <c r="AY70" s="923"/>
      <c r="AZ70" s="923"/>
      <c r="BA70" s="923"/>
      <c r="BB70" s="923"/>
      <c r="BC70" s="923"/>
      <c r="BD70" s="923"/>
      <c r="BE70" s="923"/>
      <c r="BF70" s="923"/>
      <c r="BG70" s="923"/>
      <c r="BH70" s="923"/>
      <c r="BI70" s="923"/>
      <c r="BJ70" s="923"/>
      <c r="BK70" s="923"/>
      <c r="BL70" s="923"/>
      <c r="BM70" s="923"/>
      <c r="BN70" s="923"/>
      <c r="BO70" s="923"/>
      <c r="BP70" s="923"/>
      <c r="BQ70" s="923"/>
      <c r="BR70" s="923"/>
      <c r="BS70" s="923"/>
      <c r="BT70" s="923"/>
      <c r="BU70" s="923"/>
      <c r="BV70" s="923"/>
      <c r="BW70" s="923"/>
      <c r="BX70" s="923"/>
      <c r="BY70" s="923"/>
      <c r="BZ70" s="923"/>
      <c r="CA70" s="923"/>
      <c r="CB70" s="923"/>
      <c r="CC70" s="923"/>
      <c r="CD70" s="923"/>
      <c r="CE70" s="923"/>
      <c r="CF70" s="923"/>
      <c r="CG70" s="923"/>
      <c r="CH70" s="923"/>
      <c r="CI70" s="923"/>
      <c r="CJ70" s="923"/>
      <c r="CK70" s="923"/>
      <c r="CL70" s="923"/>
      <c r="CM70" s="923"/>
      <c r="CN70" s="923"/>
      <c r="CO70" s="923"/>
      <c r="CP70" s="923"/>
      <c r="CQ70" s="923"/>
      <c r="CR70" s="923"/>
      <c r="CS70" s="923"/>
      <c r="CT70" s="923"/>
      <c r="CU70" s="923"/>
      <c r="CV70" s="923"/>
      <c r="CW70" s="923"/>
      <c r="CX70" s="923"/>
      <c r="CY70" s="923"/>
      <c r="CZ70" s="923"/>
      <c r="DA70" s="923"/>
      <c r="DB70" s="923"/>
      <c r="DC70" s="923"/>
      <c r="DD70" s="923"/>
      <c r="DE70" s="923"/>
      <c r="DF70" s="923"/>
      <c r="DG70" s="923"/>
      <c r="DH70" s="923"/>
      <c r="DI70" s="923"/>
      <c r="DJ70" s="923"/>
      <c r="DK70" s="923"/>
      <c r="DL70" s="923"/>
      <c r="DM70" s="923"/>
      <c r="DN70" s="923"/>
      <c r="DO70" s="923"/>
      <c r="DP70" s="923"/>
      <c r="DQ70" s="923"/>
      <c r="DR70" s="923"/>
      <c r="DS70" s="923"/>
      <c r="DT70" s="923"/>
      <c r="DU70" s="923"/>
      <c r="DV70" s="923"/>
      <c r="DW70" s="923"/>
      <c r="DX70" s="923"/>
      <c r="DY70" s="923"/>
      <c r="DZ70" s="923"/>
      <c r="EA70" s="923"/>
      <c r="EB70" s="923"/>
      <c r="EC70" s="923"/>
      <c r="ED70" s="923"/>
      <c r="EE70" s="923"/>
      <c r="EF70" s="923"/>
      <c r="EG70" s="923"/>
      <c r="EH70" s="923"/>
      <c r="EI70" s="923"/>
      <c r="EJ70" s="923"/>
      <c r="EK70" s="923"/>
      <c r="EL70" s="923"/>
      <c r="EM70" s="923"/>
      <c r="ES70" s="970" t="s">
        <v>1272</v>
      </c>
      <c r="ET70" s="971">
        <v>440</v>
      </c>
      <c r="EU70" s="972" t="s">
        <v>4678</v>
      </c>
      <c r="EV70" s="973">
        <v>2</v>
      </c>
      <c r="EW70" s="972" t="s">
        <v>4687</v>
      </c>
      <c r="EX70" s="973">
        <v>2</v>
      </c>
      <c r="EY70" s="972" t="s">
        <v>4680</v>
      </c>
      <c r="EZ70" s="973">
        <v>2</v>
      </c>
      <c r="FA70" s="972" t="s">
        <v>231</v>
      </c>
      <c r="FB70" s="973">
        <v>2</v>
      </c>
      <c r="FC70" s="972" t="s">
        <v>4681</v>
      </c>
      <c r="FD70" s="973">
        <v>2</v>
      </c>
      <c r="FE70" s="972" t="s">
        <v>4688</v>
      </c>
    </row>
    <row r="71" spans="1:161" ht="12" customHeight="1" thickBot="1">
      <c r="A71" s="922"/>
      <c r="B71" s="951">
        <v>70</v>
      </c>
      <c r="C71" s="923" t="s">
        <v>1560</v>
      </c>
      <c r="D71" s="924">
        <f t="shared" ca="1" si="11"/>
        <v>22</v>
      </c>
      <c r="F71" s="924"/>
      <c r="G71" s="924"/>
      <c r="H71" s="975">
        <f ca="1">ROUND($D$68*D71/100,0)</f>
        <v>13</v>
      </c>
      <c r="I71" s="925"/>
      <c r="J71" s="1012" t="s">
        <v>1495</v>
      </c>
      <c r="K71" s="923"/>
      <c r="O71" s="923"/>
      <c r="P71" s="923"/>
      <c r="Q71" s="923"/>
      <c r="R71" s="923"/>
      <c r="S71" s="923"/>
      <c r="T71" s="923"/>
      <c r="U71" s="925"/>
      <c r="V71" s="923"/>
      <c r="W71" s="923"/>
      <c r="X71" s="923"/>
      <c r="Y71" s="1071"/>
      <c r="Z71" s="923"/>
      <c r="AA71" s="923"/>
      <c r="AB71" s="923"/>
      <c r="AC71" s="923"/>
      <c r="AD71" s="923"/>
      <c r="AE71" s="923"/>
      <c r="AF71" s="923"/>
      <c r="AG71" s="923"/>
      <c r="AH71" s="923"/>
      <c r="AI71" s="923"/>
      <c r="AJ71" s="923"/>
      <c r="AK71" s="923"/>
      <c r="AL71" s="923"/>
      <c r="AM71" s="923"/>
      <c r="AN71" s="923"/>
      <c r="AO71" s="923"/>
      <c r="AP71" s="923"/>
      <c r="AQ71" s="923"/>
      <c r="AR71" s="923"/>
      <c r="AS71" s="923"/>
      <c r="AT71" s="923"/>
      <c r="AU71" s="923"/>
      <c r="AV71" s="924"/>
      <c r="AW71" s="923"/>
      <c r="AX71" s="923"/>
      <c r="AY71" s="923"/>
      <c r="AZ71" s="923"/>
      <c r="BA71" s="923"/>
      <c r="BB71" s="923"/>
      <c r="BC71" s="923"/>
      <c r="BD71" s="923"/>
      <c r="BE71" s="923"/>
      <c r="BF71" s="923"/>
      <c r="BG71" s="923"/>
      <c r="BH71" s="923"/>
      <c r="BI71" s="923"/>
      <c r="BJ71" s="923"/>
      <c r="BK71" s="923"/>
      <c r="BL71" s="923"/>
      <c r="BM71" s="923"/>
      <c r="BN71" s="923"/>
      <c r="BO71" s="923"/>
      <c r="BP71" s="923"/>
      <c r="BQ71" s="923"/>
      <c r="BR71" s="923"/>
      <c r="BS71" s="923"/>
      <c r="BT71" s="923"/>
      <c r="BU71" s="923"/>
      <c r="BV71" s="923"/>
      <c r="BW71" s="923"/>
      <c r="BX71" s="923"/>
      <c r="BY71" s="923"/>
      <c r="BZ71" s="923"/>
      <c r="CA71" s="923"/>
      <c r="CB71" s="923"/>
      <c r="CC71" s="923"/>
      <c r="CD71" s="923"/>
      <c r="CE71" s="923"/>
      <c r="CF71" s="923"/>
      <c r="CG71" s="923"/>
      <c r="CH71" s="923"/>
      <c r="CI71" s="923"/>
      <c r="CJ71" s="923"/>
      <c r="CK71" s="923"/>
      <c r="CL71" s="923"/>
      <c r="CM71" s="923"/>
      <c r="CN71" s="923"/>
      <c r="CO71" s="923"/>
      <c r="CP71" s="923"/>
      <c r="CQ71" s="923"/>
      <c r="CR71" s="923"/>
      <c r="CS71" s="923"/>
      <c r="CT71" s="923"/>
      <c r="CU71" s="923"/>
      <c r="CV71" s="923"/>
      <c r="CW71" s="923"/>
      <c r="CX71" s="923"/>
      <c r="CY71" s="923"/>
      <c r="CZ71" s="923"/>
      <c r="DA71" s="923"/>
      <c r="DB71" s="923"/>
      <c r="DC71" s="923"/>
      <c r="DD71" s="923"/>
      <c r="DE71" s="923"/>
      <c r="DF71" s="923"/>
      <c r="DG71" s="923"/>
      <c r="DH71" s="923"/>
      <c r="DI71" s="923"/>
      <c r="DJ71" s="923"/>
      <c r="DK71" s="923"/>
      <c r="DL71" s="923"/>
      <c r="DM71" s="923"/>
      <c r="DN71" s="923"/>
      <c r="DO71" s="923"/>
      <c r="DP71" s="923"/>
      <c r="DQ71" s="923"/>
      <c r="DR71" s="923"/>
      <c r="DS71" s="923"/>
      <c r="DT71" s="923"/>
      <c r="DU71" s="923"/>
      <c r="DV71" s="923"/>
      <c r="DW71" s="923"/>
      <c r="DX71" s="923"/>
      <c r="DY71" s="923"/>
      <c r="DZ71" s="923"/>
      <c r="EA71" s="923"/>
      <c r="EB71" s="923"/>
      <c r="EC71" s="923"/>
      <c r="ED71" s="923"/>
      <c r="EE71" s="923"/>
      <c r="EF71" s="923"/>
      <c r="EG71" s="923"/>
      <c r="EH71" s="923"/>
      <c r="EI71" s="923"/>
      <c r="EJ71" s="923"/>
      <c r="EK71" s="923"/>
      <c r="EL71" s="923"/>
      <c r="EM71" s="923"/>
      <c r="ES71" s="970" t="s">
        <v>4797</v>
      </c>
      <c r="ET71" s="971">
        <v>350</v>
      </c>
      <c r="EU71" s="972" t="s">
        <v>4706</v>
      </c>
      <c r="EV71" s="973">
        <v>3</v>
      </c>
      <c r="EW71" s="972" t="s">
        <v>4704</v>
      </c>
      <c r="EX71" s="973">
        <v>3</v>
      </c>
      <c r="EY71" s="972" t="s">
        <v>4695</v>
      </c>
      <c r="EZ71" s="973">
        <v>2</v>
      </c>
      <c r="FA71" s="972" t="s">
        <v>87</v>
      </c>
      <c r="FB71" s="973">
        <v>2</v>
      </c>
      <c r="FC71" s="972" t="s">
        <v>1022</v>
      </c>
      <c r="FD71" s="973">
        <v>2</v>
      </c>
      <c r="FE71" s="972" t="s">
        <v>901</v>
      </c>
    </row>
    <row r="72" spans="1:161" ht="12" customHeight="1" thickBot="1">
      <c r="A72" s="922"/>
      <c r="B72" s="951">
        <v>71</v>
      </c>
      <c r="C72" s="923" t="s">
        <v>558</v>
      </c>
      <c r="D72" s="924">
        <f ca="1">100-D69-D70-D71</f>
        <v>29</v>
      </c>
      <c r="F72" s="924"/>
      <c r="G72" s="924"/>
      <c r="H72" s="975">
        <f ca="1">ROUND($D$68*D72/100,0)</f>
        <v>17</v>
      </c>
      <c r="I72" s="925"/>
      <c r="J72" s="1012" t="s">
        <v>2287</v>
      </c>
      <c r="K72" s="923"/>
      <c r="O72" s="923"/>
      <c r="P72" s="923"/>
      <c r="Q72" s="923"/>
      <c r="R72" s="923"/>
      <c r="S72" s="923"/>
      <c r="T72" s="923"/>
      <c r="U72" s="925"/>
      <c r="V72" s="923"/>
      <c r="W72" s="923"/>
      <c r="X72" s="923"/>
      <c r="Y72" s="1071"/>
      <c r="Z72" s="923"/>
      <c r="AA72" s="923"/>
      <c r="AB72" s="923"/>
      <c r="AC72" s="923"/>
      <c r="AD72" s="923"/>
      <c r="AE72" s="923"/>
      <c r="AF72" s="923"/>
      <c r="AG72" s="923"/>
      <c r="AH72" s="923"/>
      <c r="AI72" s="923"/>
      <c r="AJ72" s="923"/>
      <c r="AK72" s="923"/>
      <c r="AL72" s="923"/>
      <c r="AM72" s="923"/>
      <c r="AN72" s="923"/>
      <c r="AO72" s="923"/>
      <c r="AP72" s="923"/>
      <c r="AQ72" s="923"/>
      <c r="AR72" s="923"/>
      <c r="AS72" s="923"/>
      <c r="AT72" s="923"/>
      <c r="AU72" s="923"/>
      <c r="AV72" s="924"/>
      <c r="AW72" s="923"/>
      <c r="AX72" s="923"/>
      <c r="AY72" s="923"/>
      <c r="AZ72" s="923"/>
      <c r="BA72" s="923"/>
      <c r="BB72" s="923"/>
      <c r="BC72" s="923"/>
      <c r="BD72" s="923"/>
      <c r="BE72" s="923"/>
      <c r="BF72" s="923"/>
      <c r="BG72" s="923"/>
      <c r="BH72" s="923"/>
      <c r="BI72" s="923"/>
      <c r="BJ72" s="923"/>
      <c r="BK72" s="923"/>
      <c r="BL72" s="923"/>
      <c r="BM72" s="923"/>
      <c r="BN72" s="923"/>
      <c r="BO72" s="923"/>
      <c r="BP72" s="923"/>
      <c r="BQ72" s="923"/>
      <c r="BR72" s="923"/>
      <c r="BS72" s="923"/>
      <c r="BT72" s="923"/>
      <c r="BU72" s="923"/>
      <c r="BV72" s="923"/>
      <c r="BW72" s="923"/>
      <c r="BX72" s="923"/>
      <c r="BY72" s="923"/>
      <c r="BZ72" s="923"/>
      <c r="CA72" s="923"/>
      <c r="CB72" s="923"/>
      <c r="CC72" s="923"/>
      <c r="CD72" s="923"/>
      <c r="CE72" s="923"/>
      <c r="CF72" s="923"/>
      <c r="CG72" s="923"/>
      <c r="CH72" s="923"/>
      <c r="CI72" s="923"/>
      <c r="CJ72" s="923"/>
      <c r="CK72" s="923"/>
      <c r="CL72" s="923"/>
      <c r="CM72" s="923"/>
      <c r="CN72" s="923"/>
      <c r="CO72" s="923"/>
      <c r="CP72" s="923"/>
      <c r="CQ72" s="923"/>
      <c r="CR72" s="923"/>
      <c r="CS72" s="923"/>
      <c r="CT72" s="923"/>
      <c r="CU72" s="923"/>
      <c r="CV72" s="923"/>
      <c r="CW72" s="923"/>
      <c r="CX72" s="923"/>
      <c r="CY72" s="923"/>
      <c r="CZ72" s="923"/>
      <c r="DA72" s="923"/>
      <c r="DB72" s="923"/>
      <c r="DC72" s="923"/>
      <c r="DD72" s="923"/>
      <c r="DE72" s="923"/>
      <c r="DF72" s="923"/>
      <c r="DG72" s="923"/>
      <c r="DH72" s="923"/>
      <c r="DI72" s="923"/>
      <c r="DJ72" s="923"/>
      <c r="DK72" s="923"/>
      <c r="DL72" s="923"/>
      <c r="DM72" s="923"/>
      <c r="DN72" s="923"/>
      <c r="DO72" s="923"/>
      <c r="DP72" s="923"/>
      <c r="DQ72" s="923"/>
      <c r="DR72" s="923"/>
      <c r="DS72" s="923"/>
      <c r="DT72" s="923"/>
      <c r="DU72" s="923"/>
      <c r="DV72" s="923"/>
      <c r="DW72" s="923"/>
      <c r="DX72" s="923"/>
      <c r="DY72" s="923"/>
      <c r="DZ72" s="923"/>
      <c r="EA72" s="923"/>
      <c r="EB72" s="923"/>
      <c r="EC72" s="923"/>
      <c r="ED72" s="923"/>
      <c r="EE72" s="923"/>
      <c r="EF72" s="923"/>
      <c r="EG72" s="923"/>
      <c r="EH72" s="923"/>
      <c r="EI72" s="923"/>
      <c r="EJ72" s="923"/>
      <c r="EK72" s="923"/>
      <c r="EL72" s="923"/>
      <c r="EM72" s="923"/>
      <c r="ES72" s="970" t="s">
        <v>4028</v>
      </c>
      <c r="ET72" s="971">
        <v>100</v>
      </c>
      <c r="EU72" s="972" t="s">
        <v>4798</v>
      </c>
      <c r="EV72" s="973">
        <v>2</v>
      </c>
      <c r="EW72" s="980" t="s">
        <v>4762</v>
      </c>
      <c r="EX72" s="973">
        <v>1</v>
      </c>
      <c r="EY72" s="972" t="s">
        <v>4384</v>
      </c>
      <c r="EZ72" s="973">
        <v>1</v>
      </c>
      <c r="FA72" s="972" t="s">
        <v>4752</v>
      </c>
      <c r="FB72" s="973">
        <v>1</v>
      </c>
      <c r="FC72" s="972"/>
      <c r="FD72" s="973">
        <v>0</v>
      </c>
      <c r="FE72" s="972"/>
    </row>
    <row r="73" spans="1:161" ht="12" customHeight="1" thickBot="1">
      <c r="A73" s="922"/>
      <c r="B73" s="951">
        <v>72</v>
      </c>
      <c r="C73" s="923" t="s">
        <v>701</v>
      </c>
      <c r="D73" s="996">
        <f ca="1">ROUND(H70/5,0)</f>
        <v>3</v>
      </c>
      <c r="E73" s="924"/>
      <c r="F73" s="924"/>
      <c r="G73" s="924"/>
      <c r="I73" s="1000" t="str">
        <f ca="1">gpNEC&amp;" TC reçus à CPA max 20 : "</f>
        <v xml:space="preserve">3 TC reçus à CPA max 20 : </v>
      </c>
      <c r="J73" s="920" t="s">
        <v>1756</v>
      </c>
      <c r="K73" s="923"/>
      <c r="O73" s="923"/>
      <c r="P73" s="923"/>
      <c r="Q73" s="923"/>
      <c r="R73" s="923"/>
      <c r="S73" s="923"/>
      <c r="T73" s="923"/>
      <c r="U73" s="925"/>
      <c r="V73" s="923"/>
      <c r="W73" s="923"/>
      <c r="X73" s="923"/>
      <c r="Y73" s="1071"/>
      <c r="Z73" s="923"/>
      <c r="AA73" s="923"/>
      <c r="AB73" s="923"/>
      <c r="AC73" s="923"/>
      <c r="AD73" s="923"/>
      <c r="AE73" s="923"/>
      <c r="AF73" s="923"/>
      <c r="AG73" s="923"/>
      <c r="AH73" s="923"/>
      <c r="AI73" s="923"/>
      <c r="AJ73" s="923"/>
      <c r="AK73" s="923"/>
      <c r="AL73" s="923"/>
      <c r="AM73" s="923"/>
      <c r="AN73" s="923"/>
      <c r="AO73" s="923"/>
      <c r="AP73" s="923"/>
      <c r="AQ73" s="923"/>
      <c r="AR73" s="923"/>
      <c r="AS73" s="923"/>
      <c r="AT73" s="923"/>
      <c r="AU73" s="923"/>
      <c r="AV73" s="924"/>
      <c r="AW73" s="923"/>
      <c r="AX73" s="923"/>
      <c r="AY73" s="923"/>
      <c r="AZ73" s="923"/>
      <c r="BA73" s="923"/>
      <c r="BB73" s="923"/>
      <c r="BC73" s="923"/>
      <c r="BD73" s="923"/>
      <c r="BE73" s="923"/>
      <c r="BF73" s="923"/>
      <c r="BG73" s="923"/>
      <c r="BH73" s="923"/>
      <c r="BI73" s="923"/>
      <c r="BJ73" s="923"/>
      <c r="BK73" s="923"/>
      <c r="BL73" s="923"/>
      <c r="BM73" s="923"/>
      <c r="BN73" s="923"/>
      <c r="BO73" s="923"/>
      <c r="BP73" s="923"/>
      <c r="BQ73" s="923"/>
      <c r="BR73" s="923"/>
      <c r="BS73" s="923"/>
      <c r="BT73" s="923"/>
      <c r="BU73" s="923"/>
      <c r="BV73" s="923"/>
      <c r="BW73" s="923"/>
      <c r="BX73" s="923"/>
      <c r="BY73" s="923"/>
      <c r="BZ73" s="923"/>
      <c r="CA73" s="923"/>
      <c r="CB73" s="923"/>
      <c r="CC73" s="923"/>
      <c r="CD73" s="923"/>
      <c r="CE73" s="923"/>
      <c r="CF73" s="923"/>
      <c r="CG73" s="923"/>
      <c r="CH73" s="923"/>
      <c r="CI73" s="923"/>
      <c r="CJ73" s="923"/>
      <c r="CK73" s="923"/>
      <c r="CL73" s="923"/>
      <c r="CM73" s="923"/>
      <c r="CN73" s="923"/>
      <c r="CO73" s="923"/>
      <c r="CP73" s="923"/>
      <c r="CQ73" s="923"/>
      <c r="CR73" s="923"/>
      <c r="CS73" s="923"/>
      <c r="CT73" s="923"/>
      <c r="CU73" s="923"/>
      <c r="CV73" s="923"/>
      <c r="CW73" s="923"/>
      <c r="CX73" s="923"/>
      <c r="CY73" s="923"/>
      <c r="CZ73" s="923"/>
      <c r="DA73" s="923"/>
      <c r="DB73" s="923"/>
      <c r="DC73" s="923"/>
      <c r="DD73" s="923"/>
      <c r="DE73" s="923"/>
      <c r="DF73" s="923"/>
      <c r="DG73" s="923"/>
      <c r="DH73" s="923"/>
      <c r="DI73" s="923"/>
      <c r="DJ73" s="923"/>
      <c r="DK73" s="923"/>
      <c r="DL73" s="923"/>
      <c r="DM73" s="923"/>
      <c r="DN73" s="923"/>
      <c r="DO73" s="923"/>
      <c r="DP73" s="923"/>
      <c r="DQ73" s="923"/>
      <c r="DR73" s="923"/>
      <c r="DS73" s="923"/>
      <c r="DT73" s="923"/>
      <c r="DU73" s="923"/>
      <c r="DV73" s="923"/>
      <c r="DW73" s="923"/>
      <c r="DX73" s="923"/>
      <c r="DY73" s="923"/>
      <c r="DZ73" s="923"/>
      <c r="EA73" s="923"/>
      <c r="EB73" s="923"/>
      <c r="EC73" s="923"/>
      <c r="ED73" s="923"/>
      <c r="EE73" s="923"/>
      <c r="EF73" s="923"/>
      <c r="EG73" s="923"/>
      <c r="EH73" s="923"/>
      <c r="EI73" s="923"/>
      <c r="EJ73" s="923"/>
      <c r="EK73" s="923"/>
      <c r="EL73" s="923"/>
      <c r="EM73" s="923"/>
      <c r="ES73" s="970" t="s">
        <v>1149</v>
      </c>
      <c r="ET73" s="971">
        <v>110</v>
      </c>
      <c r="EU73" s="972" t="s">
        <v>4799</v>
      </c>
      <c r="EV73" s="973">
        <v>2</v>
      </c>
      <c r="EW73" s="972" t="s">
        <v>4742</v>
      </c>
      <c r="EX73" s="973">
        <v>1</v>
      </c>
      <c r="EY73" s="972" t="s">
        <v>2016</v>
      </c>
      <c r="EZ73" s="973">
        <v>2</v>
      </c>
      <c r="FA73" s="972" t="s">
        <v>4756</v>
      </c>
      <c r="FB73" s="973">
        <v>1</v>
      </c>
      <c r="FC73" s="972" t="s">
        <v>1022</v>
      </c>
      <c r="FD73" s="973">
        <v>1</v>
      </c>
      <c r="FE73" s="972"/>
    </row>
    <row r="74" spans="1:161" ht="12" customHeight="1" thickBot="1">
      <c r="A74" s="922"/>
      <c r="B74" s="951">
        <v>73</v>
      </c>
      <c r="C74" s="923" t="s">
        <v>4664</v>
      </c>
      <c r="D74" s="924">
        <f ca="1">gpNEC*10</f>
        <v>30</v>
      </c>
      <c r="E74" s="924"/>
      <c r="F74" s="924"/>
      <c r="G74" s="924"/>
      <c r="H74" s="925"/>
      <c r="I74" s="925"/>
      <c r="J74" s="1012" t="s">
        <v>2240</v>
      </c>
      <c r="K74" s="923" t="str">
        <f t="shared" si="10"/>
        <v>CPA TC =   Défense</v>
      </c>
      <c r="O74" s="923"/>
      <c r="P74" s="923"/>
      <c r="Q74" s="923"/>
      <c r="R74" s="923"/>
      <c r="S74" s="923"/>
      <c r="T74" s="923"/>
      <c r="U74" s="925"/>
      <c r="V74" s="923"/>
      <c r="W74" s="923"/>
      <c r="X74" s="923"/>
      <c r="Y74" s="1071"/>
      <c r="Z74" s="923"/>
      <c r="AA74" s="923"/>
      <c r="AB74" s="923"/>
      <c r="AC74" s="923"/>
      <c r="AD74" s="923"/>
      <c r="AE74" s="923"/>
      <c r="AF74" s="923"/>
      <c r="AG74" s="923"/>
      <c r="AH74" s="923"/>
      <c r="AI74" s="923"/>
      <c r="AJ74" s="923"/>
      <c r="AK74" s="923"/>
      <c r="AL74" s="923"/>
      <c r="AM74" s="923"/>
      <c r="AN74" s="923"/>
      <c r="AO74" s="923"/>
      <c r="AP74" s="923"/>
      <c r="AQ74" s="923"/>
      <c r="AR74" s="923"/>
      <c r="AS74" s="923"/>
      <c r="AT74" s="923"/>
      <c r="AU74" s="923"/>
      <c r="AV74" s="924"/>
      <c r="AW74" s="923"/>
      <c r="AX74" s="923"/>
      <c r="AY74" s="923"/>
      <c r="AZ74" s="923"/>
      <c r="BA74" s="923"/>
      <c r="BB74" s="923"/>
      <c r="BC74" s="923"/>
      <c r="BD74" s="923"/>
      <c r="BE74" s="923"/>
      <c r="BF74" s="923"/>
      <c r="BG74" s="923"/>
      <c r="BH74" s="923"/>
      <c r="BI74" s="923"/>
      <c r="BJ74" s="923"/>
      <c r="BK74" s="923"/>
      <c r="BL74" s="923"/>
      <c r="BM74" s="923"/>
      <c r="BN74" s="923"/>
      <c r="BO74" s="923"/>
      <c r="BP74" s="923"/>
      <c r="BQ74" s="923"/>
      <c r="BR74" s="923"/>
      <c r="BS74" s="923"/>
      <c r="BT74" s="923"/>
      <c r="BU74" s="923"/>
      <c r="BV74" s="923"/>
      <c r="BW74" s="923"/>
      <c r="BX74" s="923"/>
      <c r="BY74" s="923"/>
      <c r="BZ74" s="923"/>
      <c r="CA74" s="923"/>
      <c r="CB74" s="923"/>
      <c r="CC74" s="923"/>
      <c r="CD74" s="923"/>
      <c r="CE74" s="923"/>
      <c r="CF74" s="923"/>
      <c r="CG74" s="923"/>
      <c r="CH74" s="923"/>
      <c r="CI74" s="923"/>
      <c r="CJ74" s="923"/>
      <c r="CK74" s="923"/>
      <c r="CL74" s="923"/>
      <c r="CM74" s="923"/>
      <c r="CN74" s="923"/>
      <c r="CO74" s="923"/>
      <c r="CP74" s="923"/>
      <c r="CQ74" s="923"/>
      <c r="CR74" s="923"/>
      <c r="CS74" s="923"/>
      <c r="CT74" s="923"/>
      <c r="CU74" s="923"/>
      <c r="CV74" s="923"/>
      <c r="CW74" s="923"/>
      <c r="CX74" s="923"/>
      <c r="CY74" s="923"/>
      <c r="CZ74" s="923"/>
      <c r="DA74" s="923"/>
      <c r="DB74" s="923"/>
      <c r="DC74" s="923"/>
      <c r="DD74" s="923"/>
      <c r="DE74" s="923"/>
      <c r="DF74" s="923"/>
      <c r="DG74" s="923"/>
      <c r="DH74" s="923"/>
      <c r="DI74" s="923"/>
      <c r="DJ74" s="923"/>
      <c r="DK74" s="923"/>
      <c r="DL74" s="923"/>
      <c r="DM74" s="923"/>
      <c r="DN74" s="923"/>
      <c r="DO74" s="923"/>
      <c r="DP74" s="923"/>
      <c r="DQ74" s="923"/>
      <c r="DR74" s="923"/>
      <c r="DS74" s="923"/>
      <c r="DT74" s="923"/>
      <c r="DU74" s="923"/>
      <c r="DV74" s="923"/>
      <c r="DW74" s="923"/>
      <c r="DX74" s="923"/>
      <c r="DY74" s="923"/>
      <c r="DZ74" s="923"/>
      <c r="EA74" s="923"/>
      <c r="EB74" s="923"/>
      <c r="EC74" s="923"/>
      <c r="ED74" s="923"/>
      <c r="EE74" s="923"/>
      <c r="EF74" s="923"/>
      <c r="EG74" s="923"/>
      <c r="EH74" s="923"/>
      <c r="EI74" s="923"/>
      <c r="EJ74" s="923"/>
      <c r="EK74" s="923"/>
      <c r="EL74" s="923"/>
      <c r="EM74" s="923"/>
      <c r="ES74" s="970" t="s">
        <v>4395</v>
      </c>
      <c r="ET74" s="971">
        <v>270</v>
      </c>
      <c r="EU74" s="972" t="s">
        <v>1423</v>
      </c>
      <c r="EV74" s="973">
        <v>2</v>
      </c>
      <c r="EW74" s="980" t="s">
        <v>4731</v>
      </c>
      <c r="EX74" s="973">
        <v>2</v>
      </c>
      <c r="EY74" s="980" t="s">
        <v>4757</v>
      </c>
      <c r="EZ74" s="973">
        <v>2</v>
      </c>
      <c r="FA74" s="980" t="s">
        <v>4720</v>
      </c>
      <c r="FB74" s="973">
        <v>1</v>
      </c>
      <c r="FC74" s="980" t="s">
        <v>4720</v>
      </c>
      <c r="FD74" s="973">
        <v>1</v>
      </c>
      <c r="FE74" s="980" t="s">
        <v>4720</v>
      </c>
    </row>
    <row r="75" spans="1:161" ht="12" customHeight="1" thickBot="1">
      <c r="A75" s="922"/>
      <c r="B75" s="951">
        <v>74</v>
      </c>
      <c r="C75" s="923" t="s">
        <v>4665</v>
      </c>
      <c r="D75" s="996">
        <f ca="1">H71*20</f>
        <v>260</v>
      </c>
      <c r="E75" s="924"/>
      <c r="F75" s="924"/>
      <c r="G75" s="924"/>
      <c r="H75" s="925" t="s">
        <v>5168</v>
      </c>
      <c r="I75" s="1081">
        <f ca="1">D75-I41</f>
        <v>187.5</v>
      </c>
      <c r="J75" s="1012" t="s">
        <v>2264</v>
      </c>
      <c r="K75" s="923" t="str">
        <f t="shared" ca="1" si="10"/>
        <v>CPA TG = Reste 187,5 Embuscade</v>
      </c>
      <c r="O75" s="923"/>
      <c r="P75" s="923"/>
      <c r="Q75" s="923"/>
      <c r="R75" s="923"/>
      <c r="S75" s="923"/>
      <c r="T75" s="923"/>
      <c r="U75" s="925"/>
      <c r="V75" s="923"/>
      <c r="W75" s="923"/>
      <c r="X75" s="923"/>
      <c r="Y75" s="1071"/>
      <c r="Z75" s="923"/>
      <c r="AA75" s="923"/>
      <c r="AB75" s="923"/>
      <c r="AC75" s="923"/>
      <c r="AD75" s="923"/>
      <c r="AE75" s="923"/>
      <c r="AF75" s="923"/>
      <c r="AG75" s="923"/>
      <c r="AH75" s="923"/>
      <c r="AI75" s="923"/>
      <c r="AJ75" s="923"/>
      <c r="AK75" s="923"/>
      <c r="AL75" s="923"/>
      <c r="AM75" s="923"/>
      <c r="AN75" s="923"/>
      <c r="AO75" s="923"/>
      <c r="AP75" s="923"/>
      <c r="AQ75" s="923"/>
      <c r="AR75" s="923"/>
      <c r="AS75" s="923"/>
      <c r="AT75" s="923"/>
      <c r="AU75" s="923"/>
      <c r="AV75" s="924"/>
      <c r="AW75" s="923"/>
      <c r="AX75" s="923"/>
      <c r="AY75" s="923"/>
      <c r="AZ75" s="923"/>
      <c r="BA75" s="923"/>
      <c r="BB75" s="923"/>
      <c r="BC75" s="923"/>
      <c r="BD75" s="923"/>
      <c r="BE75" s="923"/>
      <c r="BF75" s="923"/>
      <c r="BG75" s="923"/>
      <c r="BH75" s="923"/>
      <c r="BI75" s="923"/>
      <c r="BJ75" s="923"/>
      <c r="BK75" s="923"/>
      <c r="BL75" s="923"/>
      <c r="BM75" s="923"/>
      <c r="BN75" s="923"/>
      <c r="BO75" s="923"/>
      <c r="BP75" s="923"/>
      <c r="BQ75" s="923"/>
      <c r="BR75" s="923"/>
      <c r="BS75" s="923"/>
      <c r="BT75" s="923"/>
      <c r="BU75" s="923"/>
      <c r="BV75" s="923"/>
      <c r="BW75" s="923"/>
      <c r="BX75" s="923"/>
      <c r="BY75" s="923"/>
      <c r="BZ75" s="923"/>
      <c r="CA75" s="923"/>
      <c r="CB75" s="923"/>
      <c r="CC75" s="923"/>
      <c r="CD75" s="923"/>
      <c r="CE75" s="923"/>
      <c r="CF75" s="923"/>
      <c r="CG75" s="923"/>
      <c r="CH75" s="923"/>
      <c r="CI75" s="923"/>
      <c r="CJ75" s="923"/>
      <c r="CK75" s="923"/>
      <c r="CL75" s="923"/>
      <c r="CM75" s="923"/>
      <c r="CN75" s="923"/>
      <c r="CO75" s="923"/>
      <c r="CP75" s="923"/>
      <c r="CQ75" s="923"/>
      <c r="CR75" s="923"/>
      <c r="CS75" s="923"/>
      <c r="CT75" s="923"/>
      <c r="CU75" s="923"/>
      <c r="CV75" s="923"/>
      <c r="CW75" s="923"/>
      <c r="CX75" s="923"/>
      <c r="CY75" s="923"/>
      <c r="CZ75" s="923"/>
      <c r="DA75" s="923"/>
      <c r="DB75" s="923"/>
      <c r="DC75" s="923"/>
      <c r="DD75" s="923"/>
      <c r="DE75" s="923"/>
      <c r="DF75" s="923"/>
      <c r="DG75" s="923"/>
      <c r="DH75" s="923"/>
      <c r="DI75" s="923"/>
      <c r="DJ75" s="923"/>
      <c r="DK75" s="923"/>
      <c r="DL75" s="923"/>
      <c r="DM75" s="923"/>
      <c r="DN75" s="923"/>
      <c r="DO75" s="923"/>
      <c r="DP75" s="923"/>
      <c r="DQ75" s="923"/>
      <c r="DR75" s="923"/>
      <c r="DS75" s="923"/>
      <c r="DT75" s="923"/>
      <c r="DU75" s="923"/>
      <c r="DV75" s="923"/>
      <c r="DW75" s="923"/>
      <c r="DX75" s="923"/>
      <c r="DY75" s="923"/>
      <c r="DZ75" s="923"/>
      <c r="EA75" s="923"/>
      <c r="EB75" s="923"/>
      <c r="EC75" s="923"/>
      <c r="ED75" s="923"/>
      <c r="EE75" s="923"/>
      <c r="EF75" s="923"/>
      <c r="EG75" s="923"/>
      <c r="EH75" s="923"/>
      <c r="EI75" s="923"/>
      <c r="EJ75" s="923"/>
      <c r="EK75" s="923"/>
      <c r="EL75" s="923"/>
      <c r="EM75" s="923"/>
      <c r="ES75" s="970" t="s">
        <v>4800</v>
      </c>
      <c r="ET75" s="971">
        <v>250</v>
      </c>
      <c r="EU75" s="972" t="s">
        <v>4707</v>
      </c>
      <c r="EV75" s="973">
        <v>3</v>
      </c>
      <c r="EW75" s="972" t="s">
        <v>4713</v>
      </c>
      <c r="EX75" s="973">
        <v>1</v>
      </c>
      <c r="EY75" s="980" t="s">
        <v>4720</v>
      </c>
      <c r="EZ75" s="973">
        <v>1</v>
      </c>
      <c r="FA75" s="972" t="s">
        <v>591</v>
      </c>
      <c r="FB75" s="973">
        <v>2</v>
      </c>
      <c r="FC75" s="980" t="s">
        <v>4731</v>
      </c>
      <c r="FD75" s="973">
        <v>1</v>
      </c>
      <c r="FE75" s="972"/>
    </row>
    <row r="76" spans="1:161" ht="12" customHeight="1" thickBot="1">
      <c r="A76" s="922"/>
      <c r="B76" s="951">
        <v>75</v>
      </c>
      <c r="C76" s="923" t="s">
        <v>4666</v>
      </c>
      <c r="D76" s="924">
        <f ca="1">D72*persoBM</f>
        <v>5800</v>
      </c>
      <c r="E76" s="924"/>
      <c r="F76" s="924"/>
      <c r="G76" s="924"/>
      <c r="H76" s="925"/>
      <c r="I76" s="925"/>
      <c r="J76" s="1012" t="s">
        <v>693</v>
      </c>
      <c r="K76" s="923" t="str">
        <f t="shared" si="10"/>
        <v>Richesse  =   Esquive</v>
      </c>
      <c r="O76" s="923"/>
      <c r="P76" s="923"/>
      <c r="Q76" s="923"/>
      <c r="R76" s="923"/>
      <c r="S76" s="923"/>
      <c r="T76" s="923"/>
      <c r="U76" s="925"/>
      <c r="V76" s="923"/>
      <c r="W76" s="923"/>
      <c r="X76" s="923"/>
      <c r="Y76" s="1071"/>
      <c r="Z76" s="923"/>
      <c r="AA76" s="923"/>
      <c r="AB76" s="923"/>
      <c r="AC76" s="923"/>
      <c r="AD76" s="923"/>
      <c r="AE76" s="923"/>
      <c r="AF76" s="923"/>
      <c r="AG76" s="923"/>
      <c r="AH76" s="923"/>
      <c r="AI76" s="923"/>
      <c r="AJ76" s="923"/>
      <c r="AK76" s="923"/>
      <c r="AL76" s="923"/>
      <c r="AM76" s="923"/>
      <c r="AN76" s="923"/>
      <c r="AO76" s="923"/>
      <c r="AP76" s="923"/>
      <c r="AQ76" s="923"/>
      <c r="AR76" s="923"/>
      <c r="AS76" s="923"/>
      <c r="AT76" s="923"/>
      <c r="AU76" s="923"/>
      <c r="AV76" s="924"/>
      <c r="AW76" s="923"/>
      <c r="AX76" s="923"/>
      <c r="AY76" s="923"/>
      <c r="AZ76" s="923"/>
      <c r="BA76" s="923"/>
      <c r="BB76" s="923"/>
      <c r="BC76" s="923"/>
      <c r="BD76" s="923"/>
      <c r="BE76" s="923"/>
      <c r="BF76" s="923"/>
      <c r="BG76" s="923"/>
      <c r="BH76" s="923"/>
      <c r="BI76" s="923"/>
      <c r="BJ76" s="923"/>
      <c r="BK76" s="923"/>
      <c r="BL76" s="923"/>
      <c r="BM76" s="923"/>
      <c r="BN76" s="923"/>
      <c r="BO76" s="923"/>
      <c r="BP76" s="923"/>
      <c r="BQ76" s="923"/>
      <c r="BR76" s="923"/>
      <c r="BS76" s="923"/>
      <c r="BT76" s="923"/>
      <c r="BU76" s="923"/>
      <c r="BV76" s="923"/>
      <c r="BW76" s="923"/>
      <c r="BX76" s="923"/>
      <c r="BY76" s="923"/>
      <c r="BZ76" s="923"/>
      <c r="CA76" s="923"/>
      <c r="CB76" s="923"/>
      <c r="CC76" s="923"/>
      <c r="CD76" s="923"/>
      <c r="CE76" s="923"/>
      <c r="CF76" s="923"/>
      <c r="CG76" s="923"/>
      <c r="CH76" s="923"/>
      <c r="CI76" s="923"/>
      <c r="CJ76" s="923"/>
      <c r="CK76" s="923"/>
      <c r="CL76" s="923"/>
      <c r="CM76" s="923"/>
      <c r="CN76" s="923"/>
      <c r="CO76" s="923"/>
      <c r="CP76" s="923"/>
      <c r="CQ76" s="923"/>
      <c r="CR76" s="923"/>
      <c r="CS76" s="923"/>
      <c r="CT76" s="923"/>
      <c r="CU76" s="923"/>
      <c r="CV76" s="923"/>
      <c r="CW76" s="923"/>
      <c r="CX76" s="923"/>
      <c r="CY76" s="923"/>
      <c r="CZ76" s="923"/>
      <c r="DA76" s="923"/>
      <c r="DB76" s="923"/>
      <c r="DC76" s="923"/>
      <c r="DD76" s="923"/>
      <c r="DE76" s="923"/>
      <c r="DF76" s="923"/>
      <c r="DG76" s="923"/>
      <c r="DH76" s="923"/>
      <c r="DI76" s="923"/>
      <c r="DJ76" s="923"/>
      <c r="DK76" s="923"/>
      <c r="DL76" s="923"/>
      <c r="DM76" s="923"/>
      <c r="DN76" s="923"/>
      <c r="DO76" s="923"/>
      <c r="DP76" s="923"/>
      <c r="DQ76" s="923"/>
      <c r="DR76" s="923"/>
      <c r="DS76" s="923"/>
      <c r="DT76" s="923"/>
      <c r="DU76" s="923"/>
      <c r="DV76" s="923"/>
      <c r="DW76" s="923"/>
      <c r="DX76" s="923"/>
      <c r="DY76" s="923"/>
      <c r="DZ76" s="923"/>
      <c r="EA76" s="923"/>
      <c r="EB76" s="923"/>
      <c r="EC76" s="923"/>
      <c r="ED76" s="923"/>
      <c r="EE76" s="923"/>
      <c r="EF76" s="923"/>
      <c r="EG76" s="923"/>
      <c r="EH76" s="923"/>
      <c r="EI76" s="923"/>
      <c r="EJ76" s="923"/>
      <c r="EK76" s="923"/>
      <c r="EL76" s="923"/>
      <c r="EM76" s="923"/>
      <c r="ES76" s="970" t="s">
        <v>4801</v>
      </c>
      <c r="ET76" s="971">
        <v>440</v>
      </c>
      <c r="EU76" s="972" t="s">
        <v>4694</v>
      </c>
      <c r="EV76" s="973">
        <v>2</v>
      </c>
      <c r="EW76" s="972" t="s">
        <v>4711</v>
      </c>
      <c r="EX76" s="973">
        <v>3</v>
      </c>
      <c r="EY76" s="972" t="s">
        <v>1054</v>
      </c>
      <c r="EZ76" s="973">
        <v>2</v>
      </c>
      <c r="FA76" s="972" t="s">
        <v>4760</v>
      </c>
      <c r="FB76" s="973">
        <v>1</v>
      </c>
      <c r="FC76" s="972" t="s">
        <v>4695</v>
      </c>
      <c r="FD76" s="973">
        <v>2</v>
      </c>
      <c r="FE76" s="972"/>
    </row>
    <row r="77" spans="1:161" ht="12" customHeight="1" thickBot="1">
      <c r="A77" s="922"/>
      <c r="B77" s="951">
        <v>76</v>
      </c>
      <c r="C77" s="923" t="s">
        <v>4667</v>
      </c>
      <c r="D77" s="924">
        <f ca="1">H72/5 * D76/10</f>
        <v>1972</v>
      </c>
      <c r="E77" s="924"/>
      <c r="F77" s="924"/>
      <c r="G77" s="924"/>
      <c r="H77" s="925"/>
      <c r="I77" s="925"/>
      <c r="J77" s="920" t="s">
        <v>2269</v>
      </c>
      <c r="K77" s="923" t="str">
        <f t="shared" si="10"/>
        <v>Monnaie =   Fronde</v>
      </c>
      <c r="O77" s="923"/>
      <c r="P77" s="923"/>
      <c r="Q77" s="923"/>
      <c r="R77" s="923"/>
      <c r="S77" s="923"/>
      <c r="T77" s="923"/>
      <c r="U77" s="925"/>
      <c r="V77" s="923"/>
      <c r="W77" s="923"/>
      <c r="X77" s="923"/>
      <c r="Y77" s="1071"/>
      <c r="Z77" s="923"/>
      <c r="AA77" s="923"/>
      <c r="AB77" s="923"/>
      <c r="AC77" s="923"/>
      <c r="AD77" s="923"/>
      <c r="AE77" s="923"/>
      <c r="AF77" s="923"/>
      <c r="AG77" s="923"/>
      <c r="AH77" s="923"/>
      <c r="AI77" s="923"/>
      <c r="AJ77" s="923"/>
      <c r="AK77" s="923"/>
      <c r="AL77" s="923"/>
      <c r="AM77" s="923"/>
      <c r="AN77" s="923"/>
      <c r="AO77" s="923"/>
      <c r="AP77" s="923"/>
      <c r="AQ77" s="923"/>
      <c r="AR77" s="923"/>
      <c r="AS77" s="923"/>
      <c r="AT77" s="923"/>
      <c r="AU77" s="923"/>
      <c r="AV77" s="924"/>
      <c r="AW77" s="923"/>
      <c r="AX77" s="923"/>
      <c r="AY77" s="923"/>
      <c r="AZ77" s="923"/>
      <c r="BA77" s="923"/>
      <c r="BB77" s="923"/>
      <c r="BC77" s="923"/>
      <c r="BD77" s="923"/>
      <c r="BE77" s="923"/>
      <c r="BF77" s="923"/>
      <c r="BG77" s="923"/>
      <c r="BH77" s="923"/>
      <c r="BI77" s="923"/>
      <c r="BJ77" s="923"/>
      <c r="BK77" s="923"/>
      <c r="BL77" s="923"/>
      <c r="BM77" s="923"/>
      <c r="BN77" s="923"/>
      <c r="BO77" s="923"/>
      <c r="BP77" s="923"/>
      <c r="BQ77" s="923"/>
      <c r="BR77" s="923"/>
      <c r="BS77" s="923"/>
      <c r="BT77" s="923"/>
      <c r="BU77" s="923"/>
      <c r="BV77" s="923"/>
      <c r="BW77" s="923"/>
      <c r="BX77" s="923"/>
      <c r="BY77" s="923"/>
      <c r="BZ77" s="923"/>
      <c r="CA77" s="923"/>
      <c r="CB77" s="923"/>
      <c r="CC77" s="923"/>
      <c r="CD77" s="923"/>
      <c r="CE77" s="923"/>
      <c r="CF77" s="923"/>
      <c r="CG77" s="923"/>
      <c r="CH77" s="923"/>
      <c r="CI77" s="923"/>
      <c r="CJ77" s="923"/>
      <c r="CK77" s="923"/>
      <c r="CL77" s="923"/>
      <c r="CM77" s="923"/>
      <c r="CN77" s="923"/>
      <c r="CO77" s="923"/>
      <c r="CP77" s="923"/>
      <c r="CQ77" s="923"/>
      <c r="CR77" s="923"/>
      <c r="CS77" s="923"/>
      <c r="CT77" s="923"/>
      <c r="CU77" s="923"/>
      <c r="CV77" s="923"/>
      <c r="CW77" s="923"/>
      <c r="CX77" s="923"/>
      <c r="CY77" s="923"/>
      <c r="CZ77" s="923"/>
      <c r="DA77" s="923"/>
      <c r="DB77" s="923"/>
      <c r="DC77" s="923"/>
      <c r="DD77" s="923"/>
      <c r="DE77" s="923"/>
      <c r="DF77" s="923"/>
      <c r="DG77" s="923"/>
      <c r="DH77" s="923"/>
      <c r="DI77" s="923"/>
      <c r="DJ77" s="923"/>
      <c r="DK77" s="923"/>
      <c r="DL77" s="923"/>
      <c r="DM77" s="923"/>
      <c r="DN77" s="923"/>
      <c r="DO77" s="923"/>
      <c r="DP77" s="923"/>
      <c r="DQ77" s="923"/>
      <c r="DR77" s="923"/>
      <c r="DS77" s="923"/>
      <c r="DT77" s="923"/>
      <c r="DU77" s="923"/>
      <c r="DV77" s="923"/>
      <c r="DW77" s="923"/>
      <c r="DX77" s="923"/>
      <c r="DY77" s="923"/>
      <c r="DZ77" s="923"/>
      <c r="EA77" s="923"/>
      <c r="EB77" s="923"/>
      <c r="EC77" s="923"/>
      <c r="ED77" s="923"/>
      <c r="EE77" s="923"/>
      <c r="EF77" s="923"/>
      <c r="EG77" s="923"/>
      <c r="EH77" s="923"/>
      <c r="EI77" s="923"/>
      <c r="EJ77" s="923"/>
      <c r="EK77" s="923"/>
      <c r="EL77" s="923"/>
      <c r="EM77" s="923"/>
      <c r="ES77" s="970" t="s">
        <v>4802</v>
      </c>
      <c r="ET77" s="971">
        <v>470</v>
      </c>
      <c r="EU77" s="972" t="s">
        <v>167</v>
      </c>
      <c r="EV77" s="973">
        <v>3</v>
      </c>
      <c r="EW77" s="972" t="s">
        <v>4691</v>
      </c>
      <c r="EX77" s="973">
        <v>2</v>
      </c>
      <c r="EY77" s="972" t="s">
        <v>2016</v>
      </c>
      <c r="EZ77" s="973">
        <v>2</v>
      </c>
      <c r="FA77" s="972" t="s">
        <v>4694</v>
      </c>
      <c r="FB77" s="973">
        <v>1</v>
      </c>
      <c r="FC77" s="972" t="s">
        <v>4707</v>
      </c>
      <c r="FD77" s="973">
        <v>1</v>
      </c>
      <c r="FE77" s="972" t="s">
        <v>1045</v>
      </c>
    </row>
    <row r="78" spans="1:161" ht="12" customHeight="1" thickBot="1">
      <c r="A78" s="922"/>
      <c r="B78" s="951">
        <v>77</v>
      </c>
      <c r="C78" s="923" t="s">
        <v>709</v>
      </c>
      <c r="D78" s="924">
        <f ca="1">RANDBETWEEN(1,10)+RANDBETWEEN(1,10)</f>
        <v>19</v>
      </c>
      <c r="E78" s="924"/>
      <c r="F78" s="924"/>
      <c r="G78" s="924"/>
      <c r="H78" s="975">
        <f ca="1">ROUND(150+(gpForce+E59+E66)/3+D78,0)</f>
        <v>180</v>
      </c>
      <c r="I78" s="925"/>
      <c r="J78" s="1012" t="s">
        <v>1505</v>
      </c>
      <c r="K78" s="923" t="str">
        <f t="shared" ca="1" si="10"/>
        <v>Taille = 180  Fuite</v>
      </c>
      <c r="O78" s="923"/>
      <c r="P78" s="923"/>
      <c r="Q78" s="923"/>
      <c r="R78" s="923"/>
      <c r="S78" s="923"/>
      <c r="T78" s="923"/>
      <c r="U78" s="925"/>
      <c r="V78" s="923"/>
      <c r="W78" s="923"/>
      <c r="X78" s="923"/>
      <c r="Y78" s="1071"/>
      <c r="Z78" s="923"/>
      <c r="AA78" s="923"/>
      <c r="AB78" s="923"/>
      <c r="AC78" s="923"/>
      <c r="AD78" s="923"/>
      <c r="AE78" s="923"/>
      <c r="AF78" s="923"/>
      <c r="AG78" s="923"/>
      <c r="AH78" s="923"/>
      <c r="AI78" s="923"/>
      <c r="AJ78" s="923"/>
      <c r="AK78" s="923"/>
      <c r="AL78" s="923"/>
      <c r="AM78" s="923"/>
      <c r="AN78" s="923"/>
      <c r="AO78" s="923"/>
      <c r="AP78" s="923"/>
      <c r="AQ78" s="923"/>
      <c r="AR78" s="923"/>
      <c r="AS78" s="923"/>
      <c r="AT78" s="923"/>
      <c r="AU78" s="923"/>
      <c r="AV78" s="924"/>
      <c r="AW78" s="923"/>
      <c r="AX78" s="923"/>
      <c r="AY78" s="923"/>
      <c r="AZ78" s="923"/>
      <c r="BA78" s="923"/>
      <c r="BB78" s="923"/>
      <c r="BC78" s="923"/>
      <c r="BD78" s="923"/>
      <c r="BE78" s="923"/>
      <c r="BF78" s="923"/>
      <c r="BG78" s="923"/>
      <c r="BH78" s="923"/>
      <c r="BI78" s="923"/>
      <c r="BJ78" s="923"/>
      <c r="BK78" s="923"/>
      <c r="BL78" s="923"/>
      <c r="BM78" s="923"/>
      <c r="BN78" s="923"/>
      <c r="BO78" s="923"/>
      <c r="BP78" s="923"/>
      <c r="BQ78" s="923"/>
      <c r="BR78" s="923"/>
      <c r="BS78" s="923"/>
      <c r="BT78" s="923"/>
      <c r="BU78" s="923"/>
      <c r="BV78" s="923"/>
      <c r="BW78" s="923"/>
      <c r="BX78" s="923"/>
      <c r="BY78" s="923"/>
      <c r="BZ78" s="923"/>
      <c r="CA78" s="923"/>
      <c r="CB78" s="923"/>
      <c r="CC78" s="923"/>
      <c r="CD78" s="923"/>
      <c r="CE78" s="923"/>
      <c r="CF78" s="923"/>
      <c r="CG78" s="923"/>
      <c r="CH78" s="923"/>
      <c r="CI78" s="923"/>
      <c r="CJ78" s="923"/>
      <c r="CK78" s="923"/>
      <c r="CL78" s="923"/>
      <c r="CM78" s="923"/>
      <c r="CN78" s="923"/>
      <c r="CO78" s="923"/>
      <c r="CP78" s="923"/>
      <c r="CQ78" s="923"/>
      <c r="CR78" s="923"/>
      <c r="CS78" s="923"/>
      <c r="CT78" s="923"/>
      <c r="CU78" s="923"/>
      <c r="CV78" s="923"/>
      <c r="CW78" s="923"/>
      <c r="CX78" s="923"/>
      <c r="CY78" s="923"/>
      <c r="CZ78" s="923"/>
      <c r="DA78" s="923"/>
      <c r="DB78" s="923"/>
      <c r="DC78" s="923"/>
      <c r="DD78" s="923"/>
      <c r="DE78" s="923"/>
      <c r="DF78" s="923"/>
      <c r="DG78" s="923"/>
      <c r="DH78" s="923"/>
      <c r="DI78" s="923"/>
      <c r="DJ78" s="923"/>
      <c r="DK78" s="923"/>
      <c r="DL78" s="923"/>
      <c r="DM78" s="923"/>
      <c r="DN78" s="923"/>
      <c r="DO78" s="923"/>
      <c r="DP78" s="923"/>
      <c r="DQ78" s="923"/>
      <c r="DR78" s="923"/>
      <c r="DS78" s="923"/>
      <c r="DT78" s="923"/>
      <c r="DU78" s="923"/>
      <c r="DV78" s="923"/>
      <c r="DW78" s="923"/>
      <c r="DX78" s="923"/>
      <c r="DY78" s="923"/>
      <c r="DZ78" s="923"/>
      <c r="EA78" s="923"/>
      <c r="EB78" s="923"/>
      <c r="EC78" s="923"/>
      <c r="ED78" s="923"/>
      <c r="EE78" s="923"/>
      <c r="EF78" s="923"/>
      <c r="EG78" s="923"/>
      <c r="EH78" s="923"/>
      <c r="EI78" s="923"/>
      <c r="EJ78" s="923"/>
      <c r="EK78" s="923"/>
      <c r="EL78" s="923"/>
      <c r="EM78" s="923"/>
      <c r="ES78" s="970" t="s">
        <v>4803</v>
      </c>
      <c r="ET78" s="971">
        <v>400</v>
      </c>
      <c r="EU78" s="972" t="s">
        <v>231</v>
      </c>
      <c r="EV78" s="973">
        <v>2</v>
      </c>
      <c r="EW78" s="972" t="s">
        <v>4753</v>
      </c>
      <c r="EX78" s="973">
        <v>3</v>
      </c>
      <c r="EY78" s="972" t="s">
        <v>4695</v>
      </c>
      <c r="EZ78" s="973">
        <v>2</v>
      </c>
      <c r="FA78" s="972" t="s">
        <v>87</v>
      </c>
      <c r="FB78" s="973">
        <v>2</v>
      </c>
      <c r="FC78" s="972" t="s">
        <v>4687</v>
      </c>
      <c r="FD78" s="973">
        <v>2</v>
      </c>
      <c r="FE78" s="972"/>
    </row>
    <row r="79" spans="1:161" ht="12" customHeight="1" thickBot="1">
      <c r="A79" s="922"/>
      <c r="B79" s="951">
        <v>78</v>
      </c>
      <c r="C79" s="923" t="s">
        <v>4668</v>
      </c>
      <c r="D79" s="924">
        <f ca="1">RANDBETWEEN(1,10)</f>
        <v>6</v>
      </c>
      <c r="E79" s="924"/>
      <c r="F79" s="924"/>
      <c r="G79" s="924"/>
      <c r="H79" s="975">
        <f ca="1">ROUND((H78-100) -(H78-150)/4 -(E61/2)+D79,0)</f>
        <v>71</v>
      </c>
      <c r="I79" s="925"/>
      <c r="J79" s="1012" t="s">
        <v>2272</v>
      </c>
      <c r="K79" s="923" t="str">
        <f t="shared" ca="1" si="10"/>
        <v>Poiids = 71  Mêlée</v>
      </c>
      <c r="O79" s="923"/>
      <c r="P79" s="923"/>
      <c r="Q79" s="923"/>
      <c r="R79" s="923"/>
      <c r="S79" s="923"/>
      <c r="T79" s="923"/>
      <c r="U79" s="925"/>
      <c r="V79" s="923"/>
      <c r="W79" s="923"/>
      <c r="X79" s="923"/>
      <c r="Y79" s="1071"/>
      <c r="Z79" s="923"/>
      <c r="AA79" s="923"/>
      <c r="AB79" s="923"/>
      <c r="AC79" s="923"/>
      <c r="AD79" s="923"/>
      <c r="AE79" s="923"/>
      <c r="AF79" s="923"/>
      <c r="AG79" s="923"/>
      <c r="AH79" s="923"/>
      <c r="AI79" s="923"/>
      <c r="AJ79" s="923"/>
      <c r="AK79" s="923"/>
      <c r="AL79" s="923"/>
      <c r="AM79" s="923"/>
      <c r="AN79" s="923"/>
      <c r="AO79" s="923"/>
      <c r="AP79" s="923"/>
      <c r="AQ79" s="923"/>
      <c r="AR79" s="923"/>
      <c r="AS79" s="923"/>
      <c r="AT79" s="923"/>
      <c r="AU79" s="923"/>
      <c r="AV79" s="924"/>
      <c r="AW79" s="923"/>
      <c r="AX79" s="923"/>
      <c r="AY79" s="923"/>
      <c r="AZ79" s="923"/>
      <c r="BA79" s="923"/>
      <c r="BB79" s="923"/>
      <c r="BC79" s="923"/>
      <c r="BD79" s="923"/>
      <c r="BE79" s="923"/>
      <c r="BF79" s="923"/>
      <c r="BG79" s="923"/>
      <c r="BH79" s="923"/>
      <c r="BI79" s="923"/>
      <c r="BJ79" s="923"/>
      <c r="BK79" s="923"/>
      <c r="BL79" s="923"/>
      <c r="BM79" s="923"/>
      <c r="BN79" s="923"/>
      <c r="BO79" s="923"/>
      <c r="BP79" s="923"/>
      <c r="BQ79" s="923"/>
      <c r="BR79" s="923"/>
      <c r="BS79" s="923"/>
      <c r="BT79" s="923"/>
      <c r="BU79" s="923"/>
      <c r="BV79" s="923"/>
      <c r="BW79" s="923"/>
      <c r="BX79" s="923"/>
      <c r="BY79" s="923"/>
      <c r="BZ79" s="923"/>
      <c r="CA79" s="923"/>
      <c r="CB79" s="923"/>
      <c r="CC79" s="923"/>
      <c r="CD79" s="923"/>
      <c r="CE79" s="923"/>
      <c r="CF79" s="923"/>
      <c r="CG79" s="923"/>
      <c r="CH79" s="923"/>
      <c r="CI79" s="923"/>
      <c r="CJ79" s="923"/>
      <c r="CK79" s="923"/>
      <c r="CL79" s="923"/>
      <c r="CM79" s="923"/>
      <c r="CN79" s="923"/>
      <c r="CO79" s="923"/>
      <c r="CP79" s="923"/>
      <c r="CQ79" s="923"/>
      <c r="CR79" s="923"/>
      <c r="CS79" s="923"/>
      <c r="CT79" s="923"/>
      <c r="CU79" s="923"/>
      <c r="CV79" s="923"/>
      <c r="CW79" s="923"/>
      <c r="CX79" s="923"/>
      <c r="CY79" s="923"/>
      <c r="CZ79" s="923"/>
      <c r="DA79" s="923"/>
      <c r="DB79" s="923"/>
      <c r="DC79" s="923"/>
      <c r="DD79" s="923"/>
      <c r="DE79" s="923"/>
      <c r="DF79" s="923"/>
      <c r="DG79" s="923"/>
      <c r="DH79" s="923"/>
      <c r="DI79" s="923"/>
      <c r="DJ79" s="923"/>
      <c r="DK79" s="923"/>
      <c r="DL79" s="923"/>
      <c r="DM79" s="923"/>
      <c r="DN79" s="923"/>
      <c r="DO79" s="923"/>
      <c r="DP79" s="923"/>
      <c r="DQ79" s="923"/>
      <c r="DR79" s="923"/>
      <c r="DS79" s="923"/>
      <c r="DT79" s="923"/>
      <c r="DU79" s="923"/>
      <c r="DV79" s="923"/>
      <c r="DW79" s="923"/>
      <c r="DX79" s="923"/>
      <c r="DY79" s="923"/>
      <c r="DZ79" s="923"/>
      <c r="EA79" s="923"/>
      <c r="EB79" s="923"/>
      <c r="EC79" s="923"/>
      <c r="ED79" s="923"/>
      <c r="EE79" s="923"/>
      <c r="EF79" s="923"/>
      <c r="EG79" s="923"/>
      <c r="EH79" s="923"/>
      <c r="EI79" s="923"/>
      <c r="EJ79" s="923"/>
      <c r="EK79" s="923"/>
      <c r="EL79" s="923"/>
      <c r="EM79" s="923"/>
      <c r="ES79" s="970" t="s">
        <v>4804</v>
      </c>
      <c r="ET79" s="971">
        <v>540</v>
      </c>
      <c r="EU79" s="972" t="s">
        <v>4764</v>
      </c>
      <c r="EV79" s="973">
        <v>3</v>
      </c>
      <c r="EW79" s="972" t="s">
        <v>4725</v>
      </c>
      <c r="EX79" s="973">
        <v>2</v>
      </c>
      <c r="EY79" s="972" t="s">
        <v>94</v>
      </c>
      <c r="EZ79" s="973">
        <v>1</v>
      </c>
      <c r="FA79" s="972" t="s">
        <v>2033</v>
      </c>
      <c r="FB79" s="973">
        <v>1</v>
      </c>
      <c r="FC79" s="972" t="s">
        <v>4695</v>
      </c>
      <c r="FD79" s="973">
        <v>1</v>
      </c>
      <c r="FE79" s="972" t="s">
        <v>4694</v>
      </c>
    </row>
    <row r="80" spans="1:161" ht="12" customHeight="1" thickBot="1">
      <c r="A80" s="922"/>
      <c r="B80" s="951">
        <v>79</v>
      </c>
      <c r="C80" s="923" t="s">
        <v>4669</v>
      </c>
      <c r="D80" s="924">
        <f ca="1">gpForce+E66</f>
        <v>22</v>
      </c>
      <c r="E80" s="924"/>
      <c r="F80" s="924"/>
      <c r="G80" s="924"/>
      <c r="H80" s="925" t="str">
        <f ca="1">LOOKUP(D80,dCarrure,gpCarrure)</f>
        <v>normale</v>
      </c>
      <c r="I80" s="925"/>
      <c r="J80" s="1012" t="s">
        <v>2275</v>
      </c>
      <c r="K80" s="923" t="str">
        <f t="shared" ca="1" si="10"/>
        <v>Carrure = normale  Obéissance</v>
      </c>
      <c r="O80" s="923"/>
      <c r="P80" s="923"/>
      <c r="Q80" s="923"/>
      <c r="R80" s="923"/>
      <c r="S80" s="923"/>
      <c r="T80" s="923"/>
      <c r="U80" s="925"/>
      <c r="V80" s="923"/>
      <c r="W80" s="923"/>
      <c r="X80" s="923"/>
      <c r="Y80" s="1071"/>
      <c r="Z80" s="923"/>
      <c r="AA80" s="923"/>
      <c r="AB80" s="923"/>
      <c r="AC80" s="923"/>
      <c r="AD80" s="923"/>
      <c r="AE80" s="923"/>
      <c r="AF80" s="923"/>
      <c r="AG80" s="923"/>
      <c r="AH80" s="923"/>
      <c r="AI80" s="923"/>
      <c r="AJ80" s="923"/>
      <c r="AK80" s="923"/>
      <c r="AL80" s="923"/>
      <c r="AM80" s="923"/>
      <c r="AN80" s="923"/>
      <c r="AO80" s="923"/>
      <c r="AP80" s="923"/>
      <c r="AQ80" s="923"/>
      <c r="AR80" s="923"/>
      <c r="AS80" s="923"/>
      <c r="AT80" s="923"/>
      <c r="AU80" s="923"/>
      <c r="AV80" s="924"/>
      <c r="AW80" s="923"/>
      <c r="AX80" s="923"/>
      <c r="AY80" s="923"/>
      <c r="AZ80" s="923"/>
      <c r="BA80" s="923"/>
      <c r="BB80" s="923"/>
      <c r="BC80" s="923"/>
      <c r="BD80" s="923"/>
      <c r="BE80" s="923"/>
      <c r="BF80" s="923"/>
      <c r="BG80" s="923"/>
      <c r="BH80" s="923"/>
      <c r="BI80" s="923"/>
      <c r="BJ80" s="923"/>
      <c r="BK80" s="923"/>
      <c r="BL80" s="923"/>
      <c r="BM80" s="923"/>
      <c r="BN80" s="923"/>
      <c r="BO80" s="923"/>
      <c r="BP80" s="923"/>
      <c r="BQ80" s="923"/>
      <c r="BR80" s="923"/>
      <c r="BS80" s="923"/>
      <c r="BT80" s="923"/>
      <c r="BU80" s="923"/>
      <c r="BV80" s="923"/>
      <c r="BW80" s="923"/>
      <c r="BX80" s="923"/>
      <c r="BY80" s="923"/>
      <c r="BZ80" s="923"/>
      <c r="CA80" s="923"/>
      <c r="CB80" s="923"/>
      <c r="CC80" s="923"/>
      <c r="CD80" s="923"/>
      <c r="CE80" s="923"/>
      <c r="CF80" s="923"/>
      <c r="CG80" s="923"/>
      <c r="CH80" s="923"/>
      <c r="CI80" s="923"/>
      <c r="CJ80" s="923"/>
      <c r="CK80" s="923"/>
      <c r="CL80" s="923"/>
      <c r="CM80" s="923"/>
      <c r="CN80" s="923"/>
      <c r="CO80" s="923"/>
      <c r="CP80" s="923"/>
      <c r="CQ80" s="923"/>
      <c r="CR80" s="923"/>
      <c r="CS80" s="923"/>
      <c r="CT80" s="923"/>
      <c r="CU80" s="923"/>
      <c r="CV80" s="923"/>
      <c r="CW80" s="923"/>
      <c r="CX80" s="923"/>
      <c r="CY80" s="923"/>
      <c r="CZ80" s="923"/>
      <c r="DA80" s="923"/>
      <c r="DB80" s="923"/>
      <c r="DC80" s="923"/>
      <c r="DD80" s="923"/>
      <c r="DE80" s="923"/>
      <c r="DF80" s="923"/>
      <c r="DG80" s="923"/>
      <c r="DH80" s="923"/>
      <c r="DI80" s="923"/>
      <c r="DJ80" s="923"/>
      <c r="DK80" s="923"/>
      <c r="DL80" s="923"/>
      <c r="DM80" s="923"/>
      <c r="DN80" s="923"/>
      <c r="DO80" s="923"/>
      <c r="DP80" s="923"/>
      <c r="DQ80" s="923"/>
      <c r="DR80" s="923"/>
      <c r="DS80" s="923"/>
      <c r="DT80" s="923"/>
      <c r="DU80" s="923"/>
      <c r="DV80" s="923"/>
      <c r="DW80" s="923"/>
      <c r="DX80" s="923"/>
      <c r="DY80" s="923"/>
      <c r="DZ80" s="923"/>
      <c r="EA80" s="923"/>
      <c r="EB80" s="923"/>
      <c r="EC80" s="923"/>
      <c r="ED80" s="923"/>
      <c r="EE80" s="923"/>
      <c r="EF80" s="923"/>
      <c r="EG80" s="923"/>
      <c r="EH80" s="923"/>
      <c r="EI80" s="923"/>
      <c r="EJ80" s="923"/>
      <c r="EK80" s="923"/>
      <c r="EL80" s="923"/>
      <c r="EM80" s="923"/>
      <c r="ES80" s="970" t="s">
        <v>1329</v>
      </c>
      <c r="ET80" s="971">
        <v>390</v>
      </c>
      <c r="EU80" s="997" t="s">
        <v>4691</v>
      </c>
      <c r="EV80" s="973">
        <v>3</v>
      </c>
      <c r="EW80" s="972" t="s">
        <v>2016</v>
      </c>
      <c r="EX80" s="973">
        <v>3</v>
      </c>
      <c r="EY80" s="972" t="s">
        <v>4743</v>
      </c>
      <c r="EZ80" s="973">
        <v>2</v>
      </c>
      <c r="FA80" s="972" t="s">
        <v>2033</v>
      </c>
      <c r="FB80" s="973">
        <v>1</v>
      </c>
      <c r="FC80" s="972" t="s">
        <v>1492</v>
      </c>
      <c r="FD80" s="973">
        <v>2</v>
      </c>
      <c r="FE80" s="905"/>
    </row>
    <row r="81" spans="1:161" ht="12" customHeight="1" thickBot="1">
      <c r="A81" s="922"/>
      <c r="B81" s="951">
        <v>80</v>
      </c>
      <c r="C81" s="923" t="s">
        <v>4676</v>
      </c>
      <c r="D81" s="924">
        <f ca="1">RANDBETWEEN(1,10)*2</f>
        <v>12</v>
      </c>
      <c r="E81" s="924"/>
      <c r="F81" s="924"/>
      <c r="G81" s="924"/>
      <c r="H81" s="975">
        <f ca="1">30+E65+5+D81</f>
        <v>56</v>
      </c>
      <c r="I81" s="925"/>
      <c r="J81" s="920" t="s">
        <v>2277</v>
      </c>
      <c r="K81" s="923" t="e">
        <f>C81&amp;" = "&amp;#REF!&amp;" "&amp;I81&amp;" "&amp;J81</f>
        <v>#REF!</v>
      </c>
      <c r="O81" s="923"/>
      <c r="P81" s="923"/>
      <c r="Q81" s="923"/>
      <c r="R81" s="923"/>
      <c r="S81" s="923"/>
      <c r="T81" s="923"/>
      <c r="U81" s="925"/>
      <c r="V81" s="923"/>
      <c r="W81" s="923"/>
      <c r="X81" s="923"/>
      <c r="Y81" s="1071"/>
      <c r="Z81" s="923"/>
      <c r="AA81" s="923"/>
      <c r="AB81" s="923"/>
      <c r="AC81" s="923"/>
      <c r="AD81" s="923"/>
      <c r="AE81" s="923"/>
      <c r="AF81" s="923"/>
      <c r="AG81" s="923"/>
      <c r="AH81" s="923"/>
      <c r="AI81" s="923"/>
      <c r="AJ81" s="923"/>
      <c r="AK81" s="923"/>
      <c r="AL81" s="923"/>
      <c r="AM81" s="923"/>
      <c r="AN81" s="923"/>
      <c r="AO81" s="923"/>
      <c r="AP81" s="923"/>
      <c r="AQ81" s="923"/>
      <c r="AR81" s="923"/>
      <c r="AS81" s="923"/>
      <c r="AT81" s="923"/>
      <c r="AU81" s="923"/>
      <c r="AV81" s="924"/>
      <c r="AW81" s="923"/>
      <c r="AX81" s="923"/>
      <c r="AY81" s="923"/>
      <c r="AZ81" s="923"/>
      <c r="BA81" s="923"/>
      <c r="BB81" s="923"/>
      <c r="BC81" s="923"/>
      <c r="BD81" s="923"/>
      <c r="BE81" s="923"/>
      <c r="BF81" s="923"/>
      <c r="BG81" s="923"/>
      <c r="BH81" s="923"/>
      <c r="BI81" s="923"/>
      <c r="BJ81" s="923"/>
      <c r="BK81" s="923"/>
      <c r="BL81" s="923"/>
      <c r="BM81" s="923"/>
      <c r="BN81" s="923"/>
      <c r="BO81" s="923"/>
      <c r="BP81" s="923"/>
      <c r="BQ81" s="923"/>
      <c r="BR81" s="923"/>
      <c r="BS81" s="923"/>
      <c r="BT81" s="923"/>
      <c r="BU81" s="923"/>
      <c r="BV81" s="923"/>
      <c r="BW81" s="923"/>
      <c r="BX81" s="923"/>
      <c r="BY81" s="923"/>
      <c r="BZ81" s="923"/>
      <c r="CA81" s="923"/>
      <c r="CB81" s="923"/>
      <c r="CC81" s="923"/>
      <c r="CD81" s="923"/>
      <c r="CE81" s="923"/>
      <c r="CF81" s="923"/>
      <c r="CG81" s="923"/>
      <c r="CH81" s="923"/>
      <c r="CI81" s="923"/>
      <c r="CJ81" s="923"/>
      <c r="CK81" s="923"/>
      <c r="CL81" s="923"/>
      <c r="CM81" s="923"/>
      <c r="CN81" s="923"/>
      <c r="CO81" s="923"/>
      <c r="CP81" s="923"/>
      <c r="CQ81" s="923"/>
      <c r="CR81" s="923"/>
      <c r="CS81" s="923"/>
      <c r="CT81" s="923"/>
      <c r="CU81" s="923"/>
      <c r="CV81" s="923"/>
      <c r="CW81" s="923"/>
      <c r="CX81" s="923"/>
      <c r="CY81" s="923"/>
      <c r="CZ81" s="923"/>
      <c r="DA81" s="923"/>
      <c r="DB81" s="923"/>
      <c r="DC81" s="923"/>
      <c r="DD81" s="923"/>
      <c r="DE81" s="923"/>
      <c r="DF81" s="923"/>
      <c r="DG81" s="923"/>
      <c r="DH81" s="923"/>
      <c r="DI81" s="923"/>
      <c r="DJ81" s="923"/>
      <c r="DK81" s="923"/>
      <c r="DL81" s="923"/>
      <c r="DM81" s="923"/>
      <c r="DN81" s="923"/>
      <c r="DO81" s="923"/>
      <c r="DP81" s="923"/>
      <c r="DQ81" s="923"/>
      <c r="DR81" s="923"/>
      <c r="DS81" s="923"/>
      <c r="DT81" s="923"/>
      <c r="DU81" s="923"/>
      <c r="DV81" s="923"/>
      <c r="DW81" s="923"/>
      <c r="DX81" s="923"/>
      <c r="DY81" s="923"/>
      <c r="DZ81" s="923"/>
      <c r="EA81" s="923"/>
      <c r="EB81" s="923"/>
      <c r="EC81" s="923"/>
      <c r="ED81" s="923"/>
      <c r="EE81" s="923"/>
      <c r="EF81" s="923"/>
      <c r="EG81" s="923"/>
      <c r="EH81" s="923"/>
      <c r="EI81" s="923"/>
      <c r="EJ81" s="923"/>
      <c r="EK81" s="923"/>
      <c r="EL81" s="923"/>
      <c r="EM81" s="923"/>
      <c r="ES81" s="970" t="s">
        <v>4412</v>
      </c>
      <c r="ET81" s="971">
        <v>240</v>
      </c>
      <c r="EU81" s="972" t="s">
        <v>1423</v>
      </c>
      <c r="EV81" s="973">
        <v>2</v>
      </c>
      <c r="EW81" s="980" t="s">
        <v>4731</v>
      </c>
      <c r="EX81" s="973">
        <v>2</v>
      </c>
      <c r="EY81" s="980" t="s">
        <v>4720</v>
      </c>
      <c r="EZ81" s="973">
        <v>1</v>
      </c>
      <c r="FA81" s="980" t="s">
        <v>1517</v>
      </c>
      <c r="FB81" s="973">
        <v>2</v>
      </c>
      <c r="FC81" s="980" t="s">
        <v>4805</v>
      </c>
      <c r="FD81" s="973">
        <v>2</v>
      </c>
      <c r="FE81" s="980" t="s">
        <v>4720</v>
      </c>
    </row>
    <row r="82" spans="1:161" ht="12" customHeight="1" thickBot="1">
      <c r="A82" s="922"/>
      <c r="B82" s="951">
        <v>81</v>
      </c>
      <c r="C82" s="923" t="s">
        <v>2258</v>
      </c>
      <c r="D82" s="924">
        <f t="shared" ref="D82:D85" ca="1" si="12">RANDBETWEEN(1,10)*2</f>
        <v>12</v>
      </c>
      <c r="E82" s="924"/>
      <c r="F82" s="924"/>
      <c r="G82" s="924"/>
      <c r="H82" s="975">
        <f ca="1">30+E64+5+D82</f>
        <v>55</v>
      </c>
      <c r="I82" s="925"/>
      <c r="J82" s="1012" t="s">
        <v>2280</v>
      </c>
      <c r="K82" s="923" t="str">
        <f t="shared" ca="1" si="10"/>
        <v>Ouïe = 55  Réaction</v>
      </c>
      <c r="O82" s="923"/>
      <c r="P82" s="923"/>
      <c r="Q82" s="923"/>
      <c r="R82" s="923"/>
      <c r="S82" s="923"/>
      <c r="T82" s="923"/>
      <c r="U82" s="925"/>
      <c r="V82" s="923"/>
      <c r="W82" s="923"/>
      <c r="X82" s="923"/>
      <c r="Y82" s="1071"/>
      <c r="Z82" s="923"/>
      <c r="AA82" s="923"/>
      <c r="AB82" s="923"/>
      <c r="AC82" s="923"/>
      <c r="AD82" s="923"/>
      <c r="AE82" s="923"/>
      <c r="AF82" s="923"/>
      <c r="AG82" s="923"/>
      <c r="AH82" s="923"/>
      <c r="AI82" s="923"/>
      <c r="AJ82" s="923"/>
      <c r="AK82" s="923"/>
      <c r="AL82" s="923"/>
      <c r="AM82" s="923"/>
      <c r="AN82" s="923"/>
      <c r="AO82" s="923"/>
      <c r="AP82" s="923"/>
      <c r="AQ82" s="923"/>
      <c r="AR82" s="923"/>
      <c r="AS82" s="923"/>
      <c r="AT82" s="923"/>
      <c r="AU82" s="923"/>
      <c r="AV82" s="924"/>
      <c r="AW82" s="923"/>
      <c r="AX82" s="923"/>
      <c r="AY82" s="923"/>
      <c r="AZ82" s="923"/>
      <c r="BA82" s="923"/>
      <c r="BB82" s="923"/>
      <c r="BC82" s="923"/>
      <c r="BD82" s="923"/>
      <c r="BE82" s="923"/>
      <c r="BF82" s="923"/>
      <c r="BG82" s="923"/>
      <c r="BH82" s="923"/>
      <c r="BI82" s="923"/>
      <c r="BJ82" s="923"/>
      <c r="BK82" s="923"/>
      <c r="BL82" s="923"/>
      <c r="BM82" s="923"/>
      <c r="BN82" s="923"/>
      <c r="BO82" s="923"/>
      <c r="BP82" s="923"/>
      <c r="BQ82" s="923"/>
      <c r="BR82" s="923"/>
      <c r="BS82" s="923"/>
      <c r="BT82" s="923"/>
      <c r="BU82" s="923"/>
      <c r="BV82" s="923"/>
      <c r="BW82" s="923"/>
      <c r="BX82" s="923"/>
      <c r="BY82" s="923"/>
      <c r="BZ82" s="923"/>
      <c r="CA82" s="923"/>
      <c r="CB82" s="923"/>
      <c r="CC82" s="923"/>
      <c r="CD82" s="923"/>
      <c r="CE82" s="923"/>
      <c r="CF82" s="923"/>
      <c r="CG82" s="923"/>
      <c r="CH82" s="923"/>
      <c r="CI82" s="923"/>
      <c r="CJ82" s="923"/>
      <c r="CK82" s="923"/>
      <c r="CL82" s="923"/>
      <c r="CM82" s="923"/>
      <c r="CN82" s="923"/>
      <c r="CO82" s="923"/>
      <c r="CP82" s="923"/>
      <c r="CQ82" s="923"/>
      <c r="CR82" s="923"/>
      <c r="CS82" s="923"/>
      <c r="CT82" s="923"/>
      <c r="CU82" s="923"/>
      <c r="CV82" s="923"/>
      <c r="CW82" s="923"/>
      <c r="CX82" s="923"/>
      <c r="CY82" s="923"/>
      <c r="CZ82" s="923"/>
      <c r="DA82" s="923"/>
      <c r="DB82" s="923"/>
      <c r="DC82" s="923"/>
      <c r="DD82" s="923"/>
      <c r="DE82" s="923"/>
      <c r="DF82" s="923"/>
      <c r="DG82" s="923"/>
      <c r="DH82" s="923"/>
      <c r="DI82" s="923"/>
      <c r="DJ82" s="923"/>
      <c r="DK82" s="923"/>
      <c r="DL82" s="923"/>
      <c r="DM82" s="923"/>
      <c r="DN82" s="923"/>
      <c r="DO82" s="923"/>
      <c r="DP82" s="923"/>
      <c r="DQ82" s="923"/>
      <c r="DR82" s="923"/>
      <c r="DS82" s="923"/>
      <c r="DT82" s="923"/>
      <c r="DU82" s="923"/>
      <c r="DV82" s="923"/>
      <c r="DW82" s="923"/>
      <c r="DX82" s="923"/>
      <c r="DY82" s="923"/>
      <c r="DZ82" s="923"/>
      <c r="EA82" s="923"/>
      <c r="EB82" s="923"/>
      <c r="EC82" s="923"/>
      <c r="ED82" s="923"/>
      <c r="EE82" s="923"/>
      <c r="EF82" s="923"/>
      <c r="EG82" s="923"/>
      <c r="EH82" s="923"/>
      <c r="EI82" s="923"/>
      <c r="EJ82" s="923"/>
      <c r="EK82" s="923"/>
      <c r="EL82" s="923"/>
      <c r="EM82" s="923"/>
      <c r="ES82" s="970" t="s">
        <v>4806</v>
      </c>
      <c r="ET82" s="971">
        <v>470</v>
      </c>
      <c r="EU82" s="972" t="s">
        <v>4754</v>
      </c>
      <c r="EV82" s="973">
        <v>3</v>
      </c>
      <c r="EW82" s="972" t="s">
        <v>4735</v>
      </c>
      <c r="EX82" s="973">
        <v>3</v>
      </c>
      <c r="EY82" s="972" t="s">
        <v>4746</v>
      </c>
      <c r="EZ82" s="973">
        <v>3</v>
      </c>
      <c r="FA82" s="972" t="s">
        <v>4696</v>
      </c>
      <c r="FB82" s="973">
        <v>3</v>
      </c>
      <c r="FC82" s="972" t="s">
        <v>280</v>
      </c>
      <c r="FD82" s="973">
        <v>3</v>
      </c>
      <c r="FE82" s="972" t="s">
        <v>4694</v>
      </c>
    </row>
    <row r="83" spans="1:161" ht="12" customHeight="1" thickBot="1">
      <c r="A83" s="922"/>
      <c r="B83" s="951">
        <v>82</v>
      </c>
      <c r="C83" s="923" t="s">
        <v>2255</v>
      </c>
      <c r="D83" s="924">
        <f t="shared" ca="1" si="12"/>
        <v>18</v>
      </c>
      <c r="E83" s="924"/>
      <c r="F83" s="924"/>
      <c r="G83" s="924"/>
      <c r="H83" s="975">
        <f ca="1">30+E62+2+D83</f>
        <v>59</v>
      </c>
      <c r="I83" s="925"/>
      <c r="J83" s="1012" t="s">
        <v>2301</v>
      </c>
      <c r="K83" s="923" t="str">
        <f t="shared" ca="1" si="10"/>
        <v>Odorat = 59  Résistance</v>
      </c>
      <c r="O83" s="923"/>
      <c r="P83" s="923"/>
      <c r="Q83" s="923"/>
      <c r="R83" s="923"/>
      <c r="S83" s="923"/>
      <c r="T83" s="923"/>
      <c r="U83" s="925"/>
      <c r="V83" s="923"/>
      <c r="W83" s="923"/>
      <c r="X83" s="923"/>
      <c r="Y83" s="1071"/>
      <c r="Z83" s="923"/>
      <c r="AA83" s="923"/>
      <c r="AB83" s="923"/>
      <c r="AC83" s="923"/>
      <c r="AD83" s="923"/>
      <c r="AE83" s="923"/>
      <c r="AF83" s="923"/>
      <c r="AG83" s="923"/>
      <c r="AH83" s="923"/>
      <c r="AI83" s="923"/>
      <c r="AJ83" s="923"/>
      <c r="AK83" s="923"/>
      <c r="AL83" s="923"/>
      <c r="AM83" s="923"/>
      <c r="AN83" s="923"/>
      <c r="AO83" s="923"/>
      <c r="AP83" s="923"/>
      <c r="AQ83" s="923"/>
      <c r="AR83" s="923"/>
      <c r="AS83" s="923"/>
      <c r="AT83" s="923"/>
      <c r="AU83" s="923"/>
      <c r="AV83" s="924"/>
      <c r="AW83" s="923"/>
      <c r="AX83" s="923"/>
      <c r="AY83" s="923"/>
      <c r="AZ83" s="923"/>
      <c r="BA83" s="923"/>
      <c r="BB83" s="923"/>
      <c r="BC83" s="923"/>
      <c r="BD83" s="923"/>
      <c r="BE83" s="923"/>
      <c r="BF83" s="923"/>
      <c r="BG83" s="923"/>
      <c r="BH83" s="923"/>
      <c r="BI83" s="923"/>
      <c r="BJ83" s="923"/>
      <c r="BK83" s="923"/>
      <c r="BL83" s="923"/>
      <c r="BM83" s="923"/>
      <c r="BN83" s="923"/>
      <c r="BO83" s="923"/>
      <c r="BP83" s="923"/>
      <c r="BQ83" s="923"/>
      <c r="BR83" s="923"/>
      <c r="BS83" s="923"/>
      <c r="BT83" s="923"/>
      <c r="BU83" s="923"/>
      <c r="BV83" s="923"/>
      <c r="BW83" s="923"/>
      <c r="BX83" s="923"/>
      <c r="BY83" s="923"/>
      <c r="BZ83" s="923"/>
      <c r="CA83" s="923"/>
      <c r="CB83" s="923"/>
      <c r="CC83" s="923"/>
      <c r="CD83" s="923"/>
      <c r="CE83" s="923"/>
      <c r="CF83" s="923"/>
      <c r="CG83" s="923"/>
      <c r="CH83" s="923"/>
      <c r="CI83" s="923"/>
      <c r="CJ83" s="923"/>
      <c r="CK83" s="923"/>
      <c r="CL83" s="923"/>
      <c r="CM83" s="923"/>
      <c r="CN83" s="923"/>
      <c r="CO83" s="923"/>
      <c r="CP83" s="923"/>
      <c r="CQ83" s="923"/>
      <c r="CR83" s="923"/>
      <c r="CS83" s="923"/>
      <c r="CT83" s="923"/>
      <c r="CU83" s="923"/>
      <c r="CV83" s="923"/>
      <c r="CW83" s="923"/>
      <c r="CX83" s="923"/>
      <c r="CY83" s="923"/>
      <c r="CZ83" s="923"/>
      <c r="DA83" s="923"/>
      <c r="DB83" s="923"/>
      <c r="DC83" s="923"/>
      <c r="DD83" s="923"/>
      <c r="DE83" s="923"/>
      <c r="DF83" s="923"/>
      <c r="DG83" s="923"/>
      <c r="DH83" s="923"/>
      <c r="DI83" s="923"/>
      <c r="DJ83" s="923"/>
      <c r="DK83" s="923"/>
      <c r="DL83" s="923"/>
      <c r="DM83" s="923"/>
      <c r="DN83" s="926"/>
      <c r="DO83" s="923"/>
      <c r="DP83" s="923"/>
      <c r="DQ83" s="923"/>
      <c r="DR83" s="923"/>
      <c r="DS83" s="923"/>
      <c r="DT83" s="923"/>
      <c r="DU83" s="923"/>
      <c r="DV83" s="923"/>
      <c r="DW83" s="923"/>
      <c r="DX83" s="923"/>
      <c r="DY83" s="923"/>
      <c r="DZ83" s="923"/>
      <c r="EA83" s="923"/>
      <c r="EB83" s="923"/>
      <c r="EC83" s="923"/>
      <c r="ED83" s="923"/>
      <c r="EE83" s="923"/>
      <c r="EF83" s="923"/>
      <c r="EG83" s="923"/>
      <c r="EH83" s="923"/>
      <c r="EI83" s="923"/>
      <c r="EJ83" s="923"/>
      <c r="EK83" s="923"/>
      <c r="EL83" s="923"/>
      <c r="EM83" s="923"/>
      <c r="ES83" s="970" t="s">
        <v>4807</v>
      </c>
      <c r="ET83" s="971">
        <v>560</v>
      </c>
      <c r="EU83" s="972" t="s">
        <v>152</v>
      </c>
      <c r="EV83" s="973">
        <v>3</v>
      </c>
      <c r="EW83" s="972" t="s">
        <v>94</v>
      </c>
      <c r="EX83" s="973">
        <v>3</v>
      </c>
      <c r="EY83" s="972" t="s">
        <v>4694</v>
      </c>
      <c r="EZ83" s="973">
        <v>2</v>
      </c>
      <c r="FA83" s="972" t="s">
        <v>4721</v>
      </c>
      <c r="FB83" s="973">
        <v>3</v>
      </c>
      <c r="FC83" s="972" t="s">
        <v>4296</v>
      </c>
      <c r="FD83" s="973">
        <v>3</v>
      </c>
      <c r="FE83" s="972" t="s">
        <v>4707</v>
      </c>
    </row>
    <row r="84" spans="1:161" ht="12" customHeight="1" thickBot="1">
      <c r="A84" s="922"/>
      <c r="B84" s="951">
        <v>83</v>
      </c>
      <c r="C84" s="923" t="s">
        <v>2252</v>
      </c>
      <c r="D84" s="924">
        <f t="shared" ca="1" si="12"/>
        <v>8</v>
      </c>
      <c r="E84" s="924"/>
      <c r="F84" s="924"/>
      <c r="G84" s="924"/>
      <c r="H84" s="975">
        <f ca="1">30+E62+2+D84</f>
        <v>49</v>
      </c>
      <c r="I84" s="925"/>
      <c r="J84" s="920" t="s">
        <v>2325</v>
      </c>
      <c r="K84" s="923" t="str">
        <f t="shared" ca="1" si="10"/>
        <v>Goût = 49  Siège</v>
      </c>
      <c r="O84" s="923"/>
      <c r="P84" s="923"/>
      <c r="Q84" s="923"/>
      <c r="R84" s="923"/>
      <c r="S84" s="923"/>
      <c r="T84" s="923"/>
      <c r="U84" s="925"/>
      <c r="V84" s="923"/>
      <c r="W84" s="923"/>
      <c r="X84" s="923"/>
      <c r="Y84" s="1071"/>
      <c r="Z84" s="923"/>
      <c r="AA84" s="923"/>
      <c r="AB84" s="923"/>
      <c r="AC84" s="923"/>
      <c r="AD84" s="923"/>
      <c r="AE84" s="923"/>
      <c r="AF84" s="923"/>
      <c r="AG84" s="923"/>
      <c r="AH84" s="923"/>
      <c r="AI84" s="923"/>
      <c r="AJ84" s="923"/>
      <c r="AK84" s="923"/>
      <c r="AL84" s="923"/>
      <c r="AM84" s="923"/>
      <c r="AN84" s="923"/>
      <c r="AO84" s="923"/>
      <c r="AP84" s="923"/>
      <c r="AQ84" s="923"/>
      <c r="AR84" s="923"/>
      <c r="AS84" s="923"/>
      <c r="AT84" s="923"/>
      <c r="AU84" s="923"/>
      <c r="AV84" s="924"/>
      <c r="AW84" s="923"/>
      <c r="AX84" s="923"/>
      <c r="AY84" s="923"/>
      <c r="AZ84" s="923"/>
      <c r="BA84" s="923"/>
      <c r="BB84" s="923"/>
      <c r="BC84" s="923"/>
      <c r="BD84" s="923"/>
      <c r="BE84" s="923"/>
      <c r="BF84" s="923"/>
      <c r="BG84" s="923"/>
      <c r="BH84" s="923"/>
      <c r="BI84" s="923"/>
      <c r="BJ84" s="923"/>
      <c r="BK84" s="923"/>
      <c r="BL84" s="923"/>
      <c r="BM84" s="923"/>
      <c r="BN84" s="923"/>
      <c r="BO84" s="923"/>
      <c r="BP84" s="923"/>
      <c r="BQ84" s="923"/>
      <c r="BR84" s="923"/>
      <c r="BS84" s="923"/>
      <c r="BT84" s="923"/>
      <c r="BU84" s="923"/>
      <c r="BV84" s="923"/>
      <c r="BW84" s="923"/>
      <c r="BX84" s="923"/>
      <c r="BY84" s="923"/>
      <c r="BZ84" s="923"/>
      <c r="CA84" s="923"/>
      <c r="CB84" s="923"/>
      <c r="CC84" s="923"/>
      <c r="CD84" s="923"/>
      <c r="CE84" s="923"/>
      <c r="CF84" s="923"/>
      <c r="CG84" s="923"/>
      <c r="CH84" s="923"/>
      <c r="CI84" s="923"/>
      <c r="CJ84" s="923"/>
      <c r="CK84" s="923"/>
      <c r="CL84" s="923"/>
      <c r="CM84" s="923"/>
      <c r="CN84" s="923"/>
      <c r="CO84" s="923"/>
      <c r="CP84" s="923"/>
      <c r="CQ84" s="923"/>
      <c r="CR84" s="923"/>
      <c r="CS84" s="923"/>
      <c r="CT84" s="923"/>
      <c r="CU84" s="923"/>
      <c r="CV84" s="923"/>
      <c r="CW84" s="923"/>
      <c r="CX84" s="923"/>
      <c r="CY84" s="923"/>
      <c r="CZ84" s="923"/>
      <c r="DA84" s="923"/>
      <c r="DB84" s="923"/>
      <c r="DC84" s="923"/>
      <c r="DD84" s="923"/>
      <c r="DE84" s="923"/>
      <c r="DF84" s="923"/>
      <c r="DG84" s="923"/>
      <c r="DH84" s="923"/>
      <c r="DI84" s="923"/>
      <c r="DJ84" s="923"/>
      <c r="DK84" s="923"/>
      <c r="DL84" s="923"/>
      <c r="DM84" s="923"/>
      <c r="DN84" s="923"/>
      <c r="DO84" s="923"/>
      <c r="DP84" s="923"/>
      <c r="DQ84" s="923"/>
      <c r="DR84" s="923"/>
      <c r="DS84" s="923"/>
      <c r="DT84" s="923"/>
      <c r="DU84" s="923"/>
      <c r="DV84" s="923"/>
      <c r="DW84" s="923"/>
      <c r="DX84" s="923"/>
      <c r="DY84" s="923"/>
      <c r="DZ84" s="923"/>
      <c r="EA84" s="923"/>
      <c r="EB84" s="923"/>
      <c r="EC84" s="923"/>
      <c r="ED84" s="923"/>
      <c r="EE84" s="923"/>
      <c r="EF84" s="923"/>
      <c r="EG84" s="923"/>
      <c r="EH84" s="923"/>
      <c r="EI84" s="923"/>
      <c r="EJ84" s="923"/>
      <c r="EK84" s="923"/>
      <c r="EL84" s="923"/>
      <c r="EM84" s="923"/>
      <c r="ES84" s="970" t="s">
        <v>4808</v>
      </c>
      <c r="ET84" s="971">
        <v>480</v>
      </c>
      <c r="EU84" s="972" t="s">
        <v>4693</v>
      </c>
      <c r="EV84" s="973">
        <v>3</v>
      </c>
      <c r="EW84" s="972" t="s">
        <v>4694</v>
      </c>
      <c r="EX84" s="973">
        <v>1</v>
      </c>
      <c r="EY84" s="972" t="s">
        <v>94</v>
      </c>
      <c r="EZ84" s="973">
        <v>2</v>
      </c>
      <c r="FA84" s="972" t="s">
        <v>87</v>
      </c>
      <c r="FB84" s="973">
        <v>2</v>
      </c>
      <c r="FC84" s="972" t="s">
        <v>591</v>
      </c>
      <c r="FD84" s="973">
        <v>2</v>
      </c>
      <c r="FE84" s="972" t="s">
        <v>4728</v>
      </c>
    </row>
    <row r="85" spans="1:161" ht="12" customHeight="1" thickBot="1">
      <c r="A85" s="922"/>
      <c r="B85" s="951">
        <v>84</v>
      </c>
      <c r="C85" s="923" t="s">
        <v>2262</v>
      </c>
      <c r="D85" s="924">
        <f t="shared" ca="1" si="12"/>
        <v>8</v>
      </c>
      <c r="E85" s="924"/>
      <c r="F85" s="924"/>
      <c r="G85" s="924"/>
      <c r="H85" s="975">
        <f ca="1">30+E60+2+D85</f>
        <v>52</v>
      </c>
      <c r="I85" s="925"/>
      <c r="J85" s="1012" t="s">
        <v>688</v>
      </c>
      <c r="K85" s="923" t="str">
        <f t="shared" ca="1" si="10"/>
        <v>Toucher = 52  Vitesse</v>
      </c>
      <c r="O85" s="923"/>
      <c r="P85" s="923"/>
      <c r="Q85" s="923"/>
      <c r="R85" s="923"/>
      <c r="S85" s="923"/>
      <c r="T85" s="923"/>
      <c r="U85" s="925"/>
      <c r="V85" s="923"/>
      <c r="W85" s="923"/>
      <c r="X85" s="923"/>
      <c r="Y85" s="1071"/>
      <c r="Z85" s="923"/>
      <c r="AA85" s="923"/>
      <c r="AB85" s="923"/>
      <c r="AC85" s="923"/>
      <c r="AD85" s="923"/>
      <c r="AE85" s="923"/>
      <c r="AF85" s="923"/>
      <c r="AG85" s="923"/>
      <c r="AH85" s="923"/>
      <c r="AI85" s="923"/>
      <c r="AJ85" s="923"/>
      <c r="AK85" s="923"/>
      <c r="AL85" s="923"/>
      <c r="AM85" s="923"/>
      <c r="AN85" s="923"/>
      <c r="AO85" s="923"/>
      <c r="AP85" s="923"/>
      <c r="AQ85" s="923"/>
      <c r="AR85" s="923"/>
      <c r="AS85" s="923"/>
      <c r="AT85" s="923"/>
      <c r="AU85" s="923"/>
      <c r="AV85" s="924"/>
      <c r="AW85" s="923"/>
      <c r="AX85" s="923"/>
      <c r="AY85" s="923"/>
      <c r="AZ85" s="923"/>
      <c r="BA85" s="923"/>
      <c r="BB85" s="923"/>
      <c r="BC85" s="923"/>
      <c r="BD85" s="923"/>
      <c r="BE85" s="923"/>
      <c r="BF85" s="923"/>
      <c r="BG85" s="923"/>
      <c r="BH85" s="923"/>
      <c r="BI85" s="923"/>
      <c r="BJ85" s="923"/>
      <c r="BK85" s="923"/>
      <c r="BL85" s="923"/>
      <c r="BM85" s="923"/>
      <c r="BN85" s="923"/>
      <c r="BO85" s="923"/>
      <c r="BP85" s="923"/>
      <c r="BQ85" s="923"/>
      <c r="BR85" s="923"/>
      <c r="BS85" s="923"/>
      <c r="BT85" s="923"/>
      <c r="BU85" s="923"/>
      <c r="BV85" s="923"/>
      <c r="BW85" s="923"/>
      <c r="BX85" s="923"/>
      <c r="BY85" s="923"/>
      <c r="BZ85" s="923"/>
      <c r="CA85" s="923"/>
      <c r="CB85" s="923"/>
      <c r="CC85" s="923"/>
      <c r="CD85" s="923"/>
      <c r="CE85" s="923"/>
      <c r="CF85" s="923"/>
      <c r="CG85" s="923"/>
      <c r="CH85" s="923"/>
      <c r="CI85" s="923"/>
      <c r="CJ85" s="923"/>
      <c r="CK85" s="923"/>
      <c r="CL85" s="923"/>
      <c r="CM85" s="923"/>
      <c r="CN85" s="923"/>
      <c r="CO85" s="923"/>
      <c r="CP85" s="923"/>
      <c r="CQ85" s="923"/>
      <c r="CR85" s="923"/>
      <c r="CS85" s="923"/>
      <c r="CT85" s="923"/>
      <c r="CU85" s="923"/>
      <c r="CV85" s="923"/>
      <c r="CW85" s="923"/>
      <c r="CX85" s="923"/>
      <c r="CY85" s="923"/>
      <c r="CZ85" s="923"/>
      <c r="DA85" s="923"/>
      <c r="DB85" s="923"/>
      <c r="DC85" s="923"/>
      <c r="DD85" s="923"/>
      <c r="DE85" s="923"/>
      <c r="DF85" s="923"/>
      <c r="DG85" s="923"/>
      <c r="DH85" s="923"/>
      <c r="DI85" s="923"/>
      <c r="DJ85" s="923"/>
      <c r="DK85" s="923"/>
      <c r="DL85" s="923"/>
      <c r="DM85" s="923"/>
      <c r="DN85" s="923"/>
      <c r="DO85" s="923"/>
      <c r="DP85" s="923"/>
      <c r="DQ85" s="923"/>
      <c r="DR85" s="923"/>
      <c r="DS85" s="923"/>
      <c r="DT85" s="923"/>
      <c r="DU85" s="923"/>
      <c r="DV85" s="923"/>
      <c r="DW85" s="923"/>
      <c r="DX85" s="923"/>
      <c r="DY85" s="923"/>
      <c r="DZ85" s="923"/>
      <c r="EA85" s="923"/>
      <c r="EB85" s="923"/>
      <c r="EC85" s="923"/>
      <c r="ED85" s="923"/>
      <c r="EE85" s="923"/>
      <c r="EF85" s="923"/>
      <c r="EG85" s="923"/>
      <c r="EH85" s="923"/>
      <c r="EI85" s="923"/>
      <c r="EJ85" s="923"/>
      <c r="EK85" s="923"/>
      <c r="EL85" s="923"/>
      <c r="EM85" s="923"/>
      <c r="ES85" s="970" t="s">
        <v>4809</v>
      </c>
      <c r="ET85" s="971">
        <v>480</v>
      </c>
      <c r="EU85" s="972" t="s">
        <v>4760</v>
      </c>
      <c r="EV85" s="973">
        <v>3</v>
      </c>
      <c r="EW85" s="972" t="s">
        <v>87</v>
      </c>
      <c r="EX85" s="973">
        <v>2</v>
      </c>
      <c r="EY85" s="972" t="s">
        <v>4695</v>
      </c>
      <c r="EZ85" s="973">
        <v>2</v>
      </c>
      <c r="FA85" s="972" t="s">
        <v>237</v>
      </c>
      <c r="FB85" s="973">
        <v>2</v>
      </c>
      <c r="FC85" s="972"/>
      <c r="FD85" s="973">
        <v>0</v>
      </c>
      <c r="FE85" s="972"/>
    </row>
    <row r="86" spans="1:161" ht="12" customHeight="1" thickBot="1">
      <c r="A86" s="922"/>
      <c r="B86" s="951">
        <v>85</v>
      </c>
      <c r="C86" s="923" t="s">
        <v>4864</v>
      </c>
      <c r="D86" s="924">
        <f t="shared" ref="D86:D87" ca="1" si="13">RANDBETWEEN(1,100)</f>
        <v>60</v>
      </c>
      <c r="E86" s="924">
        <f ca="1">RANDBETWEEN(1,20)</f>
        <v>16</v>
      </c>
      <c r="F86" s="924">
        <f ca="1">RANDBETWEEN(1,10)</f>
        <v>7</v>
      </c>
      <c r="G86" s="794">
        <f ca="1">RANDBETWEEN(persoNS/2,MIN(9,persoNS+1))</f>
        <v>3</v>
      </c>
      <c r="H86" s="991" t="str">
        <f ca="1">IF(persoNS2=0,LOOKUP(E86,dNS0,gpNS0),IF(persoNS2=1,LOOKUP(D86,déNS1,gpNS1),IF(persoNS2=2,LOOKUP(E86,déNS2,gpNS2),IF(persoNS2=3,LOOKUP(E86,déNS3,gpNS3),IF(persoNS2=4,LOOKUP(E86,déNS4,gpNS4),IF(persoNS2=5,LOOKUP(E86,déNS5,gpNS5),IF(persoNS2=6,LOOKUP(E86,déNS6,gpNS6),IF(persoNS2=7,LOOKUP(E86,déNS7,gpNS7),IF(persoNS2=8,LOOKUP(E86,déNS8,gpNS8),LOOKUP(E86,déNS9,gpNS9))))))))))</f>
        <v>Serviteur </v>
      </c>
      <c r="I86" s="1001">
        <f ca="1">LOOKUP(H86,gpMetiers,gpCPAMetiers)</f>
        <v>230</v>
      </c>
      <c r="J86" s="925" t="str">
        <f ca="1">"reste "&amp;ROUND(D75-I41,0)</f>
        <v>reste 188</v>
      </c>
      <c r="K86" s="923" t="str">
        <f t="shared" ca="1" si="10"/>
        <v>2nd Métier  = Serviteur  230 reste 188</v>
      </c>
      <c r="O86" s="923"/>
      <c r="P86" s="923"/>
      <c r="Q86" s="923"/>
      <c r="R86" s="923"/>
      <c r="S86" s="923"/>
      <c r="T86" s="923"/>
      <c r="U86" s="925"/>
      <c r="V86" s="923"/>
      <c r="W86" s="923"/>
      <c r="X86" s="923"/>
      <c r="Y86" s="1071"/>
      <c r="Z86" s="923"/>
      <c r="AA86" s="923"/>
      <c r="AB86" s="923"/>
      <c r="AC86" s="923"/>
      <c r="AD86" s="923"/>
      <c r="AE86" s="923"/>
      <c r="AF86" s="923"/>
      <c r="AG86" s="923"/>
      <c r="AH86" s="923"/>
      <c r="AI86" s="923"/>
      <c r="AJ86" s="923"/>
      <c r="AK86" s="923"/>
      <c r="AL86" s="923"/>
      <c r="AM86" s="923"/>
      <c r="AN86" s="923"/>
      <c r="AO86" s="923"/>
      <c r="AP86" s="923"/>
      <c r="AQ86" s="923"/>
      <c r="AR86" s="923"/>
      <c r="AS86" s="923"/>
      <c r="AT86" s="923"/>
      <c r="AU86" s="923"/>
      <c r="AV86" s="924"/>
      <c r="AW86" s="923"/>
      <c r="AX86" s="923"/>
      <c r="AY86" s="923"/>
      <c r="AZ86" s="923"/>
      <c r="BA86" s="923"/>
      <c r="BB86" s="923"/>
      <c r="BC86" s="923"/>
      <c r="BD86" s="923"/>
      <c r="BE86" s="923"/>
      <c r="BF86" s="923"/>
      <c r="BG86" s="923"/>
      <c r="BH86" s="923"/>
      <c r="BI86" s="923"/>
      <c r="BJ86" s="923"/>
      <c r="BK86" s="923"/>
      <c r="BL86" s="923"/>
      <c r="BM86" s="923"/>
      <c r="BN86" s="923"/>
      <c r="BO86" s="923"/>
      <c r="BP86" s="923"/>
      <c r="BQ86" s="923"/>
      <c r="BR86" s="923"/>
      <c r="BS86" s="923"/>
      <c r="BT86" s="923"/>
      <c r="BU86" s="923"/>
      <c r="BV86" s="923"/>
      <c r="BW86" s="923"/>
      <c r="BX86" s="923"/>
      <c r="BY86" s="923"/>
      <c r="BZ86" s="923"/>
      <c r="CA86" s="923"/>
      <c r="CB86" s="923"/>
      <c r="CC86" s="923"/>
      <c r="CD86" s="923"/>
      <c r="CE86" s="923"/>
      <c r="CF86" s="923"/>
      <c r="CG86" s="923"/>
      <c r="CH86" s="923"/>
      <c r="CI86" s="923"/>
      <c r="CJ86" s="923"/>
      <c r="CK86" s="923"/>
      <c r="CL86" s="923"/>
      <c r="CM86" s="923"/>
      <c r="CN86" s="923"/>
      <c r="CO86" s="923"/>
      <c r="CP86" s="923"/>
      <c r="CQ86" s="923"/>
      <c r="CR86" s="923"/>
      <c r="CS86" s="923"/>
      <c r="CT86" s="923"/>
      <c r="CU86" s="923"/>
      <c r="CV86" s="923"/>
      <c r="CW86" s="923"/>
      <c r="CX86" s="923"/>
      <c r="CY86" s="923"/>
      <c r="CZ86" s="923"/>
      <c r="DA86" s="923"/>
      <c r="DB86" s="923"/>
      <c r="DC86" s="923"/>
      <c r="DD86" s="923"/>
      <c r="DE86" s="923"/>
      <c r="DF86" s="923"/>
      <c r="DG86" s="923"/>
      <c r="DH86" s="923"/>
      <c r="DI86" s="923"/>
      <c r="DJ86" s="923"/>
      <c r="DK86" s="923"/>
      <c r="DL86" s="923"/>
      <c r="DM86" s="923"/>
      <c r="DN86" s="923"/>
      <c r="DO86" s="923"/>
      <c r="DP86" s="923"/>
      <c r="DQ86" s="923"/>
      <c r="DR86" s="923"/>
      <c r="DS86" s="923"/>
      <c r="DT86" s="923"/>
      <c r="DU86" s="923"/>
      <c r="DV86" s="923"/>
      <c r="DW86" s="923"/>
      <c r="DX86" s="923"/>
      <c r="DY86" s="923"/>
      <c r="DZ86" s="923"/>
      <c r="EA86" s="923"/>
      <c r="EB86" s="923"/>
      <c r="EC86" s="923"/>
      <c r="ED86" s="923"/>
      <c r="EE86" s="923"/>
      <c r="EF86" s="923"/>
      <c r="EG86" s="923"/>
      <c r="EH86" s="923"/>
      <c r="EI86" s="923"/>
      <c r="EJ86" s="923"/>
      <c r="EK86" s="923"/>
      <c r="EL86" s="923"/>
      <c r="EM86" s="923"/>
      <c r="ES86" s="970" t="s">
        <v>4810</v>
      </c>
      <c r="ET86" s="971">
        <v>250</v>
      </c>
      <c r="EU86" s="972" t="s">
        <v>4771</v>
      </c>
      <c r="EV86" s="973">
        <v>2</v>
      </c>
      <c r="EW86" s="972" t="s">
        <v>4678</v>
      </c>
      <c r="EX86" s="973">
        <v>2</v>
      </c>
      <c r="EY86" s="972" t="s">
        <v>4681</v>
      </c>
      <c r="EZ86" s="973">
        <v>1</v>
      </c>
      <c r="FA86" s="972" t="s">
        <v>1484</v>
      </c>
      <c r="FB86" s="973">
        <v>2</v>
      </c>
      <c r="FC86" s="972" t="s">
        <v>4781</v>
      </c>
      <c r="FD86" s="973">
        <v>1</v>
      </c>
      <c r="FE86" s="972"/>
    </row>
    <row r="87" spans="1:161" ht="12" customHeight="1" thickBot="1">
      <c r="A87" s="922"/>
      <c r="B87" s="951">
        <v>86</v>
      </c>
      <c r="C87" s="923" t="s">
        <v>4863</v>
      </c>
      <c r="D87" s="924">
        <f t="shared" ca="1" si="13"/>
        <v>91</v>
      </c>
      <c r="E87" s="924">
        <f ca="1">RANDBETWEEN(1,20)</f>
        <v>18</v>
      </c>
      <c r="F87" s="924">
        <f ca="1">RANDBETWEEN(1,10)</f>
        <v>6</v>
      </c>
      <c r="G87" s="794">
        <f ca="1">RANDBETWEEN(persoNS/2,MIN(9,persoNS+1))</f>
        <v>4</v>
      </c>
      <c r="H87" s="991" t="str">
        <f ca="1">IF(persoNS3=0,LOOKUP(E87,dNS0,gpNS0),IF(persoNS3=1,LOOKUP(D87,déNS1,gpNS1),IF(persoNS3=2,LOOKUP(E87,déNS2,gpNS2),IF(persoNS3=3,LOOKUP(E87,déNS3,gpNS3),IF(persoNS3=4,LOOKUP(E87,déNS4,gpNS4),IF(persoNS3=5,LOOKUP(E87,déNS5,gpNS5),IF(persoNS3=6,LOOKUP(E87,déNS6,gpNS6),IF(persoNS3=7,LOOKUP(E87,déNS7,gpNS7),IF(persoNS3=8,LOOKUP(E87,déNS8,gpNS8),LOOKUP(E87,déNS9,gpNS9))))))))))</f>
        <v>Tanneur </v>
      </c>
      <c r="I87" s="1001">
        <f ca="1">LOOKUP(H87,gpMetiers,gpCPAMetiers)</f>
        <v>320</v>
      </c>
      <c r="J87" s="925"/>
      <c r="K87" s="923" t="str">
        <f t="shared" ca="1" si="10"/>
        <v xml:space="preserve">3ième Métier  = Tanneur  320 </v>
      </c>
      <c r="O87" s="923"/>
      <c r="P87" s="923"/>
      <c r="Q87" s="923"/>
      <c r="R87" s="923"/>
      <c r="S87" s="923"/>
      <c r="T87" s="923"/>
      <c r="U87" s="925"/>
      <c r="V87" s="923"/>
      <c r="W87" s="923"/>
      <c r="X87" s="923"/>
      <c r="Y87" s="1071"/>
      <c r="Z87" s="923"/>
      <c r="AA87" s="923"/>
      <c r="AB87" s="923"/>
      <c r="AC87" s="923"/>
      <c r="AD87" s="923"/>
      <c r="AE87" s="923"/>
      <c r="AF87" s="923"/>
      <c r="AG87" s="923"/>
      <c r="AH87" s="923"/>
      <c r="AI87" s="923"/>
      <c r="AJ87" s="923"/>
      <c r="AK87" s="923"/>
      <c r="AL87" s="923"/>
      <c r="AM87" s="923"/>
      <c r="AN87" s="923"/>
      <c r="AO87" s="923"/>
      <c r="AP87" s="923"/>
      <c r="AQ87" s="923"/>
      <c r="AR87" s="923"/>
      <c r="AS87" s="923"/>
      <c r="AT87" s="923"/>
      <c r="AU87" s="923"/>
      <c r="AV87" s="924"/>
      <c r="AW87" s="923"/>
      <c r="AX87" s="923"/>
      <c r="AY87" s="923"/>
      <c r="AZ87" s="923"/>
      <c r="BA87" s="923"/>
      <c r="BB87" s="923"/>
      <c r="BC87" s="923"/>
      <c r="BD87" s="923"/>
      <c r="BE87" s="923"/>
      <c r="BF87" s="923"/>
      <c r="BG87" s="923"/>
      <c r="BH87" s="923"/>
      <c r="BI87" s="923"/>
      <c r="BJ87" s="923"/>
      <c r="BK87" s="923"/>
      <c r="BL87" s="923"/>
      <c r="BM87" s="923"/>
      <c r="BN87" s="923"/>
      <c r="BO87" s="923"/>
      <c r="BP87" s="923"/>
      <c r="BQ87" s="923"/>
      <c r="BR87" s="923"/>
      <c r="BS87" s="923"/>
      <c r="BT87" s="923"/>
      <c r="BU87" s="923"/>
      <c r="BV87" s="923"/>
      <c r="BW87" s="923"/>
      <c r="BX87" s="923"/>
      <c r="BY87" s="923"/>
      <c r="BZ87" s="923"/>
      <c r="CA87" s="923"/>
      <c r="CB87" s="923"/>
      <c r="CC87" s="923"/>
      <c r="CD87" s="923"/>
      <c r="CE87" s="923"/>
      <c r="CF87" s="923"/>
      <c r="CG87" s="923"/>
      <c r="CH87" s="923"/>
      <c r="CI87" s="923"/>
      <c r="CJ87" s="923"/>
      <c r="CK87" s="923"/>
      <c r="CL87" s="923"/>
      <c r="CM87" s="923"/>
      <c r="CN87" s="923"/>
      <c r="CO87" s="923"/>
      <c r="CP87" s="923"/>
      <c r="CQ87" s="923"/>
      <c r="CR87" s="923"/>
      <c r="CS87" s="923"/>
      <c r="CT87" s="923"/>
      <c r="CU87" s="923"/>
      <c r="CV87" s="923"/>
      <c r="CW87" s="923"/>
      <c r="CX87" s="923"/>
      <c r="CY87" s="923"/>
      <c r="CZ87" s="923"/>
      <c r="DA87" s="923"/>
      <c r="DB87" s="923"/>
      <c r="DC87" s="923"/>
      <c r="DD87" s="923"/>
      <c r="DE87" s="923"/>
      <c r="DF87" s="923"/>
      <c r="DG87" s="923"/>
      <c r="DH87" s="923"/>
      <c r="DI87" s="923"/>
      <c r="DJ87" s="923"/>
      <c r="DK87" s="923"/>
      <c r="DL87" s="923"/>
      <c r="DM87" s="923"/>
      <c r="DN87" s="923"/>
      <c r="DO87" s="923"/>
      <c r="DP87" s="923"/>
      <c r="DQ87" s="923"/>
      <c r="DR87" s="923"/>
      <c r="DS87" s="923"/>
      <c r="DT87" s="923"/>
      <c r="DU87" s="923"/>
      <c r="DV87" s="923"/>
      <c r="DW87" s="923"/>
      <c r="DX87" s="923"/>
      <c r="DY87" s="923"/>
      <c r="DZ87" s="923"/>
      <c r="EA87" s="923"/>
      <c r="EB87" s="923"/>
      <c r="EC87" s="923"/>
      <c r="ED87" s="923"/>
      <c r="EE87" s="923"/>
      <c r="EF87" s="923"/>
      <c r="EG87" s="923"/>
      <c r="EH87" s="923"/>
      <c r="EI87" s="923"/>
      <c r="EJ87" s="923"/>
      <c r="EK87" s="923"/>
      <c r="EL87" s="923"/>
      <c r="EM87" s="923"/>
      <c r="ES87" s="970" t="s">
        <v>1391</v>
      </c>
      <c r="ET87" s="971">
        <v>250</v>
      </c>
      <c r="EU87" s="972" t="s">
        <v>4688</v>
      </c>
      <c r="EV87" s="973">
        <v>3</v>
      </c>
      <c r="EW87" s="972" t="s">
        <v>4708</v>
      </c>
      <c r="EX87" s="973">
        <v>2</v>
      </c>
      <c r="EY87" s="972" t="s">
        <v>1526</v>
      </c>
      <c r="EZ87" s="973">
        <v>2</v>
      </c>
      <c r="FA87" s="972" t="s">
        <v>4781</v>
      </c>
      <c r="FB87" s="973">
        <v>2</v>
      </c>
      <c r="FC87" s="972" t="s">
        <v>4681</v>
      </c>
      <c r="FD87" s="973">
        <v>2</v>
      </c>
      <c r="FE87" s="972" t="s">
        <v>4758</v>
      </c>
    </row>
    <row r="88" spans="1:161" ht="12" customHeight="1" thickBot="1">
      <c r="A88" s="922"/>
      <c r="B88" s="951">
        <v>87</v>
      </c>
      <c r="C88" s="1011" t="str">
        <f ca="1">H41</f>
        <v>Sellier </v>
      </c>
      <c r="D88" s="1002"/>
      <c r="E88" s="1002"/>
      <c r="F88" s="1002"/>
      <c r="G88" s="1002"/>
      <c r="H88" s="1003" t="str">
        <f ca="1">LOOKUP(gpMetier1,gpMetiers,gpTal1)</f>
        <v>élevage</v>
      </c>
      <c r="J88" s="925"/>
      <c r="K88" s="923" t="str">
        <f ca="1">C88&amp;" = "&amp;H88&amp;" "&amp;C90&amp;" "&amp;J88</f>
        <v xml:space="preserve">Sellier  = élevage 2 TG à N3 </v>
      </c>
      <c r="O88" s="923"/>
      <c r="P88" s="923"/>
      <c r="Q88" s="923"/>
      <c r="R88" s="923"/>
      <c r="S88" s="923"/>
      <c r="T88" s="923"/>
      <c r="U88" s="925"/>
      <c r="V88" s="923"/>
      <c r="W88" s="923"/>
      <c r="X88" s="923"/>
      <c r="Y88" s="1071"/>
      <c r="Z88" s="923"/>
      <c r="AA88" s="923"/>
      <c r="AB88" s="923"/>
      <c r="AC88" s="923"/>
      <c r="AD88" s="923"/>
      <c r="AE88" s="923"/>
      <c r="AF88" s="923"/>
      <c r="AG88" s="923"/>
      <c r="AH88" s="923"/>
      <c r="AI88" s="923"/>
      <c r="AJ88" s="923"/>
      <c r="AK88" s="923"/>
      <c r="AL88" s="923"/>
      <c r="AM88" s="923"/>
      <c r="AN88" s="923"/>
      <c r="AO88" s="923"/>
      <c r="AP88" s="923"/>
      <c r="AQ88" s="923"/>
      <c r="AR88" s="923"/>
      <c r="AS88" s="923"/>
      <c r="AT88" s="923"/>
      <c r="AU88" s="923"/>
      <c r="AV88" s="924"/>
      <c r="AW88" s="923"/>
      <c r="AX88" s="923"/>
      <c r="AY88" s="923"/>
      <c r="AZ88" s="923"/>
      <c r="BA88" s="923"/>
      <c r="BB88" s="923"/>
      <c r="BC88" s="923"/>
      <c r="BD88" s="923"/>
      <c r="BE88" s="923"/>
      <c r="BF88" s="923"/>
      <c r="BG88" s="923"/>
      <c r="BH88" s="923"/>
      <c r="BI88" s="923"/>
      <c r="BJ88" s="923"/>
      <c r="BK88" s="923"/>
      <c r="BL88" s="923"/>
      <c r="BM88" s="923"/>
      <c r="BN88" s="923"/>
      <c r="BO88" s="923"/>
      <c r="BP88" s="923"/>
      <c r="BQ88" s="923"/>
      <c r="BR88" s="923"/>
      <c r="BS88" s="923"/>
      <c r="BT88" s="923"/>
      <c r="BU88" s="923"/>
      <c r="BV88" s="923"/>
      <c r="BW88" s="923"/>
      <c r="BX88" s="923"/>
      <c r="BY88" s="923"/>
      <c r="BZ88" s="923"/>
      <c r="CA88" s="923"/>
      <c r="CB88" s="923"/>
      <c r="CC88" s="923"/>
      <c r="CD88" s="923"/>
      <c r="CE88" s="923"/>
      <c r="CF88" s="923"/>
      <c r="CG88" s="923"/>
      <c r="CH88" s="923"/>
      <c r="CI88" s="923"/>
      <c r="CJ88" s="923"/>
      <c r="CK88" s="923"/>
      <c r="CL88" s="923"/>
      <c r="CM88" s="923"/>
      <c r="CN88" s="923"/>
      <c r="CO88" s="923"/>
      <c r="CP88" s="923"/>
      <c r="CQ88" s="923"/>
      <c r="CR88" s="923"/>
      <c r="CS88" s="923"/>
      <c r="CT88" s="923"/>
      <c r="CU88" s="923"/>
      <c r="CV88" s="923"/>
      <c r="CW88" s="923"/>
      <c r="CX88" s="923"/>
      <c r="CY88" s="923"/>
      <c r="CZ88" s="923"/>
      <c r="DA88" s="923"/>
      <c r="DB88" s="923"/>
      <c r="DC88" s="923"/>
      <c r="DD88" s="923"/>
      <c r="DE88" s="923"/>
      <c r="DF88" s="923"/>
      <c r="DG88" s="923"/>
      <c r="DH88" s="923"/>
      <c r="DI88" s="923"/>
      <c r="DJ88" s="923"/>
      <c r="DK88" s="923"/>
      <c r="DL88" s="923"/>
      <c r="DM88" s="923"/>
      <c r="DN88" s="923"/>
      <c r="DO88" s="923"/>
      <c r="DP88" s="923"/>
      <c r="DQ88" s="923"/>
      <c r="DR88" s="923"/>
      <c r="DS88" s="923"/>
      <c r="DT88" s="923"/>
      <c r="DU88" s="923"/>
      <c r="DV88" s="923"/>
      <c r="DW88" s="923"/>
      <c r="DX88" s="923"/>
      <c r="DY88" s="923"/>
      <c r="DZ88" s="923"/>
      <c r="EA88" s="923"/>
      <c r="EB88" s="923"/>
      <c r="EC88" s="923"/>
      <c r="ED88" s="923"/>
      <c r="EE88" s="923"/>
      <c r="EF88" s="923"/>
      <c r="EG88" s="923"/>
      <c r="EH88" s="923"/>
      <c r="EI88" s="923"/>
      <c r="EJ88" s="923"/>
      <c r="EK88" s="923"/>
      <c r="EL88" s="923"/>
      <c r="EM88" s="923"/>
      <c r="ES88" s="970" t="s">
        <v>1293</v>
      </c>
      <c r="ET88" s="971">
        <v>570</v>
      </c>
      <c r="EU88" s="972" t="s">
        <v>2033</v>
      </c>
      <c r="EV88" s="973">
        <v>1</v>
      </c>
      <c r="EW88" s="972" t="s">
        <v>4693</v>
      </c>
      <c r="EX88" s="973">
        <v>2</v>
      </c>
      <c r="EY88" s="972" t="s">
        <v>94</v>
      </c>
      <c r="EZ88" s="973">
        <v>3</v>
      </c>
      <c r="FA88" s="972" t="s">
        <v>4694</v>
      </c>
      <c r="FB88" s="973">
        <v>2</v>
      </c>
      <c r="FC88" s="972" t="s">
        <v>4713</v>
      </c>
      <c r="FD88" s="973">
        <v>2</v>
      </c>
      <c r="FE88" s="972"/>
    </row>
    <row r="89" spans="1:161" ht="12" customHeight="1" thickBot="1">
      <c r="A89" s="922"/>
      <c r="B89" s="951">
        <v>88</v>
      </c>
      <c r="C89" s="1009" t="s">
        <v>4876</v>
      </c>
      <c r="D89" s="924"/>
      <c r="E89" s="924"/>
      <c r="F89" s="924"/>
      <c r="G89" s="924"/>
      <c r="H89" s="1004" t="str">
        <f ca="1">LOOKUP(gpMetier1,gpMetiers,gpTal2)</f>
        <v>cbt cheval</v>
      </c>
      <c r="J89" s="925"/>
      <c r="K89" s="923" t="str">
        <f ca="1">C89&amp;" = "&amp;H89&amp;" "&amp;C91&amp;" "&amp;J89</f>
        <v xml:space="preserve">TG inclus = cbt cheval 2 TG à N2 </v>
      </c>
      <c r="O89" s="923"/>
      <c r="P89" s="923"/>
      <c r="Q89" s="923"/>
      <c r="R89" s="923"/>
      <c r="S89" s="923"/>
      <c r="T89" s="923"/>
      <c r="U89" s="925"/>
      <c r="V89" s="923"/>
      <c r="W89" s="923"/>
      <c r="X89" s="923"/>
      <c r="Y89" s="1071"/>
      <c r="Z89" s="923"/>
      <c r="AA89" s="923"/>
      <c r="AB89" s="923"/>
      <c r="AC89" s="923"/>
      <c r="AD89" s="923"/>
      <c r="AE89" s="923"/>
      <c r="AF89" s="923"/>
      <c r="AG89" s="923"/>
      <c r="AH89" s="923"/>
      <c r="AI89" s="923"/>
      <c r="AJ89" s="923"/>
      <c r="AK89" s="923"/>
      <c r="AL89" s="923"/>
      <c r="AM89" s="923"/>
      <c r="AN89" s="923"/>
      <c r="AO89" s="923"/>
      <c r="AP89" s="923"/>
      <c r="AQ89" s="923"/>
      <c r="AR89" s="923"/>
      <c r="AS89" s="923"/>
      <c r="AT89" s="923"/>
      <c r="AU89" s="923"/>
      <c r="AV89" s="924"/>
      <c r="AW89" s="923"/>
      <c r="AX89" s="923"/>
      <c r="AY89" s="923"/>
      <c r="AZ89" s="923"/>
      <c r="BA89" s="923"/>
      <c r="BB89" s="923"/>
      <c r="BC89" s="923"/>
      <c r="BD89" s="923"/>
      <c r="BE89" s="923"/>
      <c r="BF89" s="923"/>
      <c r="BG89" s="923"/>
      <c r="BH89" s="923"/>
      <c r="BI89" s="923"/>
      <c r="BJ89" s="923"/>
      <c r="BK89" s="923"/>
      <c r="BL89" s="923"/>
      <c r="BM89" s="923"/>
      <c r="BN89" s="923"/>
      <c r="BO89" s="923"/>
      <c r="BP89" s="923"/>
      <c r="BQ89" s="923"/>
      <c r="BR89" s="923"/>
      <c r="BS89" s="923"/>
      <c r="BT89" s="923"/>
      <c r="BU89" s="923"/>
      <c r="BV89" s="923"/>
      <c r="BW89" s="923"/>
      <c r="BX89" s="923"/>
      <c r="BY89" s="923"/>
      <c r="BZ89" s="923"/>
      <c r="CA89" s="923"/>
      <c r="CB89" s="923"/>
      <c r="CC89" s="923"/>
      <c r="CD89" s="923"/>
      <c r="CE89" s="923"/>
      <c r="CF89" s="923"/>
      <c r="CG89" s="923"/>
      <c r="CH89" s="923"/>
      <c r="CI89" s="923"/>
      <c r="CJ89" s="923"/>
      <c r="CK89" s="923"/>
      <c r="CL89" s="923"/>
      <c r="CM89" s="923"/>
      <c r="CN89" s="923"/>
      <c r="CO89" s="923"/>
      <c r="CP89" s="923"/>
      <c r="CQ89" s="923"/>
      <c r="CR89" s="923"/>
      <c r="CS89" s="923"/>
      <c r="CT89" s="923"/>
      <c r="CU89" s="923"/>
      <c r="CV89" s="923"/>
      <c r="CW89" s="923"/>
      <c r="CX89" s="923"/>
      <c r="CY89" s="923"/>
      <c r="CZ89" s="923"/>
      <c r="DA89" s="923"/>
      <c r="DB89" s="923"/>
      <c r="DC89" s="923"/>
      <c r="DD89" s="923"/>
      <c r="DE89" s="923"/>
      <c r="DF89" s="923"/>
      <c r="DG89" s="923"/>
      <c r="DH89" s="923"/>
      <c r="DI89" s="923"/>
      <c r="DJ89" s="923"/>
      <c r="DK89" s="923"/>
      <c r="DL89" s="923"/>
      <c r="DM89" s="923"/>
      <c r="DN89" s="923"/>
      <c r="DO89" s="923"/>
      <c r="DP89" s="923"/>
      <c r="DQ89" s="923"/>
      <c r="DR89" s="923"/>
      <c r="DS89" s="923"/>
      <c r="DT89" s="923"/>
      <c r="DU89" s="923"/>
      <c r="DV89" s="923"/>
      <c r="DW89" s="923"/>
      <c r="DX89" s="923"/>
      <c r="DY89" s="923"/>
      <c r="DZ89" s="923"/>
      <c r="EA89" s="923"/>
      <c r="EB89" s="923"/>
      <c r="EC89" s="923"/>
      <c r="ED89" s="923"/>
      <c r="EE89" s="923"/>
      <c r="EF89" s="923"/>
      <c r="EG89" s="923"/>
      <c r="EH89" s="923"/>
      <c r="EI89" s="923"/>
      <c r="EJ89" s="923"/>
      <c r="EK89" s="923"/>
      <c r="EL89" s="923"/>
      <c r="EM89" s="923"/>
      <c r="ES89" s="970" t="s">
        <v>1607</v>
      </c>
      <c r="ET89" s="971">
        <v>90</v>
      </c>
      <c r="EU89" s="972" t="s">
        <v>895</v>
      </c>
      <c r="EV89" s="973">
        <v>3</v>
      </c>
      <c r="EW89" s="972" t="s">
        <v>1022</v>
      </c>
      <c r="EX89" s="973">
        <v>2</v>
      </c>
      <c r="EY89" s="972" t="s">
        <v>2016</v>
      </c>
      <c r="EZ89" s="973">
        <v>2</v>
      </c>
      <c r="FA89" s="972" t="s">
        <v>901</v>
      </c>
      <c r="FB89" s="973">
        <v>1</v>
      </c>
      <c r="FC89" s="972"/>
      <c r="FD89" s="973">
        <v>0</v>
      </c>
      <c r="FE89" s="972"/>
    </row>
    <row r="90" spans="1:161" ht="12" customHeight="1" thickBot="1">
      <c r="A90" s="922"/>
      <c r="B90" s="951">
        <v>89</v>
      </c>
      <c r="C90" s="1009" t="s">
        <v>4884</v>
      </c>
      <c r="D90" s="924"/>
      <c r="E90" s="924"/>
      <c r="F90" s="924"/>
      <c r="G90" s="924"/>
      <c r="H90" s="1004" t="str">
        <f ca="1">LOOKUP(gpMetier1,gpMetiers,gpTal3)</f>
        <v>transport</v>
      </c>
      <c r="J90" s="925"/>
      <c r="K90" s="923" t="e">
        <f ca="1">#REF!&amp;" = "&amp;H90&amp;" "&amp;C92&amp;" "&amp;J90</f>
        <v>#REF!</v>
      </c>
      <c r="O90" s="923"/>
      <c r="P90" s="923"/>
      <c r="Q90" s="923"/>
      <c r="R90" s="923"/>
      <c r="S90" s="923"/>
      <c r="T90" s="923"/>
      <c r="U90" s="925"/>
      <c r="V90" s="923"/>
      <c r="W90" s="923"/>
      <c r="X90" s="923"/>
      <c r="Y90" s="1071"/>
      <c r="Z90" s="923"/>
      <c r="AA90" s="923"/>
      <c r="AB90" s="923"/>
      <c r="AC90" s="923"/>
      <c r="AD90" s="923"/>
      <c r="AE90" s="923"/>
      <c r="AF90" s="923"/>
      <c r="AG90" s="923"/>
      <c r="AH90" s="923"/>
      <c r="AI90" s="923"/>
      <c r="AJ90" s="923"/>
      <c r="AK90" s="923"/>
      <c r="AL90" s="923"/>
      <c r="AM90" s="923"/>
      <c r="AN90" s="923"/>
      <c r="AO90" s="923"/>
      <c r="AP90" s="923"/>
      <c r="AQ90" s="923"/>
      <c r="AR90" s="923"/>
      <c r="AS90" s="923"/>
      <c r="AT90" s="923"/>
      <c r="AU90" s="923"/>
      <c r="AV90" s="924"/>
      <c r="AW90" s="923"/>
      <c r="AX90" s="923"/>
      <c r="AY90" s="923"/>
      <c r="AZ90" s="923"/>
      <c r="BA90" s="923"/>
      <c r="BB90" s="923"/>
      <c r="BC90" s="923"/>
      <c r="BD90" s="923"/>
      <c r="BE90" s="923"/>
      <c r="BF90" s="923"/>
      <c r="BG90" s="923"/>
      <c r="BH90" s="923"/>
      <c r="BI90" s="923"/>
      <c r="BJ90" s="923"/>
      <c r="BK90" s="923"/>
      <c r="BL90" s="923"/>
      <c r="BM90" s="923"/>
      <c r="BN90" s="923"/>
      <c r="BO90" s="923"/>
      <c r="BP90" s="923"/>
      <c r="BQ90" s="923"/>
      <c r="BR90" s="923"/>
      <c r="BS90" s="923"/>
      <c r="BT90" s="923"/>
      <c r="BU90" s="923"/>
      <c r="BV90" s="923"/>
      <c r="BW90" s="923"/>
      <c r="BX90" s="923"/>
      <c r="BY90" s="923"/>
      <c r="BZ90" s="923"/>
      <c r="CA90" s="923"/>
      <c r="CB90" s="923"/>
      <c r="CC90" s="923"/>
      <c r="CD90" s="923"/>
      <c r="CE90" s="923"/>
      <c r="CF90" s="923"/>
      <c r="CG90" s="923"/>
      <c r="CH90" s="923"/>
      <c r="CI90" s="923"/>
      <c r="CJ90" s="923"/>
      <c r="CK90" s="923"/>
      <c r="CL90" s="923"/>
      <c r="CM90" s="923"/>
      <c r="CN90" s="923"/>
      <c r="CO90" s="923"/>
      <c r="CP90" s="923"/>
      <c r="CQ90" s="923"/>
      <c r="CR90" s="923"/>
      <c r="CS90" s="923"/>
      <c r="CT90" s="923"/>
      <c r="CU90" s="923"/>
      <c r="CV90" s="923"/>
      <c r="CW90" s="923"/>
      <c r="CX90" s="923"/>
      <c r="CY90" s="923"/>
      <c r="CZ90" s="923"/>
      <c r="DA90" s="923"/>
      <c r="DB90" s="923"/>
      <c r="DC90" s="923"/>
      <c r="DD90" s="923"/>
      <c r="DE90" s="923"/>
      <c r="DF90" s="923"/>
      <c r="DG90" s="923"/>
      <c r="DH90" s="923"/>
      <c r="DI90" s="923"/>
      <c r="DJ90" s="923"/>
      <c r="DK90" s="923"/>
      <c r="DL90" s="923"/>
      <c r="DM90" s="923"/>
      <c r="DN90" s="923"/>
      <c r="DO90" s="923"/>
      <c r="DP90" s="923"/>
      <c r="DQ90" s="923"/>
      <c r="DR90" s="923"/>
      <c r="DS90" s="923"/>
      <c r="DT90" s="923"/>
      <c r="DU90" s="923"/>
      <c r="DV90" s="923"/>
      <c r="DW90" s="923"/>
      <c r="DX90" s="923"/>
      <c r="DY90" s="923"/>
      <c r="DZ90" s="923"/>
      <c r="EA90" s="923"/>
      <c r="EB90" s="923"/>
      <c r="EC90" s="923"/>
      <c r="ED90" s="923"/>
      <c r="EE90" s="923"/>
      <c r="EF90" s="923"/>
      <c r="EG90" s="923"/>
      <c r="EH90" s="923"/>
      <c r="EI90" s="923"/>
      <c r="EJ90" s="923"/>
      <c r="EK90" s="923"/>
      <c r="EL90" s="923"/>
      <c r="EM90" s="923"/>
      <c r="ES90" s="970" t="s">
        <v>1176</v>
      </c>
      <c r="ET90" s="971">
        <v>150</v>
      </c>
      <c r="EU90" s="972" t="s">
        <v>4752</v>
      </c>
      <c r="EV90" s="973">
        <v>2</v>
      </c>
      <c r="EW90" s="972" t="s">
        <v>901</v>
      </c>
      <c r="EX90" s="973">
        <v>3</v>
      </c>
      <c r="EY90" s="972" t="s">
        <v>1022</v>
      </c>
      <c r="EZ90" s="973">
        <v>2</v>
      </c>
      <c r="FA90" s="972" t="s">
        <v>4739</v>
      </c>
      <c r="FB90" s="973">
        <v>2</v>
      </c>
      <c r="FC90" s="972" t="s">
        <v>895</v>
      </c>
      <c r="FD90" s="973">
        <v>1</v>
      </c>
      <c r="FE90" s="972"/>
    </row>
    <row r="91" spans="1:161" ht="12" customHeight="1" thickBot="1">
      <c r="A91" s="922"/>
      <c r="B91" s="951">
        <v>90</v>
      </c>
      <c r="C91" s="1009" t="s">
        <v>4886</v>
      </c>
      <c r="D91" s="924"/>
      <c r="E91" s="924"/>
      <c r="F91" s="924"/>
      <c r="G91" s="924"/>
      <c r="H91" s="1004" t="str">
        <f ca="1">LOOKUP(gpMetier1,gpMetiers,gpTal4)</f>
        <v>cuir</v>
      </c>
      <c r="J91" s="925"/>
      <c r="K91" s="923" t="e">
        <f ca="1">#REF!&amp;" = "&amp;H91&amp;" "&amp;#REF!&amp;" "&amp;J91</f>
        <v>#REF!</v>
      </c>
      <c r="O91" s="923"/>
      <c r="P91" s="923"/>
      <c r="Q91" s="923"/>
      <c r="R91" s="923"/>
      <c r="S91" s="923"/>
      <c r="T91" s="923"/>
      <c r="U91" s="925"/>
      <c r="V91" s="923"/>
      <c r="W91" s="923"/>
      <c r="X91" s="923"/>
      <c r="Y91" s="1071"/>
      <c r="Z91" s="923"/>
      <c r="AA91" s="923"/>
      <c r="AB91" s="923"/>
      <c r="AC91" s="923"/>
      <c r="AD91" s="923"/>
      <c r="AE91" s="923"/>
      <c r="AF91" s="923"/>
      <c r="AG91" s="923"/>
      <c r="AH91" s="923"/>
      <c r="AI91" s="923"/>
      <c r="AJ91" s="923"/>
      <c r="AK91" s="923"/>
      <c r="AL91" s="923"/>
      <c r="AM91" s="923"/>
      <c r="AN91" s="923"/>
      <c r="AO91" s="923"/>
      <c r="AP91" s="923"/>
      <c r="AQ91" s="923"/>
      <c r="AR91" s="923"/>
      <c r="AS91" s="923"/>
      <c r="AT91" s="923"/>
      <c r="AU91" s="923"/>
      <c r="AV91" s="924"/>
      <c r="AW91" s="923"/>
      <c r="AX91" s="923"/>
      <c r="AY91" s="923"/>
      <c r="AZ91" s="923"/>
      <c r="BA91" s="923"/>
      <c r="BB91" s="923"/>
      <c r="BC91" s="923"/>
      <c r="BD91" s="923"/>
      <c r="BE91" s="923"/>
      <c r="BF91" s="923"/>
      <c r="BG91" s="923"/>
      <c r="BH91" s="923"/>
      <c r="BI91" s="923"/>
      <c r="BJ91" s="923"/>
      <c r="BK91" s="923"/>
      <c r="BL91" s="923"/>
      <c r="BM91" s="923"/>
      <c r="BN91" s="923"/>
      <c r="BO91" s="923"/>
      <c r="BP91" s="923"/>
      <c r="BQ91" s="923"/>
      <c r="BR91" s="923"/>
      <c r="BS91" s="923"/>
      <c r="BT91" s="923"/>
      <c r="BU91" s="923"/>
      <c r="BV91" s="923"/>
      <c r="BW91" s="923"/>
      <c r="BX91" s="923"/>
      <c r="BY91" s="923"/>
      <c r="BZ91" s="923"/>
      <c r="CA91" s="923"/>
      <c r="CB91" s="923"/>
      <c r="CC91" s="923"/>
      <c r="CD91" s="923"/>
      <c r="CE91" s="923"/>
      <c r="CF91" s="923"/>
      <c r="CG91" s="923"/>
      <c r="CH91" s="923"/>
      <c r="CI91" s="923"/>
      <c r="CJ91" s="923"/>
      <c r="CK91" s="923"/>
      <c r="CL91" s="923"/>
      <c r="CM91" s="923"/>
      <c r="CN91" s="923"/>
      <c r="CO91" s="923"/>
      <c r="CP91" s="923"/>
      <c r="CQ91" s="923"/>
      <c r="CR91" s="923"/>
      <c r="CS91" s="923"/>
      <c r="CT91" s="923"/>
      <c r="CU91" s="923"/>
      <c r="CV91" s="923"/>
      <c r="CW91" s="923"/>
      <c r="CX91" s="923"/>
      <c r="CY91" s="923"/>
      <c r="CZ91" s="923"/>
      <c r="DA91" s="923"/>
      <c r="DB91" s="923"/>
      <c r="DC91" s="923"/>
      <c r="DD91" s="923"/>
      <c r="DE91" s="923"/>
      <c r="DF91" s="923"/>
      <c r="DG91" s="923"/>
      <c r="DH91" s="923"/>
      <c r="DI91" s="923"/>
      <c r="DJ91" s="923"/>
      <c r="DK91" s="923"/>
      <c r="DL91" s="923"/>
      <c r="DM91" s="923"/>
      <c r="DN91" s="923"/>
      <c r="DO91" s="923"/>
      <c r="DP91" s="923"/>
      <c r="DQ91" s="923"/>
      <c r="DR91" s="923"/>
      <c r="DS91" s="923"/>
      <c r="DT91" s="923"/>
      <c r="DU91" s="923"/>
      <c r="DV91" s="923"/>
      <c r="DW91" s="923"/>
      <c r="DX91" s="923"/>
      <c r="DY91" s="923"/>
      <c r="DZ91" s="923"/>
      <c r="EA91" s="923"/>
      <c r="EB91" s="923"/>
      <c r="EC91" s="923"/>
      <c r="ED91" s="923"/>
      <c r="EE91" s="923"/>
      <c r="EF91" s="923"/>
      <c r="EG91" s="923"/>
      <c r="EH91" s="923"/>
      <c r="EI91" s="923"/>
      <c r="EJ91" s="923"/>
      <c r="EK91" s="923"/>
      <c r="EL91" s="923"/>
      <c r="EM91" s="923"/>
      <c r="ES91" s="970" t="s">
        <v>1273</v>
      </c>
      <c r="ET91" s="971">
        <v>420</v>
      </c>
      <c r="EU91" s="972" t="s">
        <v>4694</v>
      </c>
      <c r="EV91" s="973">
        <v>3</v>
      </c>
      <c r="EW91" s="972" t="s">
        <v>4774</v>
      </c>
      <c r="EX91" s="973">
        <v>3</v>
      </c>
      <c r="EY91" s="972" t="s">
        <v>4711</v>
      </c>
      <c r="EZ91" s="973">
        <v>2</v>
      </c>
      <c r="FA91" s="972" t="s">
        <v>4721</v>
      </c>
      <c r="FB91" s="973">
        <v>2</v>
      </c>
      <c r="FC91" s="972" t="s">
        <v>4694</v>
      </c>
      <c r="FD91" s="973">
        <v>3</v>
      </c>
      <c r="FE91" s="972" t="s">
        <v>4774</v>
      </c>
    </row>
    <row r="92" spans="1:161" ht="12" customHeight="1" thickBot="1">
      <c r="A92" s="922"/>
      <c r="B92" s="951">
        <v>91</v>
      </c>
      <c r="C92" s="1009" t="s">
        <v>4885</v>
      </c>
      <c r="D92" s="924"/>
      <c r="E92" s="924"/>
      <c r="F92" s="924"/>
      <c r="G92" s="924"/>
      <c r="H92" s="1004" t="str">
        <f ca="1">LOOKUP(gpMetier1,gpMetiers,gpTal5)</f>
        <v>forge</v>
      </c>
      <c r="J92" s="925"/>
      <c r="K92" s="923" t="e">
        <f ca="1">#REF!&amp;" = "&amp;H92&amp;" "&amp;#REF!&amp;" "&amp;J92</f>
        <v>#REF!</v>
      </c>
      <c r="O92" s="923"/>
      <c r="P92" s="923"/>
      <c r="Q92" s="923"/>
      <c r="R92" s="923"/>
      <c r="S92" s="923"/>
      <c r="T92" s="923"/>
      <c r="U92" s="925"/>
      <c r="V92" s="923"/>
      <c r="W92" s="923"/>
      <c r="X92" s="923"/>
      <c r="Y92" s="1071"/>
      <c r="Z92" s="923"/>
      <c r="AA92" s="923"/>
      <c r="AB92" s="923"/>
      <c r="AC92" s="923"/>
      <c r="AD92" s="923"/>
      <c r="AE92" s="923"/>
      <c r="AF92" s="923"/>
      <c r="AG92" s="923"/>
      <c r="AH92" s="923"/>
      <c r="AI92" s="923"/>
      <c r="AJ92" s="923"/>
      <c r="AK92" s="923"/>
      <c r="AL92" s="923"/>
      <c r="AM92" s="923"/>
      <c r="AN92" s="923"/>
      <c r="AO92" s="923"/>
      <c r="AP92" s="923"/>
      <c r="AQ92" s="923"/>
      <c r="AR92" s="923"/>
      <c r="AS92" s="923"/>
      <c r="AT92" s="923"/>
      <c r="AU92" s="923"/>
      <c r="AV92" s="924"/>
      <c r="AW92" s="923"/>
      <c r="AX92" s="923"/>
      <c r="AY92" s="923"/>
      <c r="AZ92" s="923"/>
      <c r="BA92" s="923"/>
      <c r="BB92" s="923"/>
      <c r="BC92" s="923"/>
      <c r="BD92" s="923"/>
      <c r="BE92" s="923"/>
      <c r="BF92" s="923"/>
      <c r="BG92" s="923"/>
      <c r="BH92" s="923"/>
      <c r="BI92" s="923"/>
      <c r="BJ92" s="923"/>
      <c r="BK92" s="923"/>
      <c r="BL92" s="923"/>
      <c r="BM92" s="923"/>
      <c r="BN92" s="923"/>
      <c r="BO92" s="923"/>
      <c r="BP92" s="923"/>
      <c r="BQ92" s="923"/>
      <c r="BR92" s="923"/>
      <c r="BS92" s="923"/>
      <c r="BT92" s="923"/>
      <c r="BU92" s="923"/>
      <c r="BV92" s="923"/>
      <c r="BW92" s="923"/>
      <c r="BX92" s="923"/>
      <c r="BY92" s="923"/>
      <c r="BZ92" s="923"/>
      <c r="CA92" s="923"/>
      <c r="CB92" s="923"/>
      <c r="CC92" s="923"/>
      <c r="CD92" s="923"/>
      <c r="CE92" s="923"/>
      <c r="CF92" s="923"/>
      <c r="CG92" s="923"/>
      <c r="CH92" s="923"/>
      <c r="CI92" s="923"/>
      <c r="CJ92" s="923"/>
      <c r="CK92" s="923"/>
      <c r="CL92" s="923"/>
      <c r="CM92" s="923"/>
      <c r="CN92" s="923"/>
      <c r="CO92" s="923"/>
      <c r="CP92" s="923"/>
      <c r="CQ92" s="923"/>
      <c r="CR92" s="923"/>
      <c r="CS92" s="923"/>
      <c r="CT92" s="923"/>
      <c r="CU92" s="923"/>
      <c r="CV92" s="923"/>
      <c r="CW92" s="923"/>
      <c r="CX92" s="923"/>
      <c r="CY92" s="923"/>
      <c r="CZ92" s="923"/>
      <c r="DA92" s="923"/>
      <c r="DB92" s="923"/>
      <c r="DC92" s="923"/>
      <c r="DD92" s="923"/>
      <c r="DE92" s="923"/>
      <c r="DF92" s="923"/>
      <c r="DG92" s="923"/>
      <c r="DH92" s="923"/>
      <c r="DI92" s="923"/>
      <c r="DJ92" s="923"/>
      <c r="DK92" s="923"/>
      <c r="DL92" s="923"/>
      <c r="DM92" s="923"/>
      <c r="DN92" s="923"/>
      <c r="DO92" s="923"/>
      <c r="DP92" s="923"/>
      <c r="DQ92" s="923"/>
      <c r="DR92" s="923"/>
      <c r="DS92" s="923"/>
      <c r="DT92" s="923"/>
      <c r="DU92" s="923"/>
      <c r="DV92" s="923"/>
      <c r="DW92" s="923"/>
      <c r="DX92" s="923"/>
      <c r="DY92" s="923"/>
      <c r="DZ92" s="923"/>
      <c r="EA92" s="923"/>
      <c r="EB92" s="923"/>
      <c r="EC92" s="923"/>
      <c r="ED92" s="923"/>
      <c r="EE92" s="923"/>
      <c r="EF92" s="923"/>
      <c r="EG92" s="923"/>
      <c r="EH92" s="923"/>
      <c r="EI92" s="923"/>
      <c r="EJ92" s="923"/>
      <c r="EK92" s="923"/>
      <c r="EL92" s="923"/>
      <c r="EM92" s="923"/>
      <c r="ES92" s="970" t="s">
        <v>1274</v>
      </c>
      <c r="ET92" s="971">
        <v>420</v>
      </c>
      <c r="EU92" s="972" t="s">
        <v>4721</v>
      </c>
      <c r="EV92" s="973">
        <v>3</v>
      </c>
      <c r="EW92" s="972" t="s">
        <v>4774</v>
      </c>
      <c r="EX92" s="973">
        <v>3</v>
      </c>
      <c r="EY92" s="972" t="s">
        <v>4774</v>
      </c>
      <c r="EZ92" s="973">
        <v>2</v>
      </c>
      <c r="FA92" s="972" t="s">
        <v>2033</v>
      </c>
      <c r="FB92" s="973">
        <v>2</v>
      </c>
      <c r="FC92" s="972" t="s">
        <v>1526</v>
      </c>
      <c r="FD92" s="973">
        <v>3</v>
      </c>
      <c r="FE92" s="972" t="s">
        <v>4717</v>
      </c>
    </row>
    <row r="93" spans="1:161" ht="12" customHeight="1" thickBot="1">
      <c r="A93" s="922"/>
      <c r="B93" s="951">
        <v>92</v>
      </c>
      <c r="C93" s="1005"/>
      <c r="D93" s="1006"/>
      <c r="E93" s="1006"/>
      <c r="F93" s="1006"/>
      <c r="G93" s="1006"/>
      <c r="H93" s="1007" t="str">
        <f ca="1">LOOKUP(gpMetier1,gpMetiers,gpTal6)</f>
        <v>charge</v>
      </c>
      <c r="J93" s="925"/>
      <c r="K93" s="923" t="e">
        <f ca="1">C93&amp;" = "&amp;H93&amp;" "&amp;#REF!&amp;" "&amp;J93</f>
        <v>#REF!</v>
      </c>
      <c r="O93" s="923"/>
      <c r="P93" s="923"/>
      <c r="Q93" s="923"/>
      <c r="R93" s="923"/>
      <c r="S93" s="923"/>
      <c r="T93" s="923"/>
      <c r="U93" s="925"/>
      <c r="V93" s="923"/>
      <c r="W93" s="923"/>
      <c r="X93" s="923"/>
      <c r="Y93" s="1071"/>
      <c r="Z93" s="923"/>
      <c r="AA93" s="923"/>
      <c r="AB93" s="923"/>
      <c r="AC93" s="923"/>
      <c r="AD93" s="923"/>
      <c r="AE93" s="923"/>
      <c r="AF93" s="923"/>
      <c r="AG93" s="923"/>
      <c r="AH93" s="923"/>
      <c r="AI93" s="923"/>
      <c r="AJ93" s="923"/>
      <c r="AK93" s="923"/>
      <c r="AL93" s="923"/>
      <c r="AM93" s="923"/>
      <c r="AN93" s="923"/>
      <c r="AO93" s="923"/>
      <c r="AP93" s="923"/>
      <c r="AQ93" s="923"/>
      <c r="AR93" s="923"/>
      <c r="AS93" s="923"/>
      <c r="AT93" s="923"/>
      <c r="AU93" s="923"/>
      <c r="AV93" s="924"/>
      <c r="AW93" s="923"/>
      <c r="AX93" s="923"/>
      <c r="AY93" s="923"/>
      <c r="AZ93" s="923"/>
      <c r="BA93" s="923"/>
      <c r="BB93" s="923"/>
      <c r="BC93" s="923"/>
      <c r="BD93" s="923"/>
      <c r="BE93" s="923"/>
      <c r="BF93" s="923"/>
      <c r="BG93" s="923"/>
      <c r="BH93" s="923"/>
      <c r="BI93" s="923"/>
      <c r="BJ93" s="923"/>
      <c r="BK93" s="923"/>
      <c r="BL93" s="923"/>
      <c r="BM93" s="923"/>
      <c r="BN93" s="923"/>
      <c r="BO93" s="923"/>
      <c r="BP93" s="923"/>
      <c r="BQ93" s="923"/>
      <c r="BR93" s="923"/>
      <c r="BS93" s="923"/>
      <c r="BT93" s="923"/>
      <c r="BU93" s="923"/>
      <c r="BV93" s="923"/>
      <c r="BW93" s="923"/>
      <c r="BX93" s="923"/>
      <c r="BY93" s="923"/>
      <c r="BZ93" s="923"/>
      <c r="CA93" s="923"/>
      <c r="CB93" s="923"/>
      <c r="CC93" s="923"/>
      <c r="CD93" s="923"/>
      <c r="CE93" s="923"/>
      <c r="CF93" s="923"/>
      <c r="CG93" s="923"/>
      <c r="CH93" s="923"/>
      <c r="CI93" s="923"/>
      <c r="CJ93" s="923"/>
      <c r="CK93" s="923"/>
      <c r="CL93" s="923"/>
      <c r="CM93" s="923"/>
      <c r="CN93" s="923"/>
      <c r="CO93" s="923"/>
      <c r="CP93" s="923"/>
      <c r="CQ93" s="923"/>
      <c r="CR93" s="923"/>
      <c r="CS93" s="923"/>
      <c r="CT93" s="923"/>
      <c r="CU93" s="923"/>
      <c r="CV93" s="923"/>
      <c r="CW93" s="923"/>
      <c r="CX93" s="923"/>
      <c r="CY93" s="923"/>
      <c r="CZ93" s="923"/>
      <c r="DA93" s="923"/>
      <c r="DB93" s="923"/>
      <c r="DC93" s="923"/>
      <c r="DD93" s="923"/>
      <c r="DE93" s="923"/>
      <c r="DF93" s="923"/>
      <c r="DG93" s="923"/>
      <c r="DH93" s="923"/>
      <c r="DI93" s="923"/>
      <c r="DJ93" s="923"/>
      <c r="DK93" s="923"/>
      <c r="DL93" s="923"/>
      <c r="DM93" s="923"/>
      <c r="DN93" s="923"/>
      <c r="DO93" s="923"/>
      <c r="DP93" s="923"/>
      <c r="DQ93" s="923"/>
      <c r="DR93" s="923"/>
      <c r="DS93" s="923"/>
      <c r="DT93" s="923"/>
      <c r="DU93" s="923"/>
      <c r="DV93" s="923"/>
      <c r="DW93" s="923"/>
      <c r="DX93" s="923"/>
      <c r="DY93" s="923"/>
      <c r="DZ93" s="923"/>
      <c r="EA93" s="923"/>
      <c r="EB93" s="923"/>
      <c r="EC93" s="923"/>
      <c r="ED93" s="923"/>
      <c r="EE93" s="923"/>
      <c r="EF93" s="923"/>
      <c r="EG93" s="923"/>
      <c r="EH93" s="923"/>
      <c r="EI93" s="923"/>
      <c r="EJ93" s="923"/>
      <c r="EK93" s="923"/>
      <c r="EL93" s="923"/>
      <c r="EM93" s="923"/>
      <c r="ES93" s="970" t="s">
        <v>4811</v>
      </c>
      <c r="ET93" s="971">
        <v>260</v>
      </c>
      <c r="EU93" s="972" t="s">
        <v>4746</v>
      </c>
      <c r="EV93" s="973">
        <v>3</v>
      </c>
      <c r="EW93" s="972" t="s">
        <v>4752</v>
      </c>
      <c r="EX93" s="973">
        <v>2</v>
      </c>
      <c r="EY93" s="972" t="s">
        <v>4700</v>
      </c>
      <c r="EZ93" s="973">
        <v>2</v>
      </c>
      <c r="FA93" s="972" t="s">
        <v>280</v>
      </c>
      <c r="FB93" s="973">
        <v>3</v>
      </c>
      <c r="FC93" s="972" t="s">
        <v>4754</v>
      </c>
      <c r="FD93" s="973">
        <v>1</v>
      </c>
      <c r="FE93" s="972"/>
    </row>
    <row r="94" spans="1:161" ht="12" customHeight="1" thickBot="1">
      <c r="A94" s="922"/>
      <c r="B94" s="951">
        <v>93</v>
      </c>
      <c r="C94" s="1011" t="str">
        <f ca="1">H86</f>
        <v>Serviteur </v>
      </c>
      <c r="D94" s="1002"/>
      <c r="E94" s="1002"/>
      <c r="F94" s="1002"/>
      <c r="G94" s="1002"/>
      <c r="H94" s="1003" t="str">
        <f ca="1">LOOKUP(gpMetier2,gpMetiers,gpTal1)</f>
        <v>servage</v>
      </c>
      <c r="J94" s="925"/>
      <c r="K94" s="923" t="e">
        <f ca="1">C94&amp;" = "&amp;H94&amp;" "&amp;#REF!&amp;" "&amp;J94</f>
        <v>#REF!</v>
      </c>
      <c r="O94" s="923"/>
      <c r="P94" s="923"/>
      <c r="Q94" s="923"/>
      <c r="R94" s="923"/>
      <c r="S94" s="923"/>
      <c r="T94" s="923"/>
      <c r="U94" s="925"/>
      <c r="V94" s="923"/>
      <c r="W94" s="923"/>
      <c r="X94" s="923"/>
      <c r="Y94" s="1071"/>
      <c r="Z94" s="923"/>
      <c r="AA94" s="923"/>
      <c r="AB94" s="923"/>
      <c r="AC94" s="923"/>
      <c r="AD94" s="923"/>
      <c r="AE94" s="923"/>
      <c r="AF94" s="923"/>
      <c r="AG94" s="923"/>
      <c r="AH94" s="923"/>
      <c r="AI94" s="923"/>
      <c r="AJ94" s="923"/>
      <c r="AK94" s="923"/>
      <c r="AL94" s="923"/>
      <c r="AM94" s="923"/>
      <c r="AN94" s="923"/>
      <c r="AO94" s="923"/>
      <c r="AP94" s="923"/>
      <c r="AQ94" s="923"/>
      <c r="AR94" s="923"/>
      <c r="AS94" s="923"/>
      <c r="AT94" s="923"/>
      <c r="AU94" s="923"/>
      <c r="AV94" s="924"/>
      <c r="AW94" s="923"/>
      <c r="AX94" s="923"/>
      <c r="AY94" s="923"/>
      <c r="AZ94" s="923"/>
      <c r="BA94" s="923"/>
      <c r="BB94" s="923"/>
      <c r="BC94" s="923"/>
      <c r="BD94" s="923"/>
      <c r="BE94" s="923"/>
      <c r="BF94" s="923"/>
      <c r="BG94" s="923"/>
      <c r="BH94" s="923"/>
      <c r="BI94" s="923"/>
      <c r="BJ94" s="923"/>
      <c r="BK94" s="923"/>
      <c r="BL94" s="923"/>
      <c r="BM94" s="923"/>
      <c r="BN94" s="923"/>
      <c r="BO94" s="923"/>
      <c r="BP94" s="923"/>
      <c r="BQ94" s="923"/>
      <c r="BR94" s="923"/>
      <c r="BS94" s="923"/>
      <c r="BT94" s="923"/>
      <c r="BU94" s="923"/>
      <c r="BV94" s="923"/>
      <c r="BW94" s="923"/>
      <c r="BX94" s="923"/>
      <c r="BY94" s="923"/>
      <c r="BZ94" s="923"/>
      <c r="CA94" s="923"/>
      <c r="CB94" s="923"/>
      <c r="CC94" s="923"/>
      <c r="CD94" s="923"/>
      <c r="CE94" s="923"/>
      <c r="CF94" s="923"/>
      <c r="CG94" s="923"/>
      <c r="CH94" s="923"/>
      <c r="CI94" s="923"/>
      <c r="CJ94" s="923"/>
      <c r="CK94" s="923"/>
      <c r="CL94" s="923"/>
      <c r="CM94" s="923"/>
      <c r="CN94" s="923"/>
      <c r="CO94" s="923"/>
      <c r="CP94" s="923"/>
      <c r="CQ94" s="923"/>
      <c r="CR94" s="923"/>
      <c r="CS94" s="923"/>
      <c r="CT94" s="923"/>
      <c r="CU94" s="923"/>
      <c r="CV94" s="923"/>
      <c r="CW94" s="923"/>
      <c r="CX94" s="923"/>
      <c r="CY94" s="923"/>
      <c r="CZ94" s="923"/>
      <c r="DA94" s="923"/>
      <c r="DB94" s="923"/>
      <c r="DC94" s="923"/>
      <c r="DD94" s="923"/>
      <c r="DE94" s="923"/>
      <c r="DF94" s="923"/>
      <c r="DG94" s="923"/>
      <c r="DH94" s="923"/>
      <c r="DI94" s="923"/>
      <c r="DJ94" s="923"/>
      <c r="DK94" s="923"/>
      <c r="DL94" s="923"/>
      <c r="DM94" s="923"/>
      <c r="DN94" s="923"/>
      <c r="DO94" s="923"/>
      <c r="DP94" s="923"/>
      <c r="DQ94" s="923"/>
      <c r="DR94" s="923"/>
      <c r="DS94" s="923"/>
      <c r="DT94" s="923"/>
      <c r="DU94" s="923"/>
      <c r="DV94" s="923"/>
      <c r="DW94" s="923"/>
      <c r="DX94" s="923"/>
      <c r="DY94" s="923"/>
      <c r="DZ94" s="923"/>
      <c r="EA94" s="923"/>
      <c r="EB94" s="923"/>
      <c r="EC94" s="923"/>
      <c r="ED94" s="923"/>
      <c r="EE94" s="923"/>
      <c r="EF94" s="923"/>
      <c r="EG94" s="923"/>
      <c r="EH94" s="923"/>
      <c r="EI94" s="923"/>
      <c r="EJ94" s="923"/>
      <c r="EK94" s="923"/>
      <c r="EL94" s="923"/>
      <c r="EM94" s="923"/>
      <c r="ES94" s="970" t="s">
        <v>4256</v>
      </c>
      <c r="ET94" s="971">
        <v>260</v>
      </c>
      <c r="EU94" s="972" t="s">
        <v>901</v>
      </c>
      <c r="EV94" s="973">
        <v>3</v>
      </c>
      <c r="EW94" s="972" t="s">
        <v>621</v>
      </c>
      <c r="EX94" s="973">
        <v>2</v>
      </c>
      <c r="EY94" s="972" t="s">
        <v>1022</v>
      </c>
      <c r="EZ94" s="973">
        <v>2</v>
      </c>
      <c r="FA94" s="972" t="s">
        <v>4756</v>
      </c>
      <c r="FB94" s="973">
        <v>3</v>
      </c>
      <c r="FC94" s="972" t="s">
        <v>4732</v>
      </c>
      <c r="FD94" s="973">
        <v>1</v>
      </c>
      <c r="FE94" s="972"/>
    </row>
    <row r="95" spans="1:161" ht="12" customHeight="1" thickBot="1">
      <c r="A95" s="922"/>
      <c r="B95" s="951">
        <v>94</v>
      </c>
      <c r="C95" s="1009" t="s">
        <v>4876</v>
      </c>
      <c r="D95" s="924"/>
      <c r="E95" s="924"/>
      <c r="F95" s="924"/>
      <c r="G95" s="924"/>
      <c r="H95" s="1004" t="str">
        <f ca="1">LOOKUP(gpMetier2,gpMetiers,gpTal2)</f>
        <v>gestion</v>
      </c>
      <c r="J95" s="925"/>
      <c r="K95" s="923" t="e">
        <f ca="1">C95&amp;" = "&amp;H95&amp;" "&amp;#REF!&amp;" "&amp;J95</f>
        <v>#REF!</v>
      </c>
      <c r="O95" s="923"/>
      <c r="P95" s="923"/>
      <c r="Q95" s="923"/>
      <c r="R95" s="923"/>
      <c r="S95" s="923"/>
      <c r="T95" s="923"/>
      <c r="U95" s="925"/>
      <c r="V95" s="923"/>
      <c r="W95" s="923"/>
      <c r="X95" s="923"/>
      <c r="Y95" s="1071"/>
      <c r="Z95" s="923"/>
      <c r="AA95" s="923"/>
      <c r="AB95" s="923"/>
      <c r="AC95" s="923"/>
      <c r="AD95" s="923"/>
      <c r="AE95" s="923"/>
      <c r="AF95" s="923"/>
      <c r="AG95" s="923"/>
      <c r="AH95" s="923"/>
      <c r="AI95" s="923"/>
      <c r="AJ95" s="923"/>
      <c r="AK95" s="923"/>
      <c r="AL95" s="923"/>
      <c r="AM95" s="923"/>
      <c r="AN95" s="923"/>
      <c r="AO95" s="923"/>
      <c r="AP95" s="923"/>
      <c r="AQ95" s="923"/>
      <c r="AR95" s="923"/>
      <c r="AS95" s="923"/>
      <c r="AT95" s="923"/>
      <c r="AU95" s="923"/>
      <c r="AV95" s="924"/>
      <c r="AW95" s="923"/>
      <c r="AX95" s="923"/>
      <c r="AY95" s="923"/>
      <c r="AZ95" s="923"/>
      <c r="BA95" s="923"/>
      <c r="BB95" s="923"/>
      <c r="BC95" s="923"/>
      <c r="BD95" s="923"/>
      <c r="BE95" s="923"/>
      <c r="BF95" s="923"/>
      <c r="BG95" s="923"/>
      <c r="BH95" s="923"/>
      <c r="BI95" s="923"/>
      <c r="BJ95" s="923"/>
      <c r="BK95" s="923"/>
      <c r="BL95" s="923"/>
      <c r="BM95" s="923"/>
      <c r="BN95" s="923"/>
      <c r="BO95" s="923"/>
      <c r="BP95" s="923"/>
      <c r="BQ95" s="923"/>
      <c r="BR95" s="923"/>
      <c r="BS95" s="923"/>
      <c r="BT95" s="923"/>
      <c r="BU95" s="923"/>
      <c r="BV95" s="923"/>
      <c r="BW95" s="923"/>
      <c r="BX95" s="923"/>
      <c r="BY95" s="923"/>
      <c r="BZ95" s="923"/>
      <c r="CA95" s="923"/>
      <c r="CB95" s="923"/>
      <c r="CC95" s="923"/>
      <c r="CD95" s="923"/>
      <c r="CE95" s="923"/>
      <c r="CF95" s="923"/>
      <c r="CG95" s="923"/>
      <c r="CH95" s="923"/>
      <c r="CI95" s="923"/>
      <c r="CJ95" s="923"/>
      <c r="CK95" s="923"/>
      <c r="CL95" s="923"/>
      <c r="CM95" s="923"/>
      <c r="CN95" s="923"/>
      <c r="CO95" s="923"/>
      <c r="CP95" s="923"/>
      <c r="CQ95" s="923"/>
      <c r="CR95" s="923"/>
      <c r="CS95" s="923"/>
      <c r="CT95" s="923"/>
      <c r="CU95" s="923"/>
      <c r="CV95" s="923"/>
      <c r="CW95" s="923"/>
      <c r="CX95" s="923"/>
      <c r="CY95" s="923"/>
      <c r="CZ95" s="923"/>
      <c r="DA95" s="923"/>
      <c r="DB95" s="923"/>
      <c r="DC95" s="923"/>
      <c r="DD95" s="923"/>
      <c r="DE95" s="923"/>
      <c r="DF95" s="923"/>
      <c r="DG95" s="923"/>
      <c r="DH95" s="923"/>
      <c r="DI95" s="923"/>
      <c r="DJ95" s="923"/>
      <c r="DK95" s="923"/>
      <c r="DL95" s="923"/>
      <c r="DM95" s="923"/>
      <c r="DN95" s="923"/>
      <c r="DO95" s="923"/>
      <c r="DP95" s="923"/>
      <c r="DQ95" s="923"/>
      <c r="DR95" s="923"/>
      <c r="DS95" s="923"/>
      <c r="DT95" s="923"/>
      <c r="DU95" s="923"/>
      <c r="DV95" s="923"/>
      <c r="DW95" s="923"/>
      <c r="DX95" s="923"/>
      <c r="DY95" s="923"/>
      <c r="DZ95" s="923"/>
      <c r="EA95" s="923"/>
      <c r="EB95" s="923"/>
      <c r="EC95" s="923"/>
      <c r="ED95" s="923"/>
      <c r="EE95" s="923"/>
      <c r="EF95" s="923"/>
      <c r="EG95" s="923"/>
      <c r="EH95" s="923"/>
      <c r="EI95" s="923"/>
      <c r="EJ95" s="923"/>
      <c r="EK95" s="923"/>
      <c r="EL95" s="923"/>
      <c r="EM95" s="923"/>
      <c r="ES95" s="970" t="s">
        <v>4257</v>
      </c>
      <c r="ET95" s="971">
        <v>490</v>
      </c>
      <c r="EU95" s="980" t="s">
        <v>4812</v>
      </c>
      <c r="EV95" s="973">
        <v>2</v>
      </c>
      <c r="EW95" s="972" t="s">
        <v>1423</v>
      </c>
      <c r="EX95" s="973">
        <v>3</v>
      </c>
      <c r="EY95" s="980" t="s">
        <v>4727</v>
      </c>
      <c r="EZ95" s="973">
        <v>2</v>
      </c>
      <c r="FA95" s="980" t="s">
        <v>4720</v>
      </c>
      <c r="FB95" s="973">
        <v>2</v>
      </c>
      <c r="FC95" s="980" t="s">
        <v>2257</v>
      </c>
      <c r="FD95" s="973">
        <v>2</v>
      </c>
      <c r="FE95" s="980" t="s">
        <v>2538</v>
      </c>
    </row>
    <row r="96" spans="1:161" ht="12" customHeight="1" thickBot="1">
      <c r="A96" s="922"/>
      <c r="B96" s="951">
        <v>95</v>
      </c>
      <c r="C96" s="1009" t="s">
        <v>4884</v>
      </c>
      <c r="D96" s="924"/>
      <c r="E96" s="924"/>
      <c r="F96" s="924"/>
      <c r="G96" s="924"/>
      <c r="H96" s="1004" t="str">
        <f ca="1">LOOKUP(gpMetier2,gpMetiers,gpTal3)</f>
        <v>TC</v>
      </c>
      <c r="J96" s="925"/>
      <c r="K96" s="923" t="e">
        <f ca="1">C96&amp;" = "&amp;H96&amp;" "&amp;#REF!&amp;" "&amp;J96</f>
        <v>#REF!</v>
      </c>
      <c r="O96" s="923"/>
      <c r="P96" s="923"/>
      <c r="Q96" s="923"/>
      <c r="R96" s="923"/>
      <c r="S96" s="923"/>
      <c r="T96" s="923"/>
      <c r="U96" s="925"/>
      <c r="V96" s="923"/>
      <c r="W96" s="923"/>
      <c r="X96" s="923"/>
      <c r="Y96" s="1071"/>
      <c r="Z96" s="923"/>
      <c r="AA96" s="923"/>
      <c r="AB96" s="923"/>
      <c r="AC96" s="923"/>
      <c r="AD96" s="923"/>
      <c r="AE96" s="923"/>
      <c r="AF96" s="923"/>
      <c r="AG96" s="923"/>
      <c r="AH96" s="923"/>
      <c r="AI96" s="923"/>
      <c r="AJ96" s="923"/>
      <c r="AK96" s="923"/>
      <c r="AL96" s="923"/>
      <c r="AM96" s="923"/>
      <c r="AN96" s="923"/>
      <c r="AO96" s="923"/>
      <c r="AP96" s="923"/>
      <c r="AQ96" s="923"/>
      <c r="AR96" s="923"/>
      <c r="AS96" s="923"/>
      <c r="AT96" s="923"/>
      <c r="AU96" s="923"/>
      <c r="AV96" s="924"/>
      <c r="AW96" s="923"/>
      <c r="AX96" s="923"/>
      <c r="AY96" s="923"/>
      <c r="AZ96" s="923"/>
      <c r="BA96" s="923"/>
      <c r="BB96" s="923"/>
      <c r="BC96" s="923"/>
      <c r="BD96" s="923"/>
      <c r="BE96" s="923"/>
      <c r="BF96" s="923"/>
      <c r="BG96" s="923"/>
      <c r="BH96" s="923"/>
      <c r="BI96" s="923"/>
      <c r="BJ96" s="923"/>
      <c r="BK96" s="923"/>
      <c r="BL96" s="923"/>
      <c r="BM96" s="923"/>
      <c r="BN96" s="923"/>
      <c r="BO96" s="923"/>
      <c r="BP96" s="923"/>
      <c r="BQ96" s="923"/>
      <c r="BR96" s="923"/>
      <c r="BS96" s="923"/>
      <c r="BT96" s="923"/>
      <c r="BU96" s="923"/>
      <c r="BV96" s="923"/>
      <c r="BW96" s="923"/>
      <c r="BX96" s="923"/>
      <c r="BY96" s="923"/>
      <c r="BZ96" s="923"/>
      <c r="CA96" s="923"/>
      <c r="CB96" s="923"/>
      <c r="CC96" s="923"/>
      <c r="CD96" s="923"/>
      <c r="CE96" s="923"/>
      <c r="CF96" s="923"/>
      <c r="CG96" s="923"/>
      <c r="CH96" s="923"/>
      <c r="CI96" s="923"/>
      <c r="CJ96" s="923"/>
      <c r="CK96" s="923"/>
      <c r="CL96" s="923"/>
      <c r="CM96" s="923"/>
      <c r="CN96" s="923"/>
      <c r="CO96" s="923"/>
      <c r="CP96" s="923"/>
      <c r="CQ96" s="923"/>
      <c r="CR96" s="923"/>
      <c r="CS96" s="923"/>
      <c r="CT96" s="923"/>
      <c r="CU96" s="923"/>
      <c r="CV96" s="923"/>
      <c r="CW96" s="923"/>
      <c r="CX96" s="923"/>
      <c r="CY96" s="923"/>
      <c r="CZ96" s="923"/>
      <c r="DA96" s="923"/>
      <c r="DB96" s="923"/>
      <c r="DC96" s="923"/>
      <c r="DD96" s="923"/>
      <c r="DE96" s="923"/>
      <c r="DF96" s="923"/>
      <c r="DG96" s="923"/>
      <c r="DH96" s="923"/>
      <c r="DI96" s="923"/>
      <c r="DJ96" s="923"/>
      <c r="DK96" s="923"/>
      <c r="DL96" s="923"/>
      <c r="DM96" s="923"/>
      <c r="DN96" s="923"/>
      <c r="DO96" s="923"/>
      <c r="DP96" s="923"/>
      <c r="DQ96" s="923"/>
      <c r="DR96" s="923"/>
      <c r="DS96" s="923"/>
      <c r="DT96" s="923"/>
      <c r="DU96" s="923"/>
      <c r="DV96" s="923"/>
      <c r="DW96" s="923"/>
      <c r="DX96" s="923"/>
      <c r="DY96" s="923"/>
      <c r="DZ96" s="923"/>
      <c r="EA96" s="923"/>
      <c r="EB96" s="923"/>
      <c r="EC96" s="923"/>
      <c r="ED96" s="923"/>
      <c r="EE96" s="923"/>
      <c r="EF96" s="923"/>
      <c r="EG96" s="923"/>
      <c r="EH96" s="923"/>
      <c r="EI96" s="923"/>
      <c r="EJ96" s="923"/>
      <c r="EK96" s="923"/>
      <c r="EL96" s="923"/>
      <c r="EM96" s="923"/>
      <c r="ES96" s="970" t="s">
        <v>4295</v>
      </c>
      <c r="ET96" s="971">
        <v>250</v>
      </c>
      <c r="EU96" s="972" t="s">
        <v>4724</v>
      </c>
      <c r="EV96" s="973">
        <v>3</v>
      </c>
      <c r="EW96" s="972" t="s">
        <v>87</v>
      </c>
      <c r="EX96" s="973">
        <v>2</v>
      </c>
      <c r="EY96" s="972" t="s">
        <v>4794</v>
      </c>
      <c r="EZ96" s="973">
        <v>2</v>
      </c>
      <c r="FA96" s="972" t="s">
        <v>4708</v>
      </c>
      <c r="FB96" s="973">
        <v>2</v>
      </c>
      <c r="FC96" s="972" t="s">
        <v>1357</v>
      </c>
      <c r="FD96" s="973">
        <v>2</v>
      </c>
      <c r="FE96" s="972" t="s">
        <v>4728</v>
      </c>
    </row>
    <row r="97" spans="1:161" ht="12" customHeight="1" thickBot="1">
      <c r="A97" s="922"/>
      <c r="B97" s="951">
        <v>96</v>
      </c>
      <c r="C97" s="1009" t="s">
        <v>4886</v>
      </c>
      <c r="D97" s="924"/>
      <c r="E97" s="924"/>
      <c r="F97" s="924"/>
      <c r="G97" s="924"/>
      <c r="H97" s="1004" t="str">
        <f ca="1">LOOKUP(gpMetier2,gpMetiers,gpTal4)</f>
        <v>cuisine</v>
      </c>
      <c r="J97" s="925"/>
      <c r="K97" s="923" t="str">
        <f ca="1">C97&amp;" = "&amp;H97&amp;" "&amp;C121&amp;" "&amp;J97</f>
        <v xml:space="preserve">2 TG à N2 = cuisine rai </v>
      </c>
      <c r="O97" s="923"/>
      <c r="P97" s="923"/>
      <c r="Q97" s="923"/>
      <c r="R97" s="923"/>
      <c r="S97" s="923"/>
      <c r="T97" s="923"/>
      <c r="U97" s="925"/>
      <c r="V97" s="923"/>
      <c r="W97" s="923"/>
      <c r="X97" s="923"/>
      <c r="Y97" s="1071"/>
      <c r="Z97" s="923"/>
      <c r="AA97" s="923"/>
      <c r="AB97" s="923"/>
      <c r="AC97" s="923"/>
      <c r="AD97" s="923"/>
      <c r="AE97" s="923"/>
      <c r="AF97" s="923"/>
      <c r="AG97" s="923"/>
      <c r="AH97" s="923"/>
      <c r="AI97" s="923"/>
      <c r="AJ97" s="923"/>
      <c r="AK97" s="923"/>
      <c r="AL97" s="923"/>
      <c r="AM97" s="923"/>
      <c r="AN97" s="923"/>
      <c r="AO97" s="923"/>
      <c r="AP97" s="923"/>
      <c r="AQ97" s="923"/>
      <c r="AR97" s="923"/>
      <c r="AS97" s="923"/>
      <c r="AT97" s="923"/>
      <c r="AU97" s="923"/>
      <c r="AV97" s="924"/>
      <c r="AW97" s="923"/>
      <c r="AX97" s="923"/>
      <c r="AY97" s="923"/>
      <c r="AZ97" s="923"/>
      <c r="BA97" s="923"/>
      <c r="BB97" s="923"/>
      <c r="BC97" s="923"/>
      <c r="BD97" s="923"/>
      <c r="BE97" s="923"/>
      <c r="BF97" s="923"/>
      <c r="BG97" s="923"/>
      <c r="BH97" s="923"/>
      <c r="BI97" s="923"/>
      <c r="BJ97" s="923"/>
      <c r="BK97" s="923"/>
      <c r="BL97" s="923"/>
      <c r="BM97" s="923"/>
      <c r="BN97" s="923"/>
      <c r="BO97" s="923"/>
      <c r="BP97" s="923"/>
      <c r="BQ97" s="923"/>
      <c r="BR97" s="923"/>
      <c r="BS97" s="923"/>
      <c r="BT97" s="923"/>
      <c r="BU97" s="923"/>
      <c r="BV97" s="923"/>
      <c r="BW97" s="923"/>
      <c r="BX97" s="923"/>
      <c r="BY97" s="923"/>
      <c r="BZ97" s="923"/>
      <c r="CA97" s="923"/>
      <c r="CB97" s="923"/>
      <c r="CC97" s="923"/>
      <c r="CD97" s="923"/>
      <c r="CE97" s="923"/>
      <c r="CF97" s="923"/>
      <c r="CG97" s="923"/>
      <c r="CH97" s="923"/>
      <c r="CI97" s="923"/>
      <c r="CJ97" s="923"/>
      <c r="CK97" s="923"/>
      <c r="CL97" s="923"/>
      <c r="CM97" s="923"/>
      <c r="CN97" s="923"/>
      <c r="CO97" s="923"/>
      <c r="CP97" s="923"/>
      <c r="CQ97" s="923"/>
      <c r="CR97" s="923"/>
      <c r="CS97" s="923"/>
      <c r="CT97" s="923"/>
      <c r="CU97" s="923"/>
      <c r="CV97" s="923"/>
      <c r="CW97" s="923"/>
      <c r="CX97" s="923"/>
      <c r="CY97" s="923"/>
      <c r="CZ97" s="923"/>
      <c r="DA97" s="923"/>
      <c r="DB97" s="923"/>
      <c r="DC97" s="923"/>
      <c r="DD97" s="923"/>
      <c r="DE97" s="923"/>
      <c r="DF97" s="923"/>
      <c r="DG97" s="923"/>
      <c r="DH97" s="923"/>
      <c r="DI97" s="923"/>
      <c r="DJ97" s="923"/>
      <c r="DK97" s="923"/>
      <c r="DL97" s="923"/>
      <c r="DM97" s="923"/>
      <c r="DN97" s="923"/>
      <c r="DO97" s="923"/>
      <c r="DP97" s="923"/>
      <c r="DQ97" s="923"/>
      <c r="DR97" s="923"/>
      <c r="DS97" s="923"/>
      <c r="DT97" s="923"/>
      <c r="DU97" s="923"/>
      <c r="DV97" s="923"/>
      <c r="DW97" s="923"/>
      <c r="DX97" s="923"/>
      <c r="DY97" s="923"/>
      <c r="DZ97" s="923"/>
      <c r="EA97" s="923"/>
      <c r="EB97" s="923"/>
      <c r="EC97" s="923"/>
      <c r="ED97" s="923"/>
      <c r="EE97" s="923"/>
      <c r="EF97" s="923"/>
      <c r="EG97" s="923"/>
      <c r="EH97" s="923"/>
      <c r="EI97" s="923"/>
      <c r="EJ97" s="923"/>
      <c r="EK97" s="923"/>
      <c r="EL97" s="923"/>
      <c r="EM97" s="923"/>
      <c r="ES97" s="970" t="s">
        <v>1177</v>
      </c>
      <c r="ET97" s="971">
        <v>140</v>
      </c>
      <c r="EU97" s="972" t="s">
        <v>895</v>
      </c>
      <c r="EV97" s="973">
        <v>3</v>
      </c>
      <c r="EW97" s="972" t="s">
        <v>2016</v>
      </c>
      <c r="EX97" s="973">
        <v>3</v>
      </c>
      <c r="EY97" s="972" t="s">
        <v>1022</v>
      </c>
      <c r="EZ97" s="973">
        <v>2</v>
      </c>
      <c r="FA97" s="972" t="s">
        <v>87</v>
      </c>
      <c r="FB97" s="973">
        <v>1</v>
      </c>
      <c r="FC97" s="972" t="s">
        <v>4752</v>
      </c>
      <c r="FD97" s="973">
        <v>2</v>
      </c>
      <c r="FE97" s="972"/>
    </row>
    <row r="98" spans="1:161" ht="12" customHeight="1" thickBot="1">
      <c r="A98" s="922"/>
      <c r="B98" s="951">
        <v>97</v>
      </c>
      <c r="C98" s="1009" t="s">
        <v>4885</v>
      </c>
      <c r="D98" s="924"/>
      <c r="E98" s="924"/>
      <c r="F98" s="924"/>
      <c r="G98" s="924"/>
      <c r="H98" s="1004" t="str">
        <f ca="1">LOOKUP(gpMetier2,gpMetiers,gpTal5)</f>
        <v>sexe</v>
      </c>
      <c r="J98" s="925"/>
      <c r="K98" s="923"/>
      <c r="O98" s="923"/>
      <c r="P98" s="923"/>
      <c r="Q98" s="923"/>
      <c r="R98" s="923"/>
      <c r="S98" s="923"/>
      <c r="T98" s="923"/>
      <c r="U98" s="925"/>
      <c r="V98" s="923"/>
      <c r="W98" s="923"/>
      <c r="X98" s="923"/>
      <c r="Y98" s="1071"/>
      <c r="Z98" s="923"/>
      <c r="AA98" s="923"/>
      <c r="AB98" s="923"/>
      <c r="AC98" s="923"/>
      <c r="AD98" s="923"/>
      <c r="AE98" s="923"/>
      <c r="AF98" s="923"/>
      <c r="AG98" s="923"/>
      <c r="AH98" s="923"/>
      <c r="AI98" s="923"/>
      <c r="AJ98" s="923"/>
      <c r="AK98" s="923"/>
      <c r="AL98" s="923"/>
      <c r="AM98" s="923"/>
      <c r="AN98" s="923"/>
      <c r="AO98" s="923"/>
      <c r="AP98" s="923"/>
      <c r="AQ98" s="923"/>
      <c r="AR98" s="923"/>
      <c r="AS98" s="923"/>
      <c r="AT98" s="923"/>
      <c r="AU98" s="923"/>
      <c r="AV98" s="924"/>
      <c r="AW98" s="923"/>
      <c r="AX98" s="923"/>
      <c r="AY98" s="923"/>
      <c r="AZ98" s="923"/>
      <c r="BA98" s="923"/>
      <c r="BB98" s="923"/>
      <c r="BC98" s="923"/>
      <c r="BD98" s="923"/>
      <c r="BE98" s="923"/>
      <c r="BF98" s="923"/>
      <c r="BG98" s="923"/>
      <c r="BH98" s="923"/>
      <c r="BI98" s="923"/>
      <c r="BJ98" s="923"/>
      <c r="BK98" s="923"/>
      <c r="BL98" s="923"/>
      <c r="BM98" s="923"/>
      <c r="BN98" s="923"/>
      <c r="BO98" s="923"/>
      <c r="BP98" s="923"/>
      <c r="BQ98" s="923"/>
      <c r="BR98" s="923"/>
      <c r="BS98" s="923"/>
      <c r="BT98" s="923"/>
      <c r="BU98" s="923"/>
      <c r="BV98" s="923"/>
      <c r="BW98" s="923"/>
      <c r="BX98" s="923"/>
      <c r="BY98" s="923"/>
      <c r="BZ98" s="923"/>
      <c r="CA98" s="923"/>
      <c r="CB98" s="923"/>
      <c r="CC98" s="923"/>
      <c r="CD98" s="923"/>
      <c r="CE98" s="923"/>
      <c r="CF98" s="923"/>
      <c r="CG98" s="923"/>
      <c r="CH98" s="923"/>
      <c r="CI98" s="923"/>
      <c r="CJ98" s="923"/>
      <c r="CK98" s="923"/>
      <c r="CL98" s="923"/>
      <c r="CM98" s="923"/>
      <c r="CN98" s="923"/>
      <c r="CO98" s="923"/>
      <c r="CP98" s="923"/>
      <c r="CQ98" s="923"/>
      <c r="CR98" s="923"/>
      <c r="CS98" s="923"/>
      <c r="CT98" s="923"/>
      <c r="CU98" s="923"/>
      <c r="CV98" s="923"/>
      <c r="CW98" s="923"/>
      <c r="CX98" s="923"/>
      <c r="CY98" s="923"/>
      <c r="CZ98" s="923"/>
      <c r="DA98" s="923"/>
      <c r="DB98" s="923"/>
      <c r="DC98" s="923"/>
      <c r="DD98" s="923"/>
      <c r="DE98" s="923"/>
      <c r="DF98" s="923"/>
      <c r="DG98" s="923"/>
      <c r="DH98" s="923"/>
      <c r="DI98" s="923"/>
      <c r="DJ98" s="923"/>
      <c r="DK98" s="923"/>
      <c r="DL98" s="923"/>
      <c r="DM98" s="923"/>
      <c r="DN98" s="923"/>
      <c r="DO98" s="923"/>
      <c r="DP98" s="923"/>
      <c r="DQ98" s="923"/>
      <c r="DR98" s="923"/>
      <c r="DS98" s="923"/>
      <c r="DT98" s="923"/>
      <c r="DU98" s="923"/>
      <c r="DV98" s="923"/>
      <c r="DW98" s="923"/>
      <c r="DX98" s="923"/>
      <c r="DY98" s="923"/>
      <c r="DZ98" s="923"/>
      <c r="EA98" s="923"/>
      <c r="EB98" s="923"/>
      <c r="EC98" s="923"/>
      <c r="ED98" s="923"/>
      <c r="EE98" s="923"/>
      <c r="EF98" s="923"/>
      <c r="EG98" s="923"/>
      <c r="EH98" s="923"/>
      <c r="EI98" s="923"/>
      <c r="EJ98" s="923"/>
      <c r="EK98" s="923"/>
      <c r="EL98" s="923"/>
      <c r="EM98" s="923"/>
      <c r="ES98" s="970" t="s">
        <v>4813</v>
      </c>
      <c r="ET98" s="971">
        <v>200</v>
      </c>
      <c r="EU98" s="972" t="s">
        <v>114</v>
      </c>
      <c r="EV98" s="973">
        <v>1</v>
      </c>
      <c r="EW98" s="972"/>
      <c r="EX98" s="973">
        <v>0</v>
      </c>
      <c r="EY98" s="972" t="s">
        <v>4714</v>
      </c>
      <c r="EZ98" s="973">
        <v>1</v>
      </c>
      <c r="FA98" s="980" t="s">
        <v>4731</v>
      </c>
      <c r="FB98" s="973">
        <v>1</v>
      </c>
      <c r="FC98" s="972" t="s">
        <v>4713</v>
      </c>
      <c r="FD98" s="973">
        <v>1</v>
      </c>
      <c r="FE98" s="972" t="s">
        <v>4758</v>
      </c>
    </row>
    <row r="99" spans="1:161" ht="12" customHeight="1" thickBot="1">
      <c r="A99" s="922"/>
      <c r="B99" s="951">
        <v>98</v>
      </c>
      <c r="C99" s="1005"/>
      <c r="D99" s="1006"/>
      <c r="E99" s="1006"/>
      <c r="F99" s="1006"/>
      <c r="G99" s="1006"/>
      <c r="H99" s="1007" t="str">
        <f ca="1">LOOKUP(gpMetier2,gpMetiers,gpTal6)</f>
        <v>transport</v>
      </c>
      <c r="J99" s="925"/>
      <c r="K99" s="923"/>
      <c r="O99" s="923"/>
      <c r="P99" s="923"/>
      <c r="Q99" s="923"/>
      <c r="R99" s="923"/>
      <c r="S99" s="923"/>
      <c r="T99" s="923"/>
      <c r="U99" s="925"/>
      <c r="V99" s="923"/>
      <c r="W99" s="923"/>
      <c r="X99" s="923"/>
      <c r="Y99" s="1071"/>
      <c r="Z99" s="923"/>
      <c r="AA99" s="923"/>
      <c r="AB99" s="923"/>
      <c r="AC99" s="923"/>
      <c r="AD99" s="923"/>
      <c r="AE99" s="923"/>
      <c r="AF99" s="923"/>
      <c r="AG99" s="923"/>
      <c r="AH99" s="923"/>
      <c r="AI99" s="923"/>
      <c r="AJ99" s="923"/>
      <c r="AK99" s="923"/>
      <c r="AL99" s="923"/>
      <c r="AM99" s="923"/>
      <c r="AN99" s="923"/>
      <c r="AO99" s="923"/>
      <c r="AP99" s="923"/>
      <c r="AQ99" s="923"/>
      <c r="AR99" s="923"/>
      <c r="AS99" s="923"/>
      <c r="AT99" s="923"/>
      <c r="AU99" s="923"/>
      <c r="AV99" s="924"/>
      <c r="AW99" s="923"/>
      <c r="AX99" s="923"/>
      <c r="AY99" s="923"/>
      <c r="AZ99" s="923"/>
      <c r="BA99" s="923"/>
      <c r="BB99" s="923"/>
      <c r="BC99" s="923"/>
      <c r="BD99" s="923"/>
      <c r="BE99" s="923"/>
      <c r="BF99" s="923"/>
      <c r="BG99" s="923"/>
      <c r="BH99" s="923"/>
      <c r="BI99" s="923"/>
      <c r="BJ99" s="923"/>
      <c r="BK99" s="923"/>
      <c r="BL99" s="923"/>
      <c r="BM99" s="923"/>
      <c r="BN99" s="923"/>
      <c r="BO99" s="923"/>
      <c r="BP99" s="923"/>
      <c r="BQ99" s="923"/>
      <c r="BR99" s="923"/>
      <c r="BS99" s="923"/>
      <c r="BT99" s="923"/>
      <c r="BU99" s="923"/>
      <c r="BV99" s="923"/>
      <c r="BW99" s="923"/>
      <c r="BX99" s="923"/>
      <c r="BY99" s="923"/>
      <c r="BZ99" s="923"/>
      <c r="CA99" s="923"/>
      <c r="CB99" s="923"/>
      <c r="CC99" s="923"/>
      <c r="CD99" s="923"/>
      <c r="CE99" s="923"/>
      <c r="CF99" s="923"/>
      <c r="CG99" s="923"/>
      <c r="CH99" s="923"/>
      <c r="CI99" s="923"/>
      <c r="CJ99" s="923"/>
      <c r="CK99" s="923"/>
      <c r="CL99" s="923"/>
      <c r="CM99" s="923"/>
      <c r="CN99" s="923"/>
      <c r="CO99" s="923"/>
      <c r="CP99" s="923"/>
      <c r="CQ99" s="923"/>
      <c r="CR99" s="923"/>
      <c r="CS99" s="923"/>
      <c r="CT99" s="923"/>
      <c r="CU99" s="923"/>
      <c r="CV99" s="923"/>
      <c r="CW99" s="923"/>
      <c r="CX99" s="923"/>
      <c r="CY99" s="923"/>
      <c r="CZ99" s="923"/>
      <c r="DA99" s="923"/>
      <c r="DB99" s="923"/>
      <c r="DC99" s="923"/>
      <c r="DD99" s="923"/>
      <c r="DE99" s="923"/>
      <c r="DF99" s="923"/>
      <c r="DG99" s="923"/>
      <c r="DH99" s="923"/>
      <c r="DI99" s="923"/>
      <c r="DJ99" s="923"/>
      <c r="DK99" s="923"/>
      <c r="DL99" s="923"/>
      <c r="DM99" s="923"/>
      <c r="DN99" s="923"/>
      <c r="DO99" s="923"/>
      <c r="DP99" s="923"/>
      <c r="DQ99" s="923"/>
      <c r="DR99" s="923"/>
      <c r="DS99" s="923"/>
      <c r="DT99" s="923"/>
      <c r="DU99" s="923"/>
      <c r="DV99" s="923"/>
      <c r="DW99" s="923"/>
      <c r="DX99" s="923"/>
      <c r="DY99" s="923"/>
      <c r="DZ99" s="923"/>
      <c r="EA99" s="923"/>
      <c r="EB99" s="923"/>
      <c r="EC99" s="923"/>
      <c r="ED99" s="923"/>
      <c r="EE99" s="923"/>
      <c r="EF99" s="923"/>
      <c r="EG99" s="923"/>
      <c r="EH99" s="923"/>
      <c r="EI99" s="923"/>
      <c r="EJ99" s="923"/>
      <c r="EK99" s="923"/>
      <c r="EL99" s="923"/>
      <c r="EM99" s="923"/>
      <c r="ES99" s="970" t="s">
        <v>4814</v>
      </c>
      <c r="ET99" s="971">
        <v>360</v>
      </c>
      <c r="EU99" s="972" t="s">
        <v>87</v>
      </c>
      <c r="EV99" s="973">
        <v>3</v>
      </c>
      <c r="EW99" s="972" t="s">
        <v>1526</v>
      </c>
      <c r="EX99" s="973">
        <v>3</v>
      </c>
      <c r="EY99" s="972" t="s">
        <v>4708</v>
      </c>
      <c r="EZ99" s="973">
        <v>2</v>
      </c>
      <c r="FA99" s="972" t="s">
        <v>4694</v>
      </c>
      <c r="FB99" s="973">
        <v>1</v>
      </c>
      <c r="FC99" s="972" t="s">
        <v>4724</v>
      </c>
      <c r="FD99" s="973">
        <v>3</v>
      </c>
      <c r="FE99" s="972" t="s">
        <v>4693</v>
      </c>
    </row>
    <row r="100" spans="1:161" ht="12" customHeight="1" thickBot="1">
      <c r="A100" s="922"/>
      <c r="B100" s="951">
        <v>99</v>
      </c>
      <c r="C100" s="1011" t="str">
        <f ca="1">H87</f>
        <v>Tanneur </v>
      </c>
      <c r="D100" s="1002"/>
      <c r="E100" s="1002"/>
      <c r="F100" s="1002"/>
      <c r="G100" s="1002"/>
      <c r="H100" s="1003" t="str">
        <f ca="1">LOOKUP(gpMetier3,gpMetiers,gpTal1)</f>
        <v>cuir</v>
      </c>
      <c r="J100" s="925"/>
      <c r="K100" s="923"/>
      <c r="L100" s="1071" t="s">
        <v>5156</v>
      </c>
      <c r="O100" s="923"/>
      <c r="P100" s="923"/>
      <c r="Q100" s="923"/>
      <c r="R100" s="923"/>
      <c r="S100" s="923"/>
      <c r="T100" s="923"/>
      <c r="U100" s="925"/>
      <c r="V100" s="1446" t="s">
        <v>5215</v>
      </c>
      <c r="W100" s="1446"/>
      <c r="X100" s="923"/>
      <c r="Y100" s="1071"/>
      <c r="Z100" s="923" t="s">
        <v>5239</v>
      </c>
      <c r="AA100" s="923"/>
      <c r="AB100" s="923"/>
      <c r="AC100" s="923"/>
      <c r="AD100" s="923"/>
      <c r="AE100" s="923"/>
      <c r="AF100" s="923"/>
      <c r="AG100" s="923"/>
      <c r="AH100" s="923"/>
      <c r="AI100" s="923"/>
      <c r="AJ100" s="923"/>
      <c r="AK100" s="923"/>
      <c r="AL100" s="923"/>
      <c r="AM100" s="923"/>
      <c r="AN100" s="923"/>
      <c r="AO100" s="923"/>
      <c r="AP100" s="923"/>
      <c r="AQ100" s="923"/>
      <c r="AR100" s="923"/>
      <c r="AS100" s="923"/>
      <c r="AT100" s="923"/>
      <c r="AU100" s="923"/>
      <c r="AV100" s="924"/>
      <c r="AW100" s="923"/>
      <c r="AX100" s="923"/>
      <c r="AY100" s="923"/>
      <c r="AZ100" s="923"/>
      <c r="BA100" s="923"/>
      <c r="BB100" s="923"/>
      <c r="BC100" s="923"/>
      <c r="BD100" s="923"/>
      <c r="BF100" s="923"/>
      <c r="BG100" s="923"/>
      <c r="BH100" s="923"/>
      <c r="BI100" s="923"/>
      <c r="BJ100" s="923"/>
      <c r="BK100" s="923"/>
      <c r="BL100" s="923"/>
      <c r="BM100" s="923"/>
      <c r="BN100" s="923"/>
      <c r="BO100" s="923"/>
      <c r="BP100" s="923"/>
      <c r="BQ100" s="923"/>
      <c r="BR100" s="923"/>
      <c r="BS100" s="923"/>
      <c r="BT100" s="923"/>
      <c r="BU100" s="923"/>
      <c r="BV100" s="923"/>
      <c r="BW100" s="923"/>
      <c r="BX100" s="923"/>
      <c r="BY100" s="923"/>
      <c r="BZ100" s="923"/>
      <c r="CA100" s="923"/>
      <c r="CB100" s="923"/>
      <c r="CC100" s="923"/>
      <c r="CD100" s="923"/>
      <c r="CE100" s="923"/>
      <c r="CF100" s="923"/>
      <c r="CG100" s="923"/>
      <c r="CH100" s="923"/>
      <c r="CI100" s="923"/>
      <c r="CJ100" s="923"/>
      <c r="CK100" s="923"/>
      <c r="CL100" s="923"/>
      <c r="CM100" s="923"/>
      <c r="CN100" s="923"/>
      <c r="CO100" s="923"/>
      <c r="CP100" s="923"/>
      <c r="CQ100" s="923"/>
      <c r="CR100" s="923"/>
      <c r="CS100" s="923"/>
      <c r="CT100" s="923"/>
      <c r="CU100" s="923"/>
      <c r="CV100" s="923"/>
      <c r="CW100" s="923"/>
      <c r="CX100" s="923"/>
      <c r="CY100" s="923"/>
      <c r="CZ100" s="923"/>
      <c r="DA100" s="923"/>
      <c r="DB100" s="923"/>
      <c r="DC100" s="923"/>
      <c r="DD100" s="923"/>
      <c r="DE100" s="923"/>
      <c r="DF100" s="923"/>
      <c r="DG100" s="923"/>
      <c r="DH100" s="923"/>
      <c r="DI100" s="923"/>
      <c r="DJ100" s="923"/>
      <c r="DK100" s="923"/>
      <c r="DL100" s="923"/>
      <c r="DM100" s="923"/>
      <c r="DN100" s="923"/>
      <c r="DO100" s="923"/>
      <c r="DP100" s="923"/>
      <c r="DQ100" s="923"/>
      <c r="DR100" s="923"/>
      <c r="DS100" s="923"/>
      <c r="DT100" s="923"/>
      <c r="DU100" s="923"/>
      <c r="DV100" s="923"/>
      <c r="DW100" s="923"/>
      <c r="DX100" s="923"/>
      <c r="DY100" s="923"/>
      <c r="DZ100" s="923"/>
      <c r="EA100" s="923"/>
      <c r="EB100" s="923"/>
      <c r="EC100" s="923"/>
      <c r="ED100" s="923"/>
      <c r="EE100" s="923"/>
      <c r="EF100" s="923"/>
      <c r="EG100" s="923"/>
      <c r="EH100" s="923"/>
      <c r="EI100" s="923"/>
      <c r="EJ100" s="923"/>
      <c r="EK100" s="923"/>
      <c r="EL100" s="923"/>
      <c r="EM100" s="923"/>
      <c r="ES100" s="970" t="s">
        <v>1626</v>
      </c>
      <c r="ET100" s="971">
        <v>200</v>
      </c>
      <c r="EU100" s="972" t="s">
        <v>4698</v>
      </c>
      <c r="EV100" s="973">
        <v>1</v>
      </c>
      <c r="EW100" s="972" t="s">
        <v>887</v>
      </c>
      <c r="EX100" s="973">
        <v>3</v>
      </c>
      <c r="EY100" s="972" t="s">
        <v>4736</v>
      </c>
      <c r="EZ100" s="973">
        <v>2</v>
      </c>
      <c r="FA100" s="972" t="s">
        <v>4815</v>
      </c>
      <c r="FB100" s="973">
        <v>2</v>
      </c>
      <c r="FC100" s="972" t="s">
        <v>4699</v>
      </c>
      <c r="FD100" s="973">
        <v>1</v>
      </c>
      <c r="FE100" s="972" t="s">
        <v>1434</v>
      </c>
    </row>
    <row r="101" spans="1:161" ht="12" customHeight="1" thickBot="1">
      <c r="A101" s="922"/>
      <c r="B101" s="982">
        <v>100</v>
      </c>
      <c r="C101" s="1009" t="s">
        <v>4876</v>
      </c>
      <c r="D101" s="924"/>
      <c r="E101" s="924"/>
      <c r="F101" s="924"/>
      <c r="G101" s="924"/>
      <c r="H101" s="1004" t="str">
        <f ca="1">LOOKUP(gpMetier2,gpMetiers,gpTal2)</f>
        <v>gestion</v>
      </c>
      <c r="J101" s="925"/>
      <c r="K101" s="923"/>
      <c r="L101" s="1440" t="str">
        <f>"Nom complet ________________"</f>
        <v>Nom complet ________________</v>
      </c>
      <c r="M101" s="1441"/>
      <c r="N101" s="923" t="str">
        <f ca="1">"Taille: "&amp;H78&amp;" cm"</f>
        <v>Taille: 180 cm</v>
      </c>
      <c r="O101" s="923"/>
      <c r="P101" s="923" t="str">
        <f ca="1">"Poids: "&amp;H79&amp;" kg"</f>
        <v>Poids: 71 kg</v>
      </c>
      <c r="Q101" s="668" t="str">
        <f ca="1">"Carrure "&amp;H80</f>
        <v>Carrure normale</v>
      </c>
      <c r="R101" s="923"/>
      <c r="S101" s="923"/>
      <c r="T101" s="923"/>
      <c r="U101" s="925"/>
      <c r="V101" s="1446">
        <f ca="1">RANDBETWEEN(1,10)-1</f>
        <v>5</v>
      </c>
      <c r="W101" s="1447">
        <f ca="1">RANDBETWEEN(1,10)-1</f>
        <v>1</v>
      </c>
      <c r="X101" s="923"/>
      <c r="Y101" s="1071" t="s">
        <v>2326</v>
      </c>
      <c r="Z101" s="923"/>
      <c r="AA101" s="923"/>
      <c r="AB101" s="923"/>
      <c r="AC101" s="923"/>
      <c r="AD101" s="923"/>
      <c r="AE101" s="923"/>
      <c r="AF101" s="923"/>
      <c r="AG101" s="923"/>
      <c r="AH101" s="923"/>
      <c r="AI101" s="923"/>
      <c r="AJ101" s="923"/>
      <c r="AK101" s="923"/>
      <c r="AL101" s="923"/>
      <c r="AM101" s="923"/>
      <c r="AN101" s="923"/>
      <c r="AO101" s="923"/>
      <c r="AP101" s="923"/>
      <c r="AQ101" s="923"/>
      <c r="AR101" s="923"/>
      <c r="AS101" s="923"/>
      <c r="AT101" s="923"/>
      <c r="AU101" s="923"/>
      <c r="AV101" s="924"/>
      <c r="AW101" s="923"/>
      <c r="AX101" s="923"/>
      <c r="AY101" s="923"/>
      <c r="AZ101" s="923"/>
      <c r="BA101" s="923"/>
      <c r="BB101" s="923"/>
      <c r="BC101" s="923"/>
      <c r="BD101" s="923"/>
      <c r="BF101" s="923"/>
      <c r="BG101" s="923"/>
      <c r="BH101" s="923"/>
      <c r="BI101" s="923"/>
      <c r="BJ101" s="923"/>
      <c r="BK101" s="923"/>
      <c r="BL101" s="923"/>
      <c r="BM101" s="923"/>
      <c r="BN101" s="923"/>
      <c r="BO101" s="923"/>
      <c r="BP101" s="923"/>
      <c r="BQ101" s="923"/>
      <c r="BR101" s="923"/>
      <c r="BS101" s="923"/>
      <c r="BT101" s="923"/>
      <c r="BU101" s="923"/>
      <c r="BV101" s="923"/>
      <c r="BW101" s="923"/>
      <c r="BX101" s="923"/>
      <c r="BY101" s="923"/>
      <c r="BZ101" s="923"/>
      <c r="CA101" s="923"/>
      <c r="CB101" s="923"/>
      <c r="CC101" s="923"/>
      <c r="CD101" s="923"/>
      <c r="CE101" s="923"/>
      <c r="CF101" s="923"/>
      <c r="CG101" s="923"/>
      <c r="CH101" s="923"/>
      <c r="CI101" s="923"/>
      <c r="CJ101" s="923"/>
      <c r="CK101" s="923"/>
      <c r="CL101" s="923"/>
      <c r="CM101" s="923"/>
      <c r="CN101" s="923"/>
      <c r="CO101" s="923"/>
      <c r="CP101" s="923"/>
      <c r="CQ101" s="923"/>
      <c r="CR101" s="923"/>
      <c r="CS101" s="923"/>
      <c r="CT101" s="923"/>
      <c r="CU101" s="923"/>
      <c r="CV101" s="923"/>
      <c r="CW101" s="923"/>
      <c r="CX101" s="923"/>
      <c r="CY101" s="923"/>
      <c r="CZ101" s="923"/>
      <c r="DA101" s="923"/>
      <c r="DB101" s="923"/>
      <c r="DC101" s="923"/>
      <c r="DD101" s="923"/>
      <c r="DE101" s="923"/>
      <c r="DF101" s="923"/>
      <c r="DG101" s="923"/>
      <c r="DH101" s="923"/>
      <c r="DI101" s="923"/>
      <c r="DJ101" s="923"/>
      <c r="DK101" s="923"/>
      <c r="DL101" s="923"/>
      <c r="DM101" s="923"/>
      <c r="DN101" s="923"/>
      <c r="DO101" s="923"/>
      <c r="DP101" s="923"/>
      <c r="DQ101" s="923"/>
      <c r="DR101" s="923"/>
      <c r="DS101" s="923"/>
      <c r="DT101" s="923"/>
      <c r="DU101" s="923"/>
      <c r="DV101" s="923"/>
      <c r="DW101" s="923"/>
      <c r="DX101" s="923"/>
      <c r="DY101" s="923"/>
      <c r="DZ101" s="923"/>
      <c r="EA101" s="923"/>
      <c r="EB101" s="923"/>
      <c r="EC101" s="923"/>
      <c r="ED101" s="923"/>
      <c r="EE101" s="923"/>
      <c r="EF101" s="923"/>
      <c r="EG101" s="923"/>
      <c r="EH101" s="923"/>
      <c r="EI101" s="923"/>
      <c r="EJ101" s="923"/>
      <c r="EK101" s="923"/>
      <c r="EL101" s="923"/>
      <c r="EM101" s="923"/>
      <c r="ES101" s="970" t="s">
        <v>4457</v>
      </c>
      <c r="ET101" s="971">
        <v>210</v>
      </c>
      <c r="EU101" s="972" t="s">
        <v>4699</v>
      </c>
      <c r="EV101" s="973">
        <v>3</v>
      </c>
      <c r="EW101" s="972" t="s">
        <v>4748</v>
      </c>
      <c r="EX101" s="973">
        <v>2</v>
      </c>
      <c r="EY101" s="972" t="s">
        <v>887</v>
      </c>
      <c r="EZ101" s="973">
        <v>2</v>
      </c>
      <c r="FA101" s="972" t="s">
        <v>4702</v>
      </c>
      <c r="FB101" s="973">
        <v>1</v>
      </c>
      <c r="FC101" s="972" t="s">
        <v>1434</v>
      </c>
      <c r="FD101" s="973">
        <v>2</v>
      </c>
      <c r="FE101" s="980" t="s">
        <v>1517</v>
      </c>
    </row>
    <row r="102" spans="1:161" ht="12" customHeight="1" thickBot="1">
      <c r="A102" s="922"/>
      <c r="B102" s="951">
        <v>101</v>
      </c>
      <c r="C102" s="1009" t="s">
        <v>4884</v>
      </c>
      <c r="D102" s="924"/>
      <c r="E102" s="924"/>
      <c r="F102" s="924"/>
      <c r="G102" s="924"/>
      <c r="H102" s="1004" t="str">
        <f ca="1">LOOKUP(gpMetier2,gpMetiers,gpTal3)</f>
        <v>TC</v>
      </c>
      <c r="J102" s="925"/>
      <c r="K102" s="923"/>
      <c r="L102" s="923" t="str">
        <f ca="1">"Cheveux "&amp;H9&amp;", "&amp;IF(D9=1,LOOKUP(D10,dStyle,gpStyle),"Chauve")&amp;" "&amp;H11</f>
        <v>Cheveux Noir -Ap, Plat -1 Très longs</v>
      </c>
      <c r="N102" s="923" t="str">
        <f ca="1">"Yeux "&amp;G14</f>
        <v>Yeux Noisette</v>
      </c>
      <c r="O102" s="923"/>
      <c r="P102" s="668" t="str">
        <f ca="1">"Pilosité visage: "&amp;H12&amp;", corps: "&amp;H13</f>
        <v>Pilosité visage: Grosse moustache, corps: Épaisse toison</v>
      </c>
      <c r="Q102" s="923"/>
      <c r="R102" s="923"/>
      <c r="S102" s="923"/>
      <c r="T102" s="923"/>
      <c r="U102" s="925"/>
      <c r="V102" s="1446">
        <f t="shared" ref="V102:W117" ca="1" si="14">RANDBETWEEN(1,10)-1</f>
        <v>3</v>
      </c>
      <c r="W102" s="1447">
        <f t="shared" ca="1" si="14"/>
        <v>2</v>
      </c>
      <c r="X102" s="923"/>
      <c r="Y102" s="1071" t="s">
        <v>7107</v>
      </c>
      <c r="AA102" s="1647"/>
      <c r="AB102" s="923"/>
      <c r="AC102" s="923"/>
      <c r="AD102" s="923"/>
      <c r="AE102" s="923"/>
      <c r="AF102" s="923"/>
      <c r="AG102" s="923"/>
      <c r="AH102" s="923"/>
      <c r="AI102" s="923"/>
      <c r="AJ102" s="923"/>
      <c r="AK102" s="923"/>
      <c r="AL102" s="923"/>
      <c r="AM102" s="923"/>
      <c r="AN102" s="923"/>
      <c r="AO102" s="923"/>
      <c r="AP102" s="923"/>
      <c r="AQ102" s="923"/>
      <c r="AR102" s="923"/>
      <c r="AS102" s="923"/>
      <c r="AT102" s="923"/>
      <c r="AU102" s="923"/>
      <c r="AV102" s="924"/>
      <c r="AW102" s="923"/>
      <c r="AX102" s="923"/>
      <c r="AY102" s="923"/>
      <c r="AZ102" s="923"/>
      <c r="BA102" s="923"/>
      <c r="BB102" s="923"/>
      <c r="BC102" s="923"/>
      <c r="BD102" s="923"/>
      <c r="BF102" s="923"/>
      <c r="BG102" s="923"/>
      <c r="BH102" s="923"/>
      <c r="BI102" s="923"/>
      <c r="BJ102" s="923"/>
      <c r="BK102" s="923"/>
      <c r="BL102" s="923"/>
      <c r="BM102" s="923"/>
      <c r="BN102" s="923"/>
      <c r="BO102" s="923"/>
      <c r="BP102" s="923"/>
      <c r="BQ102" s="923"/>
      <c r="BR102" s="923"/>
      <c r="BS102" s="923"/>
      <c r="BT102" s="923"/>
      <c r="BU102" s="923"/>
      <c r="BV102" s="923"/>
      <c r="BW102" s="923"/>
      <c r="BX102" s="923"/>
      <c r="BY102" s="923"/>
      <c r="BZ102" s="923"/>
      <c r="CA102" s="923"/>
      <c r="CB102" s="923"/>
      <c r="CC102" s="923"/>
      <c r="CD102" s="923"/>
      <c r="CE102" s="923"/>
      <c r="CF102" s="923"/>
      <c r="CG102" s="923"/>
      <c r="CH102" s="923"/>
      <c r="CI102" s="923"/>
      <c r="CJ102" s="923"/>
      <c r="CK102" s="923"/>
      <c r="CL102" s="923"/>
      <c r="CM102" s="923"/>
      <c r="CN102" s="923"/>
      <c r="CO102" s="923"/>
      <c r="CP102" s="923"/>
      <c r="CQ102" s="923"/>
      <c r="CR102" s="923"/>
      <c r="CS102" s="923"/>
      <c r="CT102" s="923"/>
      <c r="CU102" s="923"/>
      <c r="CV102" s="923"/>
      <c r="CW102" s="923"/>
      <c r="CX102" s="923"/>
      <c r="CY102" s="923"/>
      <c r="CZ102" s="923"/>
      <c r="DA102" s="923"/>
      <c r="DB102" s="923"/>
      <c r="DC102" s="923"/>
      <c r="DD102" s="923"/>
      <c r="DE102" s="923"/>
      <c r="DF102" s="923"/>
      <c r="DG102" s="923"/>
      <c r="DH102" s="923"/>
      <c r="DI102" s="923"/>
      <c r="DJ102" s="923"/>
      <c r="DK102" s="923"/>
      <c r="DL102" s="923"/>
      <c r="DM102" s="923"/>
      <c r="DN102" s="923"/>
      <c r="DO102" s="923"/>
      <c r="DP102" s="923"/>
      <c r="DQ102" s="923"/>
      <c r="DR102" s="923"/>
      <c r="DS102" s="923"/>
      <c r="DT102" s="923"/>
      <c r="DU102" s="923"/>
      <c r="DV102" s="923"/>
      <c r="DW102" s="923"/>
      <c r="DX102" s="923"/>
      <c r="DY102" s="923"/>
      <c r="DZ102" s="923"/>
      <c r="EA102" s="923"/>
      <c r="EB102" s="923"/>
      <c r="EC102" s="923"/>
      <c r="ED102" s="923"/>
      <c r="EE102" s="923"/>
      <c r="EF102" s="923"/>
      <c r="EG102" s="923"/>
      <c r="EH102" s="923"/>
      <c r="EI102" s="923"/>
      <c r="EJ102" s="923"/>
      <c r="EK102" s="923"/>
      <c r="EL102" s="923"/>
      <c r="EM102" s="923"/>
      <c r="ES102" s="970" t="s">
        <v>1180</v>
      </c>
      <c r="ET102" s="971">
        <v>220</v>
      </c>
      <c r="EU102" s="972" t="s">
        <v>4699</v>
      </c>
      <c r="EV102" s="973">
        <v>2</v>
      </c>
      <c r="EW102" s="972" t="s">
        <v>4748</v>
      </c>
      <c r="EX102" s="973">
        <v>2</v>
      </c>
      <c r="EY102" s="972" t="s">
        <v>4816</v>
      </c>
      <c r="EZ102" s="973">
        <v>2</v>
      </c>
      <c r="FA102" s="972" t="s">
        <v>4742</v>
      </c>
      <c r="FB102" s="973">
        <v>2</v>
      </c>
      <c r="FC102" s="972" t="s">
        <v>4789</v>
      </c>
      <c r="FD102" s="973">
        <v>2</v>
      </c>
      <c r="FE102" s="972"/>
    </row>
    <row r="103" spans="1:161" ht="12" customHeight="1" thickBot="1">
      <c r="A103" s="922"/>
      <c r="B103" s="982">
        <v>102</v>
      </c>
      <c r="C103" s="1009" t="s">
        <v>4886</v>
      </c>
      <c r="D103" s="924"/>
      <c r="E103" s="924"/>
      <c r="F103" s="924"/>
      <c r="G103" s="924"/>
      <c r="H103" s="1004" t="str">
        <f ca="1">LOOKUP(gpMetier2,gpMetiers,gpTal4)</f>
        <v>cuisine</v>
      </c>
      <c r="J103" s="925"/>
      <c r="K103" s="923"/>
      <c r="L103" s="923" t="str">
        <f ca="1">"Âge: "&amp;persoAge&amp;" ans"</f>
        <v>Âge: 21 ans</v>
      </c>
      <c r="M103" s="668" t="str">
        <f ca="1">"Naissance: "&amp;H3</f>
        <v>Naissance: Bâtard non reconnu : NS-4, BM–1% , Humour-1</v>
      </c>
      <c r="O103" s="923"/>
      <c r="R103" s="923"/>
      <c r="S103" s="923"/>
      <c r="T103" s="923"/>
      <c r="U103" s="925"/>
      <c r="V103" s="1446">
        <f t="shared" ca="1" si="14"/>
        <v>3</v>
      </c>
      <c r="W103" s="1447">
        <f t="shared" ca="1" si="14"/>
        <v>7</v>
      </c>
      <c r="X103" s="923"/>
      <c r="Y103" s="1071" t="s">
        <v>4580</v>
      </c>
      <c r="AB103" s="923"/>
      <c r="AC103" s="923"/>
      <c r="AD103" s="923"/>
      <c r="AE103" s="923"/>
      <c r="AF103" s="923"/>
      <c r="AG103" s="923"/>
      <c r="AH103" s="923"/>
      <c r="AI103" s="923"/>
      <c r="AJ103" s="923"/>
      <c r="AK103" s="923"/>
      <c r="AL103" s="923"/>
      <c r="AM103" s="923"/>
      <c r="AN103" s="923"/>
      <c r="AO103" s="923"/>
      <c r="AP103" s="923"/>
      <c r="AQ103" s="923"/>
      <c r="AR103" s="923"/>
      <c r="AS103" s="923"/>
      <c r="AT103" s="923"/>
      <c r="AU103" s="923"/>
      <c r="AV103" s="924"/>
      <c r="AW103" s="923"/>
      <c r="AX103" s="923"/>
      <c r="AY103" s="923"/>
      <c r="AZ103" s="923"/>
      <c r="BA103" s="923"/>
      <c r="BB103" s="923"/>
      <c r="BC103" s="923"/>
      <c r="BD103" s="923"/>
      <c r="BF103" s="923"/>
      <c r="BG103" s="923"/>
      <c r="BH103" s="923"/>
      <c r="BI103" s="923"/>
      <c r="BJ103" s="923"/>
      <c r="BK103" s="923"/>
      <c r="BL103" s="923"/>
      <c r="BM103" s="923"/>
      <c r="BN103" s="923"/>
      <c r="BO103" s="923"/>
      <c r="BP103" s="923"/>
      <c r="BQ103" s="923"/>
      <c r="BR103" s="923"/>
      <c r="BS103" s="923"/>
      <c r="BT103" s="923"/>
      <c r="BU103" s="923"/>
      <c r="BV103" s="923"/>
      <c r="BW103" s="923"/>
      <c r="BX103" s="923"/>
      <c r="BY103" s="923"/>
      <c r="BZ103" s="923"/>
      <c r="CA103" s="923"/>
      <c r="CB103" s="923"/>
      <c r="CC103" s="923"/>
      <c r="CD103" s="923"/>
      <c r="CE103" s="923"/>
      <c r="CF103" s="923"/>
      <c r="CG103" s="923"/>
      <c r="CH103" s="923"/>
      <c r="CI103" s="923"/>
      <c r="CJ103" s="923"/>
      <c r="CK103" s="923"/>
      <c r="CL103" s="923"/>
      <c r="CM103" s="923"/>
      <c r="CN103" s="923"/>
      <c r="CO103" s="923"/>
      <c r="CP103" s="923"/>
      <c r="CQ103" s="923"/>
      <c r="CR103" s="923"/>
      <c r="CS103" s="923"/>
      <c r="CT103" s="923"/>
      <c r="CU103" s="923"/>
      <c r="CV103" s="923"/>
      <c r="CW103" s="923"/>
      <c r="CX103" s="923"/>
      <c r="CY103" s="923"/>
      <c r="CZ103" s="923"/>
      <c r="DA103" s="923"/>
      <c r="DB103" s="923"/>
      <c r="DC103" s="923"/>
      <c r="DD103" s="923"/>
      <c r="DE103" s="923"/>
      <c r="DF103" s="923"/>
      <c r="DG103" s="923"/>
      <c r="DH103" s="923"/>
      <c r="DI103" s="923"/>
      <c r="DJ103" s="923"/>
      <c r="DK103" s="923"/>
      <c r="DL103" s="923"/>
      <c r="DM103" s="923"/>
      <c r="DN103" s="923"/>
      <c r="DO103" s="923"/>
      <c r="DP103" s="923"/>
      <c r="DQ103" s="923"/>
      <c r="DR103" s="923"/>
      <c r="DS103" s="923"/>
      <c r="DT103" s="923"/>
      <c r="DU103" s="923"/>
      <c r="DV103" s="923"/>
      <c r="DW103" s="923"/>
      <c r="DX103" s="923"/>
      <c r="DY103" s="923"/>
      <c r="DZ103" s="923"/>
      <c r="EA103" s="923"/>
      <c r="EB103" s="923"/>
      <c r="EC103" s="923"/>
      <c r="ED103" s="923"/>
      <c r="EE103" s="923"/>
      <c r="EF103" s="923"/>
      <c r="EG103" s="923"/>
      <c r="EH103" s="923"/>
      <c r="EI103" s="923"/>
      <c r="EJ103" s="923"/>
      <c r="EK103" s="923"/>
      <c r="EL103" s="923"/>
      <c r="EM103" s="923"/>
      <c r="ES103" s="970" t="s">
        <v>4817</v>
      </c>
      <c r="ET103" s="971">
        <v>490</v>
      </c>
      <c r="EU103" s="972" t="s">
        <v>2033</v>
      </c>
      <c r="EV103" s="973">
        <v>2</v>
      </c>
      <c r="EW103" s="972" t="s">
        <v>4754</v>
      </c>
      <c r="EX103" s="973">
        <v>2</v>
      </c>
      <c r="EY103" s="972" t="s">
        <v>4694</v>
      </c>
      <c r="EZ103" s="973">
        <v>2</v>
      </c>
      <c r="FA103" s="972" t="s">
        <v>4688</v>
      </c>
      <c r="FB103" s="973">
        <v>2</v>
      </c>
      <c r="FC103" s="972" t="s">
        <v>1360</v>
      </c>
      <c r="FD103" s="973">
        <v>1</v>
      </c>
      <c r="FE103" s="972" t="s">
        <v>4721</v>
      </c>
    </row>
    <row r="104" spans="1:161" ht="12" customHeight="1" thickBot="1">
      <c r="A104" s="922"/>
      <c r="B104" s="951">
        <v>103</v>
      </c>
      <c r="C104" s="1009" t="s">
        <v>4885</v>
      </c>
      <c r="D104" s="924"/>
      <c r="E104" s="924"/>
      <c r="F104" s="924"/>
      <c r="G104" s="924"/>
      <c r="H104" s="1004" t="str">
        <f ca="1">LOOKUP(gpMetier2,gpMetiers,gpTal5)</f>
        <v>sexe</v>
      </c>
      <c r="J104" s="925"/>
      <c r="K104" s="923"/>
      <c r="L104" s="668" t="str">
        <f ca="1">"Marque de peau: "&amp;I15&amp;" sur  "&amp;H15</f>
        <v>Marque de peau: 0 sur  0</v>
      </c>
      <c r="N104" s="668" t="str">
        <f ca="1">"Odeur: "&amp;H16</f>
        <v>Odeur: Aucun, cou Ap+d3-d3</v>
      </c>
      <c r="O104" s="923"/>
      <c r="P104" s="923"/>
      <c r="Q104" s="923"/>
      <c r="R104" s="923"/>
      <c r="S104" s="923"/>
      <c r="T104" s="923"/>
      <c r="U104" s="925"/>
      <c r="V104" s="1446">
        <f t="shared" ca="1" si="14"/>
        <v>1</v>
      </c>
      <c r="W104" s="1447">
        <f t="shared" ca="1" si="14"/>
        <v>1</v>
      </c>
      <c r="X104" s="923"/>
      <c r="Y104" s="1071" t="s">
        <v>4589</v>
      </c>
      <c r="Z104" s="923"/>
      <c r="AA104" s="923" t="str">
        <f ca="1">H3</f>
        <v>Bâtard non reconnu : NS-4, BM–1% , Humour-1</v>
      </c>
      <c r="AB104" s="923"/>
      <c r="AC104" s="923"/>
      <c r="AD104" s="923"/>
      <c r="AE104" s="923"/>
      <c r="AF104" s="923"/>
      <c r="AG104" s="923"/>
      <c r="AH104" s="923"/>
      <c r="AI104" s="923"/>
      <c r="AJ104" s="923"/>
      <c r="AK104" s="923"/>
      <c r="AL104" s="923"/>
      <c r="AM104" s="923"/>
      <c r="AN104" s="923"/>
      <c r="AO104" s="923"/>
      <c r="AP104" s="923"/>
      <c r="AQ104" s="923"/>
      <c r="AR104" s="923"/>
      <c r="AS104" s="923"/>
      <c r="AT104" s="923"/>
      <c r="AU104" s="923"/>
      <c r="AV104" s="924"/>
      <c r="AW104" s="923"/>
      <c r="AX104" s="923"/>
      <c r="AY104" s="923"/>
      <c r="AZ104" s="923"/>
      <c r="BA104" s="923"/>
      <c r="BB104" s="923"/>
      <c r="BC104" s="923"/>
      <c r="BD104" s="923"/>
      <c r="BF104" s="923"/>
      <c r="BG104" s="923"/>
      <c r="BH104" s="923"/>
      <c r="BI104" s="923"/>
      <c r="BJ104" s="923"/>
      <c r="BK104" s="923"/>
      <c r="BL104" s="923"/>
      <c r="BM104" s="923"/>
      <c r="BN104" s="923"/>
      <c r="BO104" s="923"/>
      <c r="BP104" s="923"/>
      <c r="BQ104" s="923"/>
      <c r="BR104" s="923"/>
      <c r="BS104" s="923"/>
      <c r="BT104" s="923"/>
      <c r="BU104" s="923"/>
      <c r="BV104" s="923"/>
      <c r="BW104" s="923"/>
      <c r="BX104" s="923"/>
      <c r="BY104" s="923"/>
      <c r="BZ104" s="923"/>
      <c r="CA104" s="923"/>
      <c r="CB104" s="923"/>
      <c r="CC104" s="923"/>
      <c r="CD104" s="923"/>
      <c r="CE104" s="923"/>
      <c r="CF104" s="923"/>
      <c r="CG104" s="923"/>
      <c r="CH104" s="923"/>
      <c r="CI104" s="923"/>
      <c r="CJ104" s="923"/>
      <c r="CK104" s="923"/>
      <c r="CL104" s="923"/>
      <c r="CM104" s="923"/>
      <c r="CN104" s="923"/>
      <c r="CO104" s="923"/>
      <c r="CP104" s="923"/>
      <c r="CQ104" s="923"/>
      <c r="CR104" s="923"/>
      <c r="CS104" s="923"/>
      <c r="CT104" s="923"/>
      <c r="CU104" s="923"/>
      <c r="CV104" s="923"/>
      <c r="CW104" s="923"/>
      <c r="CX104" s="923"/>
      <c r="CY104" s="923"/>
      <c r="CZ104" s="923"/>
      <c r="DA104" s="923"/>
      <c r="DB104" s="923"/>
      <c r="DC104" s="923"/>
      <c r="DD104" s="923"/>
      <c r="DE104" s="923"/>
      <c r="DF104" s="923"/>
      <c r="DG104" s="923"/>
      <c r="DH104" s="923"/>
      <c r="DI104" s="923"/>
      <c r="DJ104" s="923"/>
      <c r="DK104" s="923"/>
      <c r="DL104" s="923"/>
      <c r="DM104" s="923"/>
      <c r="DN104" s="923"/>
      <c r="DO104" s="923"/>
      <c r="DP104" s="923"/>
      <c r="DQ104" s="923"/>
      <c r="DR104" s="923"/>
      <c r="DS104" s="923"/>
      <c r="DT104" s="923"/>
      <c r="DU104" s="923"/>
      <c r="DV104" s="923"/>
      <c r="DW104" s="923"/>
      <c r="DX104" s="923"/>
      <c r="DY104" s="923"/>
      <c r="DZ104" s="923"/>
      <c r="EA104" s="923"/>
      <c r="EB104" s="923"/>
      <c r="EC104" s="923"/>
      <c r="ED104" s="923"/>
      <c r="EE104" s="923"/>
      <c r="EF104" s="923"/>
      <c r="EG104" s="923"/>
      <c r="EH104" s="923"/>
      <c r="EI104" s="923"/>
      <c r="EJ104" s="923"/>
      <c r="EK104" s="923"/>
      <c r="EL104" s="923"/>
      <c r="EM104" s="923"/>
      <c r="ES104" s="970" t="s">
        <v>4818</v>
      </c>
      <c r="ET104" s="971">
        <v>490</v>
      </c>
      <c r="EU104" s="972" t="s">
        <v>167</v>
      </c>
      <c r="EV104" s="973">
        <v>3</v>
      </c>
      <c r="EW104" s="972" t="s">
        <v>87</v>
      </c>
      <c r="EX104" s="973">
        <v>2</v>
      </c>
      <c r="EY104" s="972" t="s">
        <v>4707</v>
      </c>
      <c r="EZ104" s="973">
        <v>1</v>
      </c>
      <c r="FA104" s="972" t="s">
        <v>1045</v>
      </c>
      <c r="FB104" s="973">
        <v>2</v>
      </c>
      <c r="FC104" s="972" t="s">
        <v>4694</v>
      </c>
      <c r="FD104" s="973">
        <v>1</v>
      </c>
      <c r="FE104" s="972" t="s">
        <v>2016</v>
      </c>
    </row>
    <row r="105" spans="1:161" ht="12" customHeight="1" thickBot="1">
      <c r="A105" s="922"/>
      <c r="B105" s="982">
        <v>104</v>
      </c>
      <c r="C105" s="1005"/>
      <c r="D105" s="1006"/>
      <c r="E105" s="1006"/>
      <c r="F105" s="1006"/>
      <c r="G105" s="1006"/>
      <c r="H105" s="1007" t="str">
        <f ca="1">LOOKUP(gpMetier2,gpMetiers,gpTal6)</f>
        <v>transport</v>
      </c>
      <c r="I105" s="925"/>
      <c r="J105" s="925"/>
      <c r="K105" s="923"/>
      <c r="L105" s="668" t="str">
        <f ca="1">"Art graphique: "&amp;H17&amp;I17</f>
        <v>Art graphique: Médiocre, max Em-d3 --&gt; NE=10</v>
      </c>
      <c r="P105" s="1646" t="str">
        <f ca="1">"Niveau social obtenu = "&amp;H40&amp;"(NS "&amp;persoNS&amp;")"</f>
        <v>Niveau social obtenu = Artisan (NS 4)</v>
      </c>
      <c r="Q105" s="1647"/>
      <c r="R105" s="1647"/>
      <c r="S105" s="1647"/>
      <c r="T105" s="1647"/>
      <c r="U105" s="925"/>
      <c r="V105" s="1446">
        <f t="shared" ca="1" si="14"/>
        <v>4</v>
      </c>
      <c r="W105" s="1447">
        <f t="shared" ca="1" si="14"/>
        <v>6</v>
      </c>
      <c r="X105" s="923"/>
      <c r="Y105" s="1071" t="s">
        <v>1323</v>
      </c>
      <c r="Z105" s="923"/>
      <c r="AA105" s="923">
        <f ca="1">persoAge</f>
        <v>21</v>
      </c>
      <c r="AB105" s="923"/>
      <c r="AC105" s="923"/>
      <c r="AD105" s="923"/>
      <c r="AE105" s="923"/>
      <c r="AF105" s="923"/>
      <c r="AG105" s="923"/>
      <c r="AH105" s="923"/>
      <c r="AI105" s="923"/>
      <c r="AJ105" s="923"/>
      <c r="AK105" s="923"/>
      <c r="AL105" s="923"/>
      <c r="AM105" s="923"/>
      <c r="AN105" s="923"/>
      <c r="AO105" s="923"/>
      <c r="AP105" s="923"/>
      <c r="AQ105" s="923"/>
      <c r="AR105" s="923"/>
      <c r="AS105" s="923"/>
      <c r="AT105" s="923"/>
      <c r="AU105" s="923"/>
      <c r="AV105" s="924"/>
      <c r="AW105" s="923"/>
      <c r="AX105" s="923"/>
      <c r="AY105" s="923"/>
      <c r="AZ105" s="923"/>
      <c r="BA105" s="923"/>
      <c r="BB105" s="923"/>
      <c r="BC105" s="923"/>
      <c r="BD105" s="923"/>
      <c r="BF105" s="923"/>
      <c r="BG105" s="923"/>
      <c r="BH105" s="923"/>
      <c r="BI105" s="923"/>
      <c r="BJ105" s="923"/>
      <c r="BK105" s="923"/>
      <c r="BL105" s="923"/>
      <c r="BM105" s="923"/>
      <c r="BN105" s="923"/>
      <c r="BO105" s="923"/>
      <c r="BP105" s="923"/>
      <c r="BQ105" s="923"/>
      <c r="BR105" s="923"/>
      <c r="BS105" s="923"/>
      <c r="BT105" s="923"/>
      <c r="BU105" s="923"/>
      <c r="BV105" s="923"/>
      <c r="BW105" s="923"/>
      <c r="BX105" s="923"/>
      <c r="BY105" s="923"/>
      <c r="BZ105" s="923"/>
      <c r="CA105" s="923"/>
      <c r="CB105" s="923"/>
      <c r="CC105" s="923"/>
      <c r="CD105" s="923"/>
      <c r="CE105" s="923"/>
      <c r="CF105" s="923"/>
      <c r="CG105" s="923"/>
      <c r="CH105" s="923"/>
      <c r="CI105" s="923"/>
      <c r="CJ105" s="923"/>
      <c r="CK105" s="923"/>
      <c r="CL105" s="923"/>
      <c r="CM105" s="923"/>
      <c r="CN105" s="923"/>
      <c r="CO105" s="923"/>
      <c r="CP105" s="923"/>
      <c r="CQ105" s="923"/>
      <c r="CR105" s="923"/>
      <c r="CS105" s="923"/>
      <c r="CT105" s="923"/>
      <c r="CU105" s="923"/>
      <c r="CV105" s="923"/>
      <c r="CW105" s="923"/>
      <c r="CX105" s="923"/>
      <c r="CY105" s="923"/>
      <c r="CZ105" s="923"/>
      <c r="DA105" s="923"/>
      <c r="DB105" s="923"/>
      <c r="DC105" s="923"/>
      <c r="DD105" s="923"/>
      <c r="DE105" s="923"/>
      <c r="DF105" s="923"/>
      <c r="DG105" s="923"/>
      <c r="DH105" s="923"/>
      <c r="DI105" s="923"/>
      <c r="DJ105" s="923"/>
      <c r="DK105" s="923"/>
      <c r="DL105" s="923"/>
      <c r="DM105" s="923"/>
      <c r="DN105" s="923"/>
      <c r="DO105" s="923"/>
      <c r="DP105" s="923"/>
      <c r="DQ105" s="923"/>
      <c r="DR105" s="923"/>
      <c r="DS105" s="923"/>
      <c r="DT105" s="923"/>
      <c r="DU105" s="923"/>
      <c r="DV105" s="923"/>
      <c r="DW105" s="923"/>
      <c r="DX105" s="923"/>
      <c r="DY105" s="923"/>
      <c r="DZ105" s="923"/>
      <c r="EA105" s="923"/>
      <c r="EB105" s="923"/>
      <c r="EC105" s="923"/>
      <c r="ED105" s="923"/>
      <c r="EE105" s="923"/>
      <c r="EF105" s="923"/>
      <c r="EG105" s="923"/>
      <c r="EH105" s="923"/>
      <c r="EI105" s="923"/>
      <c r="EJ105" s="923"/>
      <c r="EK105" s="923"/>
      <c r="EL105" s="923"/>
      <c r="EM105" s="923"/>
      <c r="ES105" s="970" t="s">
        <v>1152</v>
      </c>
      <c r="ET105" s="971">
        <v>120</v>
      </c>
      <c r="EU105" s="972" t="s">
        <v>4819</v>
      </c>
      <c r="EV105" s="973">
        <v>3</v>
      </c>
      <c r="EW105" s="972" t="s">
        <v>1022</v>
      </c>
      <c r="EX105" s="973">
        <v>2</v>
      </c>
      <c r="EY105" s="972" t="s">
        <v>1526</v>
      </c>
      <c r="EZ105" s="973">
        <v>1</v>
      </c>
      <c r="FA105" s="972" t="s">
        <v>4714</v>
      </c>
      <c r="FB105" s="973">
        <v>1</v>
      </c>
      <c r="FC105" s="972" t="s">
        <v>4680</v>
      </c>
      <c r="FD105" s="973">
        <v>1</v>
      </c>
      <c r="FE105" s="972" t="s">
        <v>4781</v>
      </c>
    </row>
    <row r="106" spans="1:161" ht="12" customHeight="1" thickBot="1">
      <c r="A106" s="922"/>
      <c r="B106" s="951">
        <v>105</v>
      </c>
      <c r="C106" s="1008" t="s">
        <v>4877</v>
      </c>
      <c r="D106" s="1002"/>
      <c r="E106" s="1002"/>
      <c r="F106" s="1002"/>
      <c r="G106" s="1002"/>
      <c r="H106" s="1003" t="s">
        <v>4878</v>
      </c>
      <c r="I106" s="925" t="s">
        <v>4888</v>
      </c>
      <c r="J106" s="925"/>
      <c r="K106" s="923"/>
      <c r="L106" s="668" t="str">
        <f ca="1">"Humour: "&amp;H18</f>
        <v>Humour: Sombre, ne sourit que rarement : nat E-2, cou I+1, Foi+1</v>
      </c>
      <c r="V106" s="1446">
        <f t="shared" ca="1" si="14"/>
        <v>2</v>
      </c>
      <c r="W106" s="1447">
        <f t="shared" ca="1" si="14"/>
        <v>1</v>
      </c>
      <c r="X106" s="923"/>
      <c r="Y106" s="1071" t="s">
        <v>7102</v>
      </c>
      <c r="Z106" s="923"/>
      <c r="AA106" s="923" t="str">
        <f ca="1">H5</f>
        <v>Excellence</v>
      </c>
      <c r="AB106" s="923" t="str">
        <f ca="1">I5</f>
        <v>SI</v>
      </c>
      <c r="AC106" s="923"/>
      <c r="AD106" s="923"/>
      <c r="AE106" s="923"/>
      <c r="AF106" s="923"/>
      <c r="AG106" s="923"/>
      <c r="AH106" s="923"/>
      <c r="AI106" s="923"/>
      <c r="AJ106" s="923"/>
      <c r="AK106" s="923"/>
      <c r="AL106" s="923"/>
      <c r="AM106" s="923"/>
      <c r="AN106" s="923"/>
      <c r="AO106" s="923"/>
      <c r="AP106" s="923"/>
      <c r="AQ106" s="923"/>
      <c r="AR106" s="923"/>
      <c r="AS106" s="923"/>
      <c r="AT106" s="923"/>
      <c r="AU106" s="923"/>
      <c r="AV106" s="924"/>
      <c r="AW106" s="923"/>
      <c r="AX106" s="923"/>
      <c r="AY106" s="923"/>
      <c r="AZ106" s="923"/>
      <c r="BA106" s="923"/>
      <c r="BB106" s="923"/>
      <c r="BC106" s="923"/>
      <c r="BD106" s="923"/>
      <c r="BF106" s="923"/>
      <c r="BG106" s="923"/>
      <c r="BH106" s="923"/>
      <c r="BI106" s="923"/>
      <c r="BJ106" s="923"/>
      <c r="BK106" s="923"/>
      <c r="BL106" s="923"/>
      <c r="BM106" s="923"/>
      <c r="BN106" s="923"/>
      <c r="BO106" s="923"/>
      <c r="BP106" s="923"/>
      <c r="BQ106" s="923"/>
      <c r="BR106" s="923"/>
      <c r="BS106" s="923"/>
      <c r="BT106" s="923"/>
      <c r="BU106" s="923"/>
      <c r="BV106" s="923"/>
      <c r="BW106" s="923"/>
      <c r="BX106" s="923"/>
      <c r="BY106" s="923"/>
      <c r="BZ106" s="923"/>
      <c r="CA106" s="923"/>
      <c r="CB106" s="923"/>
      <c r="CC106" s="923"/>
      <c r="CD106" s="923"/>
      <c r="CE106" s="923"/>
      <c r="CF106" s="923"/>
      <c r="CG106" s="923"/>
      <c r="CH106" s="923"/>
      <c r="CI106" s="923"/>
      <c r="CJ106" s="923"/>
      <c r="CK106" s="923"/>
      <c r="CL106" s="923"/>
      <c r="CM106" s="923"/>
      <c r="CN106" s="923"/>
      <c r="CO106" s="923"/>
      <c r="CP106" s="923"/>
      <c r="CQ106" s="923"/>
      <c r="CR106" s="923"/>
      <c r="CS106" s="923"/>
      <c r="CT106" s="923"/>
      <c r="CU106" s="923"/>
      <c r="CV106" s="923"/>
      <c r="CW106" s="923"/>
      <c r="CX106" s="923"/>
      <c r="CY106" s="923"/>
      <c r="CZ106" s="923"/>
      <c r="DA106" s="923"/>
      <c r="DB106" s="923"/>
      <c r="DC106" s="923"/>
      <c r="DD106" s="923"/>
      <c r="DE106" s="923"/>
      <c r="DF106" s="923"/>
      <c r="DG106" s="923"/>
      <c r="DH106" s="923"/>
      <c r="DI106" s="923"/>
      <c r="DJ106" s="923"/>
      <c r="DK106" s="923"/>
      <c r="DL106" s="923"/>
      <c r="DM106" s="923"/>
      <c r="DN106" s="923"/>
      <c r="DO106" s="923"/>
      <c r="DP106" s="923"/>
      <c r="DQ106" s="923"/>
      <c r="DR106" s="923"/>
      <c r="DS106" s="923"/>
      <c r="DT106" s="923"/>
      <c r="DU106" s="923"/>
      <c r="DV106" s="923"/>
      <c r="DW106" s="923"/>
      <c r="DX106" s="923"/>
      <c r="DY106" s="923"/>
      <c r="DZ106" s="923"/>
      <c r="EA106" s="923"/>
      <c r="EB106" s="923"/>
      <c r="EC106" s="923"/>
      <c r="ED106" s="923"/>
      <c r="EE106" s="923"/>
      <c r="EF106" s="923"/>
      <c r="EG106" s="923"/>
      <c r="EH106" s="923"/>
      <c r="EI106" s="923"/>
      <c r="EJ106" s="923"/>
      <c r="EK106" s="923"/>
      <c r="EL106" s="923"/>
      <c r="EM106" s="923"/>
      <c r="ES106" s="970" t="s">
        <v>4820</v>
      </c>
      <c r="ET106" s="971">
        <v>300</v>
      </c>
      <c r="EU106" s="972" t="s">
        <v>231</v>
      </c>
      <c r="EV106" s="973">
        <v>2</v>
      </c>
      <c r="EW106" s="972" t="s">
        <v>4771</v>
      </c>
      <c r="EX106" s="973">
        <v>2</v>
      </c>
      <c r="EY106" s="972" t="s">
        <v>4687</v>
      </c>
      <c r="EZ106" s="973">
        <v>2</v>
      </c>
      <c r="FA106" s="972" t="s">
        <v>4681</v>
      </c>
      <c r="FB106" s="973">
        <v>1</v>
      </c>
      <c r="FC106" s="972" t="s">
        <v>4695</v>
      </c>
      <c r="FD106" s="973">
        <v>1</v>
      </c>
      <c r="FE106" s="972" t="s">
        <v>4680</v>
      </c>
    </row>
    <row r="107" spans="1:161" ht="12" customHeight="1" thickBot="1">
      <c r="A107" s="922"/>
      <c r="B107" s="982">
        <v>106</v>
      </c>
      <c r="C107" s="1009" t="s">
        <v>4879</v>
      </c>
      <c r="D107" s="924"/>
      <c r="E107" s="924"/>
      <c r="F107" s="924"/>
      <c r="G107" s="924"/>
      <c r="H107" s="1004" t="s">
        <v>4881</v>
      </c>
      <c r="I107" s="925" t="s">
        <v>4887</v>
      </c>
      <c r="J107" s="925"/>
      <c r="K107" s="923"/>
      <c r="L107" s="668" t="str">
        <f ca="1">"Croyance: "&amp;H19&amp;" (Foi = "&amp;persoFoi&amp;")"</f>
        <v>Croyance: Croyance liée à son histoire, ethnie et origines : NS+1 (Foi = 43)</v>
      </c>
      <c r="O107" s="923"/>
      <c r="P107" s="923"/>
      <c r="Q107" s="923"/>
      <c r="R107" s="923"/>
      <c r="S107" s="923"/>
      <c r="T107" s="923"/>
      <c r="U107" s="925"/>
      <c r="V107" s="1446">
        <f t="shared" ca="1" si="14"/>
        <v>6</v>
      </c>
      <c r="W107" s="1447">
        <f t="shared" ca="1" si="14"/>
        <v>3</v>
      </c>
      <c r="X107" s="923"/>
      <c r="Y107" s="1071" t="s">
        <v>7103</v>
      </c>
      <c r="Z107" s="923"/>
      <c r="AA107" s="923" t="str">
        <f ca="1">H6</f>
        <v>Mésange</v>
      </c>
      <c r="AB107" s="923" t="str">
        <f ca="1">MID(I6,9,4)</f>
        <v>E +2</v>
      </c>
      <c r="AC107" s="923"/>
      <c r="AD107" s="923"/>
      <c r="AE107" s="923"/>
      <c r="AF107" s="923"/>
      <c r="AG107" s="923"/>
      <c r="AH107" s="923"/>
      <c r="AI107" s="923"/>
      <c r="AJ107" s="923"/>
      <c r="AK107" s="923"/>
      <c r="AL107" s="923"/>
      <c r="AM107" s="923"/>
      <c r="AN107" s="923"/>
      <c r="AO107" s="923"/>
      <c r="AP107" s="923"/>
      <c r="AQ107" s="923"/>
      <c r="AR107" s="923"/>
      <c r="AS107" s="923"/>
      <c r="AT107" s="923"/>
      <c r="AU107" s="923"/>
      <c r="AV107" s="924"/>
      <c r="AW107" s="923"/>
      <c r="AX107" s="923"/>
      <c r="AY107" s="923"/>
      <c r="AZ107" s="923"/>
      <c r="BA107" s="923"/>
      <c r="BB107" s="923"/>
      <c r="BC107" s="923"/>
      <c r="BD107" s="923"/>
      <c r="BF107" s="923"/>
      <c r="BG107" s="923"/>
      <c r="BH107" s="923"/>
      <c r="BI107" s="923"/>
      <c r="BJ107" s="923"/>
      <c r="BK107" s="923"/>
      <c r="BL107" s="923"/>
      <c r="BM107" s="923"/>
      <c r="BN107" s="923"/>
      <c r="BO107" s="923"/>
      <c r="BP107" s="923"/>
      <c r="BQ107" s="923"/>
      <c r="BR107" s="923"/>
      <c r="BS107" s="923"/>
      <c r="BT107" s="923"/>
      <c r="BU107" s="923"/>
      <c r="BV107" s="923"/>
      <c r="BW107" s="923"/>
      <c r="BX107" s="923"/>
      <c r="BY107" s="923"/>
      <c r="BZ107" s="923"/>
      <c r="CA107" s="923"/>
      <c r="CB107" s="923"/>
      <c r="CC107" s="923"/>
      <c r="CD107" s="923"/>
      <c r="CE107" s="923"/>
      <c r="CF107" s="923"/>
      <c r="CG107" s="923"/>
      <c r="CH107" s="923"/>
      <c r="CI107" s="923"/>
      <c r="CJ107" s="923"/>
      <c r="CK107" s="923"/>
      <c r="CL107" s="923"/>
      <c r="CM107" s="923"/>
      <c r="CN107" s="923"/>
      <c r="CO107" s="923"/>
      <c r="CP107" s="923"/>
      <c r="CQ107" s="923"/>
      <c r="CR107" s="923"/>
      <c r="CS107" s="923"/>
      <c r="CT107" s="923"/>
      <c r="CU107" s="923"/>
      <c r="CV107" s="923"/>
      <c r="CW107" s="923"/>
      <c r="CX107" s="923"/>
      <c r="CY107" s="923"/>
      <c r="CZ107" s="923"/>
      <c r="DA107" s="923"/>
      <c r="DB107" s="923"/>
      <c r="DC107" s="923"/>
      <c r="DD107" s="923"/>
      <c r="DE107" s="923"/>
      <c r="DF107" s="923"/>
      <c r="DG107" s="923"/>
      <c r="DH107" s="923"/>
      <c r="DI107" s="923"/>
      <c r="DJ107" s="923"/>
      <c r="DK107" s="923"/>
      <c r="DL107" s="923"/>
      <c r="DM107" s="923"/>
      <c r="DN107" s="923"/>
      <c r="DO107" s="923"/>
      <c r="DP107" s="923"/>
      <c r="DQ107" s="923"/>
      <c r="DR107" s="923"/>
      <c r="DS107" s="923"/>
      <c r="DT107" s="923"/>
      <c r="DU107" s="923"/>
      <c r="DV107" s="923"/>
      <c r="DW107" s="923"/>
      <c r="DX107" s="923"/>
      <c r="DY107" s="923"/>
      <c r="DZ107" s="923"/>
      <c r="EA107" s="923"/>
      <c r="EB107" s="923"/>
      <c r="EC107" s="923"/>
      <c r="ED107" s="923"/>
      <c r="EE107" s="923"/>
      <c r="EF107" s="923"/>
      <c r="EG107" s="923"/>
      <c r="EH107" s="923"/>
      <c r="EI107" s="923"/>
      <c r="EJ107" s="923"/>
      <c r="EK107" s="923"/>
      <c r="EL107" s="923"/>
      <c r="EM107" s="923"/>
      <c r="ES107" s="970" t="s">
        <v>4821</v>
      </c>
      <c r="ET107" s="971">
        <v>370</v>
      </c>
      <c r="EU107" s="972" t="s">
        <v>4753</v>
      </c>
      <c r="EV107" s="973">
        <v>3</v>
      </c>
      <c r="EW107" s="972" t="s">
        <v>4735</v>
      </c>
      <c r="EX107" s="973">
        <v>1</v>
      </c>
      <c r="EY107" s="972" t="s">
        <v>87</v>
      </c>
      <c r="EZ107" s="973">
        <v>2</v>
      </c>
      <c r="FA107" s="972" t="s">
        <v>4742</v>
      </c>
      <c r="FB107" s="973">
        <v>2</v>
      </c>
      <c r="FC107" s="972" t="s">
        <v>4743</v>
      </c>
      <c r="FD107" s="973">
        <v>1</v>
      </c>
      <c r="FE107" s="972" t="s">
        <v>4693</v>
      </c>
    </row>
    <row r="108" spans="1:161" ht="22.8" customHeight="1" thickBot="1">
      <c r="A108" s="922"/>
      <c r="B108" s="951">
        <v>107</v>
      </c>
      <c r="C108" s="1009" t="s">
        <v>4880</v>
      </c>
      <c r="D108" s="924"/>
      <c r="E108" s="924"/>
      <c r="F108" s="924"/>
      <c r="G108" s="924"/>
      <c r="H108" s="1004" t="s">
        <v>4882</v>
      </c>
      <c r="I108" s="925" t="s">
        <v>4889</v>
      </c>
      <c r="J108" s="925"/>
      <c r="K108" s="923"/>
      <c r="L108" s="1729" t="str">
        <f ca="1">"Problème médical: "&amp;H38&amp;", intensité "&amp;J38</f>
        <v>Problème médical: Rien mais CS-2, intensité Moyenne</v>
      </c>
      <c r="M108" s="1729"/>
      <c r="N108" s="1729"/>
      <c r="O108" s="1729"/>
      <c r="P108" s="1729"/>
      <c r="Q108" s="1729"/>
      <c r="R108" s="1729"/>
      <c r="S108" s="1729"/>
      <c r="T108" s="1729"/>
      <c r="U108" s="1729"/>
      <c r="V108" s="1446">
        <f t="shared" ca="1" si="14"/>
        <v>3</v>
      </c>
      <c r="W108" s="1447">
        <f t="shared" ca="1" si="14"/>
        <v>8</v>
      </c>
      <c r="X108" s="923"/>
      <c r="Y108" s="1071" t="s">
        <v>7104</v>
      </c>
      <c r="Z108" s="923"/>
      <c r="AA108" s="923" t="str">
        <f ca="1">H7</f>
        <v>Lumière</v>
      </c>
      <c r="AB108" s="923" t="str">
        <f ca="1">MID(I7,4,2)</f>
        <v xml:space="preserve">A </v>
      </c>
      <c r="AC108" s="923"/>
      <c r="AD108" s="923"/>
      <c r="AE108" s="923"/>
      <c r="AF108" s="923"/>
      <c r="AG108" s="923"/>
      <c r="AH108" s="923"/>
      <c r="AI108" s="923"/>
      <c r="AJ108" s="923"/>
      <c r="AK108" s="923"/>
      <c r="AL108" s="923"/>
      <c r="AM108" s="923"/>
      <c r="AN108" s="923"/>
      <c r="AO108" s="923"/>
      <c r="AP108" s="923"/>
      <c r="AQ108" s="923"/>
      <c r="AR108" s="923"/>
      <c r="AS108" s="923"/>
      <c r="AT108" s="923"/>
      <c r="AU108" s="923"/>
      <c r="AV108" s="924"/>
      <c r="AW108" s="923"/>
      <c r="AX108" s="923"/>
      <c r="AY108" s="923"/>
      <c r="AZ108" s="923"/>
      <c r="BA108" s="923"/>
      <c r="BB108" s="923"/>
      <c r="BC108" s="923"/>
      <c r="BD108" s="923"/>
      <c r="BF108" s="923"/>
      <c r="BG108" s="923"/>
      <c r="BH108" s="923"/>
      <c r="BI108" s="923"/>
      <c r="BJ108" s="923"/>
      <c r="BK108" s="923"/>
      <c r="BL108" s="923"/>
      <c r="BM108" s="923"/>
      <c r="BN108" s="923"/>
      <c r="BO108" s="923"/>
      <c r="BP108" s="923"/>
      <c r="BQ108" s="923"/>
      <c r="BR108" s="923"/>
      <c r="BS108" s="923"/>
      <c r="BT108" s="923"/>
      <c r="BU108" s="923"/>
      <c r="BV108" s="923"/>
      <c r="BW108" s="923"/>
      <c r="BX108" s="923"/>
      <c r="BY108" s="923"/>
      <c r="BZ108" s="923"/>
      <c r="CA108" s="923"/>
      <c r="CB108" s="923"/>
      <c r="CC108" s="923"/>
      <c r="CD108" s="923"/>
      <c r="CE108" s="923"/>
      <c r="CF108" s="923"/>
      <c r="CG108" s="923"/>
      <c r="CH108" s="923"/>
      <c r="CI108" s="923"/>
      <c r="CJ108" s="923"/>
      <c r="CK108" s="923"/>
      <c r="CL108" s="923"/>
      <c r="CM108" s="923"/>
      <c r="CN108" s="923"/>
      <c r="CO108" s="923"/>
      <c r="CP108" s="923"/>
      <c r="CQ108" s="923"/>
      <c r="CR108" s="923"/>
      <c r="CS108" s="923"/>
      <c r="CT108" s="923"/>
      <c r="CU108" s="923"/>
      <c r="CV108" s="923"/>
      <c r="CW108" s="923"/>
      <c r="CX108" s="923"/>
      <c r="CY108" s="923"/>
      <c r="CZ108" s="923"/>
      <c r="DA108" s="923"/>
      <c r="DB108" s="923"/>
      <c r="DC108" s="923"/>
      <c r="DD108" s="923"/>
      <c r="DE108" s="923"/>
      <c r="DF108" s="923"/>
      <c r="DG108" s="923"/>
      <c r="DH108" s="923"/>
      <c r="DI108" s="923"/>
      <c r="DJ108" s="923"/>
      <c r="DK108" s="923"/>
      <c r="DL108" s="923"/>
      <c r="DM108" s="923"/>
      <c r="DN108" s="923"/>
      <c r="DO108" s="923"/>
      <c r="DP108" s="923"/>
      <c r="DQ108" s="923"/>
      <c r="DR108" s="923"/>
      <c r="DS108" s="923"/>
      <c r="DT108" s="923"/>
      <c r="DU108" s="923"/>
      <c r="DV108" s="923"/>
      <c r="DW108" s="923"/>
      <c r="DX108" s="923"/>
      <c r="DY108" s="923"/>
      <c r="DZ108" s="923"/>
      <c r="EA108" s="923"/>
      <c r="EB108" s="923"/>
      <c r="EC108" s="923"/>
      <c r="ED108" s="923"/>
      <c r="EE108" s="923"/>
      <c r="EF108" s="923"/>
      <c r="EG108" s="923"/>
      <c r="EH108" s="923"/>
      <c r="EI108" s="923"/>
      <c r="EJ108" s="923"/>
      <c r="EK108" s="923"/>
      <c r="EL108" s="923"/>
      <c r="EM108" s="923"/>
      <c r="ES108" s="970" t="s">
        <v>1196</v>
      </c>
      <c r="ET108" s="971">
        <v>330</v>
      </c>
      <c r="EU108" s="972" t="s">
        <v>1423</v>
      </c>
      <c r="EV108" s="973">
        <v>2</v>
      </c>
      <c r="EW108" s="972" t="s">
        <v>4738</v>
      </c>
      <c r="EX108" s="973">
        <v>1</v>
      </c>
      <c r="EY108" s="980" t="s">
        <v>4727</v>
      </c>
      <c r="EZ108" s="973">
        <v>2</v>
      </c>
      <c r="FA108" s="980" t="s">
        <v>4720</v>
      </c>
      <c r="FB108" s="973">
        <v>2</v>
      </c>
      <c r="FC108" s="980" t="s">
        <v>4720</v>
      </c>
      <c r="FD108" s="973">
        <v>2</v>
      </c>
      <c r="FE108" s="980" t="s">
        <v>4720</v>
      </c>
    </row>
    <row r="109" spans="1:161" ht="24" customHeight="1" thickBot="1">
      <c r="A109" s="922"/>
      <c r="B109" s="982">
        <v>108</v>
      </c>
      <c r="C109" s="928"/>
      <c r="D109" s="924"/>
      <c r="E109" s="924"/>
      <c r="F109" s="924"/>
      <c r="G109" s="924"/>
      <c r="H109" s="1004" t="s">
        <v>1410</v>
      </c>
      <c r="I109" s="925" t="s">
        <v>4889</v>
      </c>
      <c r="J109" s="925"/>
      <c r="K109" s="923"/>
      <c r="L109" s="1729" t="str">
        <f ca="1">"Problème psychologique: "&amp;H39&amp;", intensité "&amp;J39</f>
        <v xml:space="preserve">Problème psychologique:  , intensité  </v>
      </c>
      <c r="M109" s="1729"/>
      <c r="N109" s="1729"/>
      <c r="O109" s="1729"/>
      <c r="P109" s="1729"/>
      <c r="Q109" s="1729"/>
      <c r="R109" s="1729"/>
      <c r="S109" s="1729"/>
      <c r="T109" s="1729"/>
      <c r="U109" s="1729"/>
      <c r="V109" s="1446">
        <f t="shared" ca="1" si="14"/>
        <v>3</v>
      </c>
      <c r="W109" s="1447">
        <f t="shared" ca="1" si="14"/>
        <v>8</v>
      </c>
      <c r="X109" s="923"/>
      <c r="Y109" s="1071" t="s">
        <v>7105</v>
      </c>
      <c r="Z109" s="923"/>
      <c r="AA109" s="923" t="str">
        <f ca="1">H8</f>
        <v>Cuivre</v>
      </c>
      <c r="AB109" s="923"/>
      <c r="AC109" s="923"/>
      <c r="AD109" s="923"/>
      <c r="AE109" s="923"/>
      <c r="AF109" s="923"/>
      <c r="AG109" s="923"/>
      <c r="AH109" s="923"/>
      <c r="AI109" s="923"/>
      <c r="AJ109" s="923"/>
      <c r="AK109" s="923"/>
      <c r="AL109" s="923"/>
      <c r="AM109" s="923"/>
      <c r="AN109" s="923"/>
      <c r="AO109" s="923"/>
      <c r="AP109" s="923"/>
      <c r="AQ109" s="923"/>
      <c r="AR109" s="923"/>
      <c r="AS109" s="923"/>
      <c r="AT109" s="923"/>
      <c r="AU109" s="923"/>
      <c r="AV109" s="924"/>
      <c r="AW109" s="923"/>
      <c r="AX109" s="923"/>
      <c r="AY109" s="923"/>
      <c r="AZ109" s="923"/>
      <c r="BA109" s="923"/>
      <c r="BB109" s="923"/>
      <c r="BC109" s="923"/>
      <c r="BD109" s="923"/>
      <c r="BF109" s="923"/>
      <c r="BG109" s="923"/>
      <c r="BH109" s="923"/>
      <c r="BI109" s="923"/>
      <c r="BJ109" s="923"/>
      <c r="BK109" s="923"/>
      <c r="BL109" s="923"/>
      <c r="BM109" s="923"/>
      <c r="BN109" s="923"/>
      <c r="BO109" s="923"/>
      <c r="BP109" s="923"/>
      <c r="BQ109" s="923"/>
      <c r="BR109" s="923"/>
      <c r="BS109" s="923"/>
      <c r="BT109" s="923"/>
      <c r="BU109" s="923"/>
      <c r="BV109" s="923"/>
      <c r="BW109" s="923"/>
      <c r="BX109" s="923"/>
      <c r="BY109" s="923"/>
      <c r="BZ109" s="923"/>
      <c r="CA109" s="923"/>
      <c r="CB109" s="923"/>
      <c r="CC109" s="923"/>
      <c r="CD109" s="923"/>
      <c r="CE109" s="923"/>
      <c r="CF109" s="923"/>
      <c r="CG109" s="923"/>
      <c r="CH109" s="923"/>
      <c r="CI109" s="923"/>
      <c r="CJ109" s="923"/>
      <c r="CK109" s="923"/>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3"/>
      <c r="DG109" s="923"/>
      <c r="DH109" s="923"/>
      <c r="DI109" s="923"/>
      <c r="DJ109" s="923"/>
      <c r="DK109" s="923"/>
      <c r="DL109" s="923"/>
      <c r="DM109" s="923"/>
      <c r="DN109" s="923"/>
      <c r="DO109" s="923"/>
      <c r="DP109" s="923"/>
      <c r="DQ109" s="923"/>
      <c r="DR109" s="923"/>
      <c r="DS109" s="923"/>
      <c r="DT109" s="923"/>
      <c r="DU109" s="923"/>
      <c r="DV109" s="923"/>
      <c r="DW109" s="923"/>
      <c r="DX109" s="923"/>
      <c r="DY109" s="923"/>
      <c r="DZ109" s="923"/>
      <c r="EA109" s="923"/>
      <c r="EB109" s="923"/>
      <c r="EC109" s="923"/>
      <c r="ED109" s="923"/>
      <c r="EE109" s="923"/>
      <c r="EF109" s="923"/>
      <c r="EG109" s="923"/>
      <c r="EH109" s="923"/>
      <c r="EI109" s="923"/>
      <c r="EJ109" s="923"/>
      <c r="EK109" s="923"/>
      <c r="EL109" s="923"/>
      <c r="EM109" s="923"/>
      <c r="ES109" s="970" t="s">
        <v>1213</v>
      </c>
      <c r="ET109" s="971">
        <v>290</v>
      </c>
      <c r="EU109" s="972" t="s">
        <v>4761</v>
      </c>
      <c r="EV109" s="973">
        <v>1</v>
      </c>
      <c r="EW109" s="972" t="s">
        <v>4794</v>
      </c>
      <c r="EX109" s="973">
        <v>2</v>
      </c>
      <c r="EY109" s="980" t="s">
        <v>4822</v>
      </c>
      <c r="EZ109" s="973">
        <v>2</v>
      </c>
      <c r="FA109" s="972" t="s">
        <v>4756</v>
      </c>
      <c r="FB109" s="973">
        <v>2</v>
      </c>
      <c r="FC109" s="972" t="s">
        <v>4738</v>
      </c>
      <c r="FD109" s="973">
        <v>1</v>
      </c>
      <c r="FE109" s="980" t="s">
        <v>1985</v>
      </c>
    </row>
    <row r="110" spans="1:161" ht="12" customHeight="1" thickBot="1">
      <c r="A110" s="922"/>
      <c r="B110" s="951">
        <v>109</v>
      </c>
      <c r="C110" s="1005" t="s">
        <v>4883</v>
      </c>
      <c r="D110" s="1006"/>
      <c r="E110" s="1006"/>
      <c r="F110" s="1006"/>
      <c r="G110" s="1006"/>
      <c r="H110" s="1064">
        <f ca="1">nSpe*20</f>
        <v>20</v>
      </c>
      <c r="I110" s="925"/>
      <c r="J110" s="925"/>
      <c r="K110" s="923"/>
      <c r="L110" s="668" t="str">
        <f ca="1">"Tics &amp; Manies: "&amp;H45</f>
        <v xml:space="preserve">Tics &amp; Manies:  </v>
      </c>
      <c r="N110" s="1437" t="str">
        <f ca="1">"Caractère principal: "&amp;H46</f>
        <v>Caractère principal: Morose  V-2/Em+2</v>
      </c>
      <c r="O110" s="1438"/>
      <c r="P110" s="1438"/>
      <c r="Q110" s="1438"/>
      <c r="R110" s="1438"/>
      <c r="S110" s="1438"/>
      <c r="T110" s="1439"/>
      <c r="U110" s="925"/>
      <c r="V110" s="1446">
        <f t="shared" ca="1" si="14"/>
        <v>6</v>
      </c>
      <c r="W110" s="1447">
        <f t="shared" ca="1" si="14"/>
        <v>5</v>
      </c>
      <c r="X110" s="923"/>
      <c r="Y110" s="1071" t="s">
        <v>7099</v>
      </c>
      <c r="Z110" s="923"/>
      <c r="AB110" s="923"/>
      <c r="AC110" s="923"/>
      <c r="AD110" s="923"/>
      <c r="AE110" s="923"/>
      <c r="AF110" s="923"/>
      <c r="AG110" s="923"/>
      <c r="AH110" s="923"/>
      <c r="AI110" s="923"/>
      <c r="AJ110" s="923"/>
      <c r="AK110" s="923"/>
      <c r="AL110" s="923"/>
      <c r="AM110" s="923"/>
      <c r="AN110" s="923"/>
      <c r="AO110" s="923"/>
      <c r="AP110" s="923"/>
      <c r="AQ110" s="923"/>
      <c r="AR110" s="923"/>
      <c r="AS110" s="923"/>
      <c r="AT110" s="923"/>
      <c r="AU110" s="923"/>
      <c r="AV110" s="924"/>
      <c r="AW110" s="923"/>
      <c r="AX110" s="923"/>
      <c r="AY110" s="923"/>
      <c r="AZ110" s="923"/>
      <c r="BA110" s="923"/>
      <c r="BB110" s="923"/>
      <c r="BC110" s="923"/>
      <c r="BD110" s="923"/>
      <c r="BF110" s="923"/>
      <c r="BG110" s="923"/>
      <c r="BH110" s="923"/>
      <c r="BI110" s="923"/>
      <c r="BJ110" s="923"/>
      <c r="BK110" s="923"/>
      <c r="BL110" s="923"/>
      <c r="BM110" s="923"/>
      <c r="BN110" s="923"/>
      <c r="BO110" s="923"/>
      <c r="BP110" s="923"/>
      <c r="BQ110" s="923"/>
      <c r="BR110" s="923"/>
      <c r="BS110" s="923"/>
      <c r="BT110" s="923"/>
      <c r="BU110" s="923"/>
      <c r="BV110" s="923"/>
      <c r="BW110" s="923"/>
      <c r="BX110" s="923"/>
      <c r="BY110" s="923"/>
      <c r="BZ110" s="923"/>
      <c r="CA110" s="923"/>
      <c r="CB110" s="923"/>
      <c r="CC110" s="923"/>
      <c r="CD110" s="923"/>
      <c r="CE110" s="923"/>
      <c r="CF110" s="923"/>
      <c r="CG110" s="923"/>
      <c r="CH110" s="923"/>
      <c r="CI110" s="923"/>
      <c r="CJ110" s="923"/>
      <c r="CK110" s="923"/>
      <c r="CL110" s="923"/>
      <c r="CM110" s="923"/>
      <c r="CN110" s="923"/>
      <c r="CO110" s="923"/>
      <c r="CP110" s="923"/>
      <c r="CQ110" s="923"/>
      <c r="CR110" s="923"/>
      <c r="CS110" s="923"/>
      <c r="CT110" s="923"/>
      <c r="CU110" s="923"/>
      <c r="CV110" s="923"/>
      <c r="CW110" s="923"/>
      <c r="CX110" s="923"/>
      <c r="CY110" s="923"/>
      <c r="CZ110" s="923"/>
      <c r="DA110" s="923"/>
      <c r="DB110" s="923"/>
      <c r="DC110" s="923"/>
      <c r="DD110" s="923"/>
      <c r="DE110" s="923"/>
      <c r="DF110" s="923"/>
      <c r="DG110" s="923"/>
      <c r="DH110" s="923"/>
      <c r="DI110" s="923"/>
      <c r="DJ110" s="923"/>
      <c r="DK110" s="923"/>
      <c r="DL110" s="923"/>
      <c r="DM110" s="923"/>
      <c r="DN110" s="923"/>
      <c r="DO110" s="923"/>
      <c r="DP110" s="923"/>
      <c r="DQ110" s="923"/>
      <c r="DR110" s="923"/>
      <c r="DS110" s="923"/>
      <c r="DT110" s="923"/>
      <c r="DU110" s="923"/>
      <c r="DV110" s="923"/>
      <c r="DW110" s="923"/>
      <c r="DX110" s="923"/>
      <c r="DY110" s="923"/>
      <c r="DZ110" s="923"/>
      <c r="EA110" s="923"/>
      <c r="EB110" s="923"/>
      <c r="EC110" s="923"/>
      <c r="ED110" s="923"/>
      <c r="EE110" s="923"/>
      <c r="EF110" s="923"/>
      <c r="EG110" s="923"/>
      <c r="EH110" s="923"/>
      <c r="EI110" s="923"/>
      <c r="EJ110" s="923"/>
      <c r="EK110" s="923"/>
      <c r="EL110" s="923"/>
      <c r="EM110" s="923"/>
      <c r="ES110" s="970" t="s">
        <v>1232</v>
      </c>
      <c r="ET110" s="971">
        <v>290</v>
      </c>
      <c r="EU110" s="972" t="s">
        <v>895</v>
      </c>
      <c r="EV110" s="973">
        <v>3</v>
      </c>
      <c r="EW110" s="972" t="s">
        <v>1022</v>
      </c>
      <c r="EX110" s="973">
        <v>2</v>
      </c>
      <c r="EY110" s="972" t="s">
        <v>4693</v>
      </c>
      <c r="EZ110" s="973">
        <v>2</v>
      </c>
      <c r="FA110" s="972" t="s">
        <v>87</v>
      </c>
      <c r="FB110" s="973">
        <v>2</v>
      </c>
      <c r="FC110" s="972" t="s">
        <v>4739</v>
      </c>
      <c r="FD110" s="973">
        <v>2</v>
      </c>
      <c r="FE110" s="972"/>
    </row>
    <row r="111" spans="1:161" ht="12" customHeight="1" thickBot="1">
      <c r="A111" s="922"/>
      <c r="B111" s="982">
        <v>110</v>
      </c>
      <c r="C111" s="923" t="s">
        <v>5101</v>
      </c>
      <c r="D111" s="924"/>
      <c r="E111" s="924"/>
      <c r="F111" s="924"/>
      <c r="G111" s="924"/>
      <c r="H111" s="925" t="s">
        <v>5102</v>
      </c>
      <c r="I111" s="925"/>
      <c r="J111" s="925"/>
      <c r="K111" s="923"/>
      <c r="L111" s="1071" t="s">
        <v>5157</v>
      </c>
      <c r="N111" s="1069" t="str">
        <f ca="1">"Carrière: "&amp;H42</f>
        <v>Carrière: terre</v>
      </c>
      <c r="P111" s="923"/>
      <c r="Q111" s="923"/>
      <c r="R111" s="923"/>
      <c r="S111" s="923"/>
      <c r="T111" s="923"/>
      <c r="U111" s="925"/>
      <c r="V111" s="1446">
        <f t="shared" ca="1" si="14"/>
        <v>5</v>
      </c>
      <c r="W111" s="1447">
        <f t="shared" ca="1" si="14"/>
        <v>7</v>
      </c>
      <c r="X111" s="923"/>
      <c r="Y111" s="1071" t="s">
        <v>7100</v>
      </c>
      <c r="Z111" s="923"/>
      <c r="AA111" s="923" t="str">
        <f ca="1">H9</f>
        <v>Noir -Ap</v>
      </c>
      <c r="AB111" s="923"/>
      <c r="AC111" s="923"/>
      <c r="AD111" s="923"/>
      <c r="AE111" s="923"/>
      <c r="AF111" s="923"/>
      <c r="AG111" s="923"/>
      <c r="AH111" s="923"/>
      <c r="AI111" s="923"/>
      <c r="AJ111" s="923"/>
      <c r="AK111" s="923"/>
      <c r="AL111" s="923"/>
      <c r="AM111" s="923"/>
      <c r="AN111" s="923"/>
      <c r="AO111" s="923"/>
      <c r="AP111" s="923"/>
      <c r="AQ111" s="923"/>
      <c r="AR111" s="923"/>
      <c r="AS111" s="923"/>
      <c r="AT111" s="923"/>
      <c r="AU111" s="923"/>
      <c r="AV111" s="924"/>
      <c r="AW111" s="923"/>
      <c r="AX111" s="923"/>
      <c r="AY111" s="923"/>
      <c r="AZ111" s="923"/>
      <c r="BA111" s="923"/>
      <c r="BB111" s="923"/>
      <c r="BC111" s="923"/>
      <c r="BD111" s="923"/>
      <c r="BF111" s="923"/>
      <c r="BG111" s="923"/>
      <c r="BH111" s="923"/>
      <c r="BI111" s="923"/>
      <c r="BJ111" s="923"/>
      <c r="BK111" s="923"/>
      <c r="BL111" s="923"/>
      <c r="BM111" s="923"/>
      <c r="BN111" s="923"/>
      <c r="BO111" s="923"/>
      <c r="BP111" s="923"/>
      <c r="BQ111" s="923"/>
      <c r="BR111" s="923"/>
      <c r="BS111" s="923"/>
      <c r="BT111" s="923"/>
      <c r="BU111" s="923"/>
      <c r="BV111" s="923"/>
      <c r="BW111" s="923"/>
      <c r="BX111" s="923"/>
      <c r="BY111" s="923"/>
      <c r="BZ111" s="923"/>
      <c r="CA111" s="923"/>
      <c r="CB111" s="923"/>
      <c r="CC111" s="923"/>
      <c r="CD111" s="923"/>
      <c r="CE111" s="923"/>
      <c r="CF111" s="923"/>
      <c r="CG111" s="923"/>
      <c r="CH111" s="923"/>
      <c r="CI111" s="923"/>
      <c r="CJ111" s="923"/>
      <c r="CK111" s="923"/>
      <c r="CL111" s="923"/>
      <c r="CM111" s="923"/>
      <c r="CN111" s="923"/>
      <c r="CO111" s="923"/>
      <c r="CP111" s="923"/>
      <c r="CQ111" s="923"/>
      <c r="CR111" s="923"/>
      <c r="CS111" s="923"/>
      <c r="CT111" s="923"/>
      <c r="CU111" s="923"/>
      <c r="CV111" s="923"/>
      <c r="CW111" s="923"/>
      <c r="CX111" s="923"/>
      <c r="CY111" s="923"/>
      <c r="CZ111" s="923"/>
      <c r="DA111" s="923"/>
      <c r="DB111" s="923"/>
      <c r="DC111" s="923"/>
      <c r="DD111" s="923"/>
      <c r="DE111" s="923"/>
      <c r="DF111" s="923"/>
      <c r="DG111" s="923"/>
      <c r="DH111" s="923"/>
      <c r="DI111" s="923"/>
      <c r="DJ111" s="923"/>
      <c r="DK111" s="923"/>
      <c r="DL111" s="923"/>
      <c r="DM111" s="923"/>
      <c r="DN111" s="923"/>
      <c r="DO111" s="923"/>
      <c r="DP111" s="923"/>
      <c r="DQ111" s="923"/>
      <c r="DR111" s="923"/>
      <c r="DS111" s="923"/>
      <c r="DT111" s="923"/>
      <c r="DU111" s="923"/>
      <c r="DV111" s="923"/>
      <c r="DW111" s="923"/>
      <c r="DX111" s="923"/>
      <c r="DY111" s="923"/>
      <c r="DZ111" s="923"/>
      <c r="EA111" s="923"/>
      <c r="EB111" s="923"/>
      <c r="EC111" s="923"/>
      <c r="ED111" s="923"/>
      <c r="EE111" s="923"/>
      <c r="EF111" s="923"/>
      <c r="EG111" s="923"/>
      <c r="EH111" s="923"/>
      <c r="EI111" s="923"/>
      <c r="EJ111" s="923"/>
      <c r="EK111" s="923"/>
      <c r="EL111" s="923"/>
      <c r="EM111" s="923"/>
      <c r="ES111" s="970" t="s">
        <v>1382</v>
      </c>
      <c r="ET111" s="971">
        <v>430</v>
      </c>
      <c r="EU111" s="997" t="s">
        <v>237</v>
      </c>
      <c r="EV111" s="973">
        <v>3</v>
      </c>
      <c r="EW111" s="972" t="s">
        <v>1356</v>
      </c>
      <c r="EX111" s="973">
        <v>2</v>
      </c>
      <c r="EY111" s="972" t="s">
        <v>4823</v>
      </c>
      <c r="EZ111" s="973">
        <v>2</v>
      </c>
      <c r="FA111" s="972" t="s">
        <v>1472</v>
      </c>
      <c r="FB111" s="973">
        <v>1</v>
      </c>
      <c r="FC111" s="972" t="s">
        <v>579</v>
      </c>
      <c r="FD111" s="973">
        <v>1</v>
      </c>
      <c r="FE111" s="972" t="s">
        <v>87</v>
      </c>
    </row>
    <row r="112" spans="1:161" ht="12" customHeight="1" thickBot="1">
      <c r="A112" s="922"/>
      <c r="B112" s="951">
        <v>111</v>
      </c>
      <c r="C112" s="923" t="s">
        <v>616</v>
      </c>
      <c r="D112" s="924">
        <f t="shared" ref="D112" ca="1" si="15">RANDBETWEEN(1,100)</f>
        <v>35</v>
      </c>
      <c r="E112" s="924"/>
      <c r="F112" s="924"/>
      <c r="G112" s="924"/>
      <c r="H112" s="925" t="str">
        <f ca="1">IF(D112&lt;((nSpe*10)+40)/2,"oui","non")</f>
        <v>non</v>
      </c>
      <c r="I112" s="925"/>
      <c r="J112" s="925"/>
      <c r="K112" s="923"/>
      <c r="L112" s="1008" t="str">
        <f ca="1">"Année du/de la "&amp;H5&amp;"("&amp;I5&amp;")"</f>
        <v>Année du/de la Excellence(SI)</v>
      </c>
      <c r="M112" s="1085"/>
      <c r="N112" s="1100" t="str">
        <f ca="1">"Métier enseigné: "&amp;H41</f>
        <v>Métier enseigné: Sellier </v>
      </c>
      <c r="O112" s="1084"/>
      <c r="P112" s="1122"/>
      <c r="Q112" s="923"/>
      <c r="R112" s="923"/>
      <c r="S112" s="923"/>
      <c r="T112" s="923"/>
      <c r="U112" s="925"/>
      <c r="V112" s="1446">
        <f t="shared" ca="1" si="14"/>
        <v>0</v>
      </c>
      <c r="W112" s="1447">
        <f t="shared" ca="1" si="14"/>
        <v>0</v>
      </c>
      <c r="X112" s="923"/>
      <c r="Y112" s="1071" t="s">
        <v>7101</v>
      </c>
      <c r="Z112" s="923"/>
      <c r="AA112" s="923" t="str">
        <f ca="1">LOOKUP(D10,dStyle,gpStyle)</f>
        <v>Plat -1</v>
      </c>
      <c r="AB112" s="923"/>
      <c r="AC112" s="923"/>
      <c r="AD112" s="923"/>
      <c r="AE112" s="923"/>
      <c r="AF112" s="923"/>
      <c r="AG112" s="923"/>
      <c r="AH112" s="923"/>
      <c r="AI112" s="923"/>
      <c r="AJ112" s="923"/>
      <c r="AK112" s="923"/>
      <c r="AL112" s="923"/>
      <c r="AM112" s="923"/>
      <c r="AN112" s="923"/>
      <c r="AO112" s="923"/>
      <c r="AP112" s="923"/>
      <c r="AQ112" s="923"/>
      <c r="AR112" s="923"/>
      <c r="AS112" s="923"/>
      <c r="AT112" s="923"/>
      <c r="AU112" s="923"/>
      <c r="AV112" s="924"/>
      <c r="AW112" s="923"/>
      <c r="AX112" s="923"/>
      <c r="AY112" s="923"/>
      <c r="AZ112" s="923"/>
      <c r="BA112" s="923"/>
      <c r="BB112" s="923"/>
      <c r="BC112" s="923"/>
      <c r="BD112" s="923"/>
      <c r="BF112" s="923"/>
      <c r="BG112" s="923"/>
      <c r="BH112" s="923"/>
      <c r="BI112" s="923"/>
      <c r="BJ112" s="923"/>
      <c r="BK112" s="923"/>
      <c r="BL112" s="923"/>
      <c r="BM112" s="923"/>
      <c r="BN112" s="923"/>
      <c r="BO112" s="923"/>
      <c r="BP112" s="923"/>
      <c r="BQ112" s="923"/>
      <c r="BR112" s="923"/>
      <c r="BS112" s="923"/>
      <c r="BT112" s="923"/>
      <c r="BU112" s="923"/>
      <c r="BV112" s="923"/>
      <c r="BW112" s="923"/>
      <c r="BX112" s="923"/>
      <c r="BY112" s="923"/>
      <c r="BZ112" s="923"/>
      <c r="CA112" s="923"/>
      <c r="CB112" s="923"/>
      <c r="CC112" s="923"/>
      <c r="CD112" s="923"/>
      <c r="CE112" s="923"/>
      <c r="CF112" s="923"/>
      <c r="CG112" s="923"/>
      <c r="CH112" s="923"/>
      <c r="CI112" s="923"/>
      <c r="CJ112" s="923"/>
      <c r="CK112" s="923"/>
      <c r="CL112" s="923"/>
      <c r="CM112" s="923"/>
      <c r="CN112" s="923"/>
      <c r="CO112" s="923"/>
      <c r="CP112" s="923"/>
      <c r="CQ112" s="923"/>
      <c r="CR112" s="923"/>
      <c r="CS112" s="923"/>
      <c r="CT112" s="923"/>
      <c r="CU112" s="923"/>
      <c r="CV112" s="923"/>
      <c r="CW112" s="923"/>
      <c r="CX112" s="923"/>
      <c r="CY112" s="923"/>
      <c r="CZ112" s="923"/>
      <c r="DA112" s="923"/>
      <c r="DB112" s="923"/>
      <c r="DC112" s="923"/>
      <c r="DD112" s="923"/>
      <c r="DE112" s="923"/>
      <c r="DF112" s="923"/>
      <c r="DG112" s="923"/>
      <c r="DH112" s="923"/>
      <c r="DI112" s="923"/>
      <c r="DJ112" s="923"/>
      <c r="DK112" s="923"/>
      <c r="DL112" s="923"/>
      <c r="DM112" s="923"/>
      <c r="DN112" s="923"/>
      <c r="DO112" s="923"/>
      <c r="DP112" s="923"/>
      <c r="DQ112" s="923"/>
      <c r="DR112" s="923"/>
      <c r="DS112" s="923"/>
      <c r="DT112" s="923"/>
      <c r="DU112" s="923"/>
      <c r="DV112" s="923"/>
      <c r="DW112" s="923"/>
      <c r="DX112" s="923"/>
      <c r="DY112" s="923"/>
      <c r="DZ112" s="923"/>
      <c r="EA112" s="923"/>
      <c r="EB112" s="923"/>
      <c r="EC112" s="923"/>
      <c r="ED112" s="923"/>
      <c r="EE112" s="923"/>
      <c r="EF112" s="923"/>
      <c r="EG112" s="923"/>
      <c r="EH112" s="923"/>
      <c r="EI112" s="923"/>
      <c r="EJ112" s="923"/>
      <c r="EK112" s="923"/>
      <c r="EL112" s="923"/>
      <c r="EM112" s="923"/>
      <c r="ES112" s="970" t="s">
        <v>4824</v>
      </c>
      <c r="ET112" s="971">
        <v>220</v>
      </c>
      <c r="EU112" s="972" t="s">
        <v>4705</v>
      </c>
      <c r="EV112" s="973">
        <v>3</v>
      </c>
      <c r="EW112" s="972" t="s">
        <v>4788</v>
      </c>
      <c r="EX112" s="973">
        <v>2</v>
      </c>
      <c r="EY112" s="972" t="s">
        <v>4700</v>
      </c>
      <c r="EZ112" s="973">
        <v>2</v>
      </c>
      <c r="FA112" s="972" t="s">
        <v>4738</v>
      </c>
      <c r="FB112" s="973">
        <v>1</v>
      </c>
      <c r="FC112" s="972" t="s">
        <v>4752</v>
      </c>
      <c r="FD112" s="973">
        <v>2</v>
      </c>
      <c r="FE112" s="972"/>
    </row>
    <row r="113" spans="1:161" ht="12" customHeight="1" thickBot="1">
      <c r="A113" s="922"/>
      <c r="B113" s="982">
        <v>112</v>
      </c>
      <c r="C113" s="1013" t="s">
        <v>5120</v>
      </c>
      <c r="D113" s="1048">
        <f>ffor</f>
        <v>44</v>
      </c>
      <c r="E113" s="924"/>
      <c r="F113" s="924" t="s">
        <v>5240</v>
      </c>
      <c r="G113" s="924"/>
      <c r="I113" s="925"/>
      <c r="J113" s="925"/>
      <c r="K113" s="923"/>
      <c r="L113" s="928" t="str">
        <f ca="1">"Mois du/de la "&amp;H6&amp;", carac "&amp;MID(I6,9,4)</f>
        <v>Mois du/de la Mésange, carac E +2</v>
      </c>
      <c r="M113" s="1086"/>
      <c r="N113" s="1094" t="str">
        <f ca="1">"Métier secondaire : "&amp;H86</f>
        <v>Métier secondaire : Serviteur </v>
      </c>
      <c r="P113" s="1123"/>
      <c r="Q113" s="923"/>
      <c r="R113" s="923"/>
      <c r="S113" s="923"/>
      <c r="T113" s="923"/>
      <c r="U113" s="925"/>
      <c r="V113" s="1446">
        <f t="shared" ca="1" si="14"/>
        <v>7</v>
      </c>
      <c r="W113" s="1447">
        <f t="shared" ca="1" si="14"/>
        <v>3</v>
      </c>
      <c r="X113" s="923"/>
      <c r="Y113" s="1071" t="s">
        <v>7106</v>
      </c>
      <c r="Z113" s="923"/>
      <c r="AA113" s="923" t="str">
        <f ca="1">H11</f>
        <v>Très longs</v>
      </c>
      <c r="AB113" s="923"/>
      <c r="AC113" s="923"/>
      <c r="AD113" s="923"/>
      <c r="AE113" s="923"/>
      <c r="AF113" s="923"/>
      <c r="AG113" s="923"/>
      <c r="AH113" s="923"/>
      <c r="AI113" s="923"/>
      <c r="AJ113" s="923"/>
      <c r="AK113" s="923"/>
      <c r="AL113" s="923"/>
      <c r="AM113" s="923"/>
      <c r="AN113" s="923"/>
      <c r="AO113" s="923"/>
      <c r="AP113" s="923"/>
      <c r="AQ113" s="923"/>
      <c r="AR113" s="923"/>
      <c r="AS113" s="923"/>
      <c r="AT113" s="923"/>
      <c r="AU113" s="923"/>
      <c r="AV113" s="924"/>
      <c r="AW113" s="923"/>
      <c r="AX113" s="923"/>
      <c r="AY113" s="923"/>
      <c r="AZ113" s="923"/>
      <c r="BA113" s="923"/>
      <c r="BB113" s="923"/>
      <c r="BC113" s="923"/>
      <c r="BD113" s="923"/>
      <c r="BF113" s="923"/>
      <c r="BG113" s="923"/>
      <c r="BH113" s="923"/>
      <c r="BI113" s="923"/>
      <c r="BJ113" s="923"/>
      <c r="BK113" s="923"/>
      <c r="BL113" s="923"/>
      <c r="BM113" s="923"/>
      <c r="BN113" s="923"/>
      <c r="BO113" s="923"/>
      <c r="BP113" s="923"/>
      <c r="BQ113" s="923"/>
      <c r="BR113" s="923"/>
      <c r="BS113" s="923"/>
      <c r="BT113" s="923"/>
      <c r="BU113" s="923"/>
      <c r="BV113" s="923"/>
      <c r="BW113" s="923"/>
      <c r="BX113" s="923"/>
      <c r="BY113" s="923"/>
      <c r="BZ113" s="923"/>
      <c r="CA113" s="923"/>
      <c r="CB113" s="923"/>
      <c r="CC113" s="923"/>
      <c r="CD113" s="923"/>
      <c r="CE113" s="923"/>
      <c r="CF113" s="923"/>
      <c r="CG113" s="923"/>
      <c r="CH113" s="923"/>
      <c r="CI113" s="923"/>
      <c r="CJ113" s="923"/>
      <c r="CK113" s="923"/>
      <c r="CL113" s="923"/>
      <c r="CM113" s="923"/>
      <c r="CN113" s="923"/>
      <c r="CO113" s="923"/>
      <c r="CP113" s="923"/>
      <c r="CQ113" s="923"/>
      <c r="CR113" s="923"/>
      <c r="CS113" s="923"/>
      <c r="CT113" s="923"/>
      <c r="CU113" s="923"/>
      <c r="CV113" s="923"/>
      <c r="CW113" s="923"/>
      <c r="CX113" s="923"/>
      <c r="CY113" s="923"/>
      <c r="CZ113" s="923"/>
      <c r="DA113" s="923"/>
      <c r="DB113" s="923"/>
      <c r="DC113" s="923"/>
      <c r="DD113" s="923"/>
      <c r="DE113" s="923"/>
      <c r="DF113" s="923"/>
      <c r="DG113" s="923"/>
      <c r="DH113" s="923"/>
      <c r="DI113" s="923"/>
      <c r="DJ113" s="923"/>
      <c r="DK113" s="923"/>
      <c r="DL113" s="923"/>
      <c r="DM113" s="923"/>
      <c r="DN113" s="923"/>
      <c r="DO113" s="923"/>
      <c r="DP113" s="923"/>
      <c r="DQ113" s="923"/>
      <c r="DR113" s="923"/>
      <c r="DS113" s="923"/>
      <c r="DT113" s="923"/>
      <c r="DU113" s="923"/>
      <c r="DV113" s="923"/>
      <c r="DW113" s="923"/>
      <c r="DX113" s="923"/>
      <c r="DY113" s="923"/>
      <c r="DZ113" s="923"/>
      <c r="EA113" s="923"/>
      <c r="EB113" s="923"/>
      <c r="EC113" s="923"/>
      <c r="ED113" s="923"/>
      <c r="EE113" s="923"/>
      <c r="EF113" s="923"/>
      <c r="EG113" s="923"/>
      <c r="EH113" s="923"/>
      <c r="EI113" s="923"/>
      <c r="EJ113" s="923"/>
      <c r="EK113" s="923"/>
      <c r="EL113" s="923"/>
      <c r="EM113" s="923"/>
      <c r="ES113" s="970" t="s">
        <v>4825</v>
      </c>
      <c r="ET113" s="971">
        <v>300</v>
      </c>
      <c r="EU113" s="972" t="s">
        <v>231</v>
      </c>
      <c r="EV113" s="973">
        <v>3</v>
      </c>
      <c r="EW113" s="972" t="s">
        <v>4687</v>
      </c>
      <c r="EX113" s="973">
        <v>2</v>
      </c>
      <c r="EY113" s="972" t="s">
        <v>4694</v>
      </c>
      <c r="EZ113" s="973">
        <v>1</v>
      </c>
      <c r="FA113" s="972" t="s">
        <v>4732</v>
      </c>
      <c r="FB113" s="973">
        <v>2</v>
      </c>
      <c r="FC113" s="972" t="s">
        <v>4771</v>
      </c>
      <c r="FD113" s="973">
        <v>1</v>
      </c>
      <c r="FE113" s="972" t="s">
        <v>4695</v>
      </c>
    </row>
    <row r="114" spans="1:161" ht="12" customHeight="1" thickBot="1">
      <c r="A114" s="922"/>
      <c r="B114" s="951">
        <v>113</v>
      </c>
      <c r="C114" s="1014" t="s">
        <v>5106</v>
      </c>
      <c r="D114" s="1048">
        <f>ffor</f>
        <v>44</v>
      </c>
      <c r="E114" s="924"/>
      <c r="F114" s="924"/>
      <c r="G114" s="925"/>
      <c r="H114" s="925"/>
      <c r="I114" s="925"/>
      <c r="J114" s="925"/>
      <c r="K114" s="923"/>
      <c r="L114" s="928" t="str">
        <f ca="1">"Jour du/de la "&amp;H7&amp;", carac "&amp;MID(I7,4,2)</f>
        <v xml:space="preserve">Jour du/de la Lumière, carac A </v>
      </c>
      <c r="M114" s="1086"/>
      <c r="N114" s="1094" t="str">
        <f ca="1">"Métier tertiaire : "&amp;C100</f>
        <v>Métier tertiaire : Tanneur </v>
      </c>
      <c r="P114" s="1123"/>
      <c r="Q114" s="923"/>
      <c r="R114" s="923"/>
      <c r="S114" s="923"/>
      <c r="T114" s="923"/>
      <c r="U114" s="925"/>
      <c r="V114" s="1446">
        <f t="shared" ca="1" si="14"/>
        <v>9</v>
      </c>
      <c r="W114" s="1447">
        <f t="shared" ca="1" si="14"/>
        <v>7</v>
      </c>
      <c r="X114" s="923"/>
      <c r="Y114" s="1071" t="s">
        <v>7108</v>
      </c>
      <c r="Z114" s="923"/>
      <c r="AA114" s="923" t="str">
        <f ca="1">H12</f>
        <v>Grosse moustache</v>
      </c>
      <c r="AB114" s="923"/>
      <c r="AC114" s="923"/>
      <c r="AD114" s="923"/>
      <c r="AE114" s="923"/>
      <c r="AF114" s="923"/>
      <c r="AG114" s="923"/>
      <c r="AH114" s="923"/>
      <c r="AI114" s="923"/>
      <c r="AJ114" s="923"/>
      <c r="AK114" s="923"/>
      <c r="AL114" s="923"/>
      <c r="AM114" s="923"/>
      <c r="AN114" s="923"/>
      <c r="AO114" s="923"/>
      <c r="AP114" s="923"/>
      <c r="AQ114" s="923"/>
      <c r="AR114" s="923"/>
      <c r="AS114" s="923"/>
      <c r="AT114" s="923"/>
      <c r="AU114" s="923"/>
      <c r="AV114" s="924"/>
      <c r="AW114" s="923"/>
      <c r="AX114" s="923"/>
      <c r="AY114" s="923"/>
      <c r="AZ114" s="923"/>
      <c r="BA114" s="923"/>
      <c r="BB114" s="923"/>
      <c r="BC114" s="923"/>
      <c r="BD114" s="923"/>
      <c r="BF114" s="923"/>
      <c r="BG114" s="923"/>
      <c r="BH114" s="923"/>
      <c r="BI114" s="923"/>
      <c r="BJ114" s="923"/>
      <c r="BK114" s="923"/>
      <c r="BL114" s="923"/>
      <c r="BM114" s="923"/>
      <c r="BN114" s="923"/>
      <c r="BO114" s="923"/>
      <c r="BP114" s="923"/>
      <c r="BQ114" s="923"/>
      <c r="BR114" s="923"/>
      <c r="BS114" s="923"/>
      <c r="BT114" s="923"/>
      <c r="BU114" s="923"/>
      <c r="BV114" s="923"/>
      <c r="BW114" s="923"/>
      <c r="BX114" s="923"/>
      <c r="BY114" s="923"/>
      <c r="BZ114" s="923"/>
      <c r="CA114" s="923"/>
      <c r="CB114" s="923"/>
      <c r="CC114" s="923"/>
      <c r="CD114" s="923"/>
      <c r="CE114" s="923"/>
      <c r="CF114" s="923"/>
      <c r="CG114" s="923"/>
      <c r="CH114" s="923"/>
      <c r="CI114" s="923"/>
      <c r="CJ114" s="923"/>
      <c r="CK114" s="923"/>
      <c r="CL114" s="923"/>
      <c r="CM114" s="923"/>
      <c r="CN114" s="923"/>
      <c r="CO114" s="923"/>
      <c r="CP114" s="923"/>
      <c r="CQ114" s="923"/>
      <c r="CR114" s="923"/>
      <c r="CS114" s="923"/>
      <c r="CT114" s="923"/>
      <c r="CU114" s="923"/>
      <c r="CV114" s="923"/>
      <c r="CW114" s="923"/>
      <c r="CX114" s="923"/>
      <c r="CY114" s="923"/>
      <c r="CZ114" s="923"/>
      <c r="DA114" s="923"/>
      <c r="DB114" s="923"/>
      <c r="DC114" s="923"/>
      <c r="DD114" s="923"/>
      <c r="DE114" s="923"/>
      <c r="DF114" s="923"/>
      <c r="DG114" s="923"/>
      <c r="DH114" s="923"/>
      <c r="DI114" s="923"/>
      <c r="DJ114" s="923"/>
      <c r="DK114" s="923"/>
      <c r="DL114" s="923"/>
      <c r="DM114" s="923"/>
      <c r="DN114" s="923"/>
      <c r="DO114" s="923"/>
      <c r="DP114" s="923"/>
      <c r="DQ114" s="923"/>
      <c r="DR114" s="923"/>
      <c r="DS114" s="923"/>
      <c r="DT114" s="923"/>
      <c r="DU114" s="923"/>
      <c r="DV114" s="923"/>
      <c r="DW114" s="923"/>
      <c r="DX114" s="923"/>
      <c r="DY114" s="923"/>
      <c r="DZ114" s="923"/>
      <c r="EA114" s="923"/>
      <c r="EB114" s="923"/>
      <c r="EC114" s="923"/>
      <c r="ED114" s="923"/>
      <c r="EE114" s="923"/>
      <c r="EF114" s="923"/>
      <c r="EG114" s="923"/>
      <c r="EH114" s="923"/>
      <c r="EI114" s="923"/>
      <c r="EJ114" s="923"/>
      <c r="EK114" s="923"/>
      <c r="EL114" s="923"/>
      <c r="EM114" s="923"/>
      <c r="ES114" s="970" t="s">
        <v>4826</v>
      </c>
      <c r="ET114" s="971">
        <v>420</v>
      </c>
      <c r="EU114" s="972" t="s">
        <v>4694</v>
      </c>
      <c r="EV114" s="973">
        <v>3</v>
      </c>
      <c r="EW114" s="972" t="s">
        <v>4764</v>
      </c>
      <c r="EX114" s="973">
        <v>2</v>
      </c>
      <c r="EY114" s="972" t="s">
        <v>87</v>
      </c>
      <c r="EZ114" s="973">
        <v>2</v>
      </c>
      <c r="FA114" s="972" t="s">
        <v>94</v>
      </c>
      <c r="FB114" s="973">
        <v>2</v>
      </c>
      <c r="FC114" s="972" t="s">
        <v>4721</v>
      </c>
      <c r="FD114" s="973">
        <v>2</v>
      </c>
      <c r="FE114" s="972"/>
    </row>
    <row r="115" spans="1:161" ht="12" customHeight="1" thickBot="1">
      <c r="A115" s="922"/>
      <c r="B115" s="982">
        <v>114</v>
      </c>
      <c r="C115" s="1013" t="s">
        <v>5117</v>
      </c>
      <c r="D115" s="804">
        <f>eend</f>
        <v>40</v>
      </c>
      <c r="E115" s="924"/>
      <c r="F115" s="924"/>
      <c r="G115" s="924"/>
      <c r="H115" s="925"/>
      <c r="I115" s="925"/>
      <c r="J115" s="925"/>
      <c r="K115" s="923"/>
      <c r="L115" s="1005" t="str">
        <f ca="1">"Lune du/de la "&amp;H8</f>
        <v>Lune du/de la Cuivre</v>
      </c>
      <c r="M115" s="905"/>
      <c r="N115" s="903" t="str">
        <f ca="1">C112&amp;" : "&amp;H112</f>
        <v>Guilde : non</v>
      </c>
      <c r="O115" s="904"/>
      <c r="P115" s="1124"/>
      <c r="Q115" s="923"/>
      <c r="R115" s="923"/>
      <c r="S115" s="923"/>
      <c r="T115" s="923"/>
      <c r="U115" s="925"/>
      <c r="V115" s="1446">
        <f t="shared" ca="1" si="14"/>
        <v>5</v>
      </c>
      <c r="W115" s="1447">
        <f t="shared" ca="1" si="14"/>
        <v>5</v>
      </c>
      <c r="X115" s="923"/>
      <c r="Y115" s="1071" t="s">
        <v>7109</v>
      </c>
      <c r="Z115" s="923"/>
      <c r="AA115" s="923" t="str">
        <f ca="1">H13</f>
        <v>Épaisse toison</v>
      </c>
      <c r="AB115" s="923"/>
      <c r="AC115" s="923"/>
      <c r="AD115" s="923"/>
      <c r="AE115" s="923"/>
      <c r="AF115" s="923"/>
      <c r="AG115" s="923"/>
      <c r="AH115" s="923"/>
      <c r="AI115" s="923"/>
      <c r="AJ115" s="923"/>
      <c r="AK115" s="923"/>
      <c r="AL115" s="923"/>
      <c r="AM115" s="923"/>
      <c r="AN115" s="923"/>
      <c r="AO115" s="923"/>
      <c r="AP115" s="923"/>
      <c r="AQ115" s="923"/>
      <c r="AR115" s="923"/>
      <c r="AS115" s="923"/>
      <c r="AT115" s="923"/>
      <c r="AU115" s="923"/>
      <c r="AV115" s="924"/>
      <c r="AW115" s="923"/>
      <c r="AX115" s="923"/>
      <c r="AY115" s="923"/>
      <c r="AZ115" s="923"/>
      <c r="BA115" s="923"/>
      <c r="BB115" s="923"/>
      <c r="BC115" s="923"/>
      <c r="BD115" s="923"/>
      <c r="BF115" s="923"/>
      <c r="BG115" s="923"/>
      <c r="BH115" s="923"/>
      <c r="BI115" s="923"/>
      <c r="BJ115" s="923"/>
      <c r="BK115" s="923"/>
      <c r="BL115" s="923"/>
      <c r="BM115" s="923"/>
      <c r="BN115" s="923"/>
      <c r="BO115" s="923"/>
      <c r="BP115" s="923"/>
      <c r="BQ115" s="923"/>
      <c r="BR115" s="923"/>
      <c r="BS115" s="923"/>
      <c r="BT115" s="923"/>
      <c r="BU115" s="923"/>
      <c r="BV115" s="923"/>
      <c r="BW115" s="923"/>
      <c r="BX115" s="923"/>
      <c r="BY115" s="923"/>
      <c r="BZ115" s="923"/>
      <c r="CA115" s="923"/>
      <c r="CB115" s="923"/>
      <c r="CC115" s="923"/>
      <c r="CD115" s="923"/>
      <c r="CE115" s="923"/>
      <c r="CF115" s="923"/>
      <c r="CG115" s="923"/>
      <c r="CH115" s="923"/>
      <c r="CI115" s="923"/>
      <c r="CJ115" s="923"/>
      <c r="CK115" s="923"/>
      <c r="CL115" s="923"/>
      <c r="CM115" s="923"/>
      <c r="CN115" s="923"/>
      <c r="CO115" s="923"/>
      <c r="CP115" s="923"/>
      <c r="CQ115" s="923"/>
      <c r="CR115" s="923"/>
      <c r="CS115" s="923"/>
      <c r="CT115" s="923"/>
      <c r="CU115" s="923"/>
      <c r="CV115" s="923"/>
      <c r="CW115" s="923"/>
      <c r="CX115" s="923"/>
      <c r="CY115" s="923"/>
      <c r="CZ115" s="923"/>
      <c r="DA115" s="923"/>
      <c r="DB115" s="923"/>
      <c r="DC115" s="923"/>
      <c r="DD115" s="923"/>
      <c r="DE115" s="923"/>
      <c r="DF115" s="923"/>
      <c r="DG115" s="923"/>
      <c r="DH115" s="923"/>
      <c r="DI115" s="923"/>
      <c r="DJ115" s="923"/>
      <c r="DK115" s="923"/>
      <c r="DL115" s="923"/>
      <c r="DM115" s="923"/>
      <c r="DN115" s="923"/>
      <c r="DO115" s="923"/>
      <c r="DP115" s="923"/>
      <c r="DQ115" s="923"/>
      <c r="DR115" s="923"/>
      <c r="DS115" s="923"/>
      <c r="DT115" s="923"/>
      <c r="DU115" s="923"/>
      <c r="DV115" s="923"/>
      <c r="DW115" s="923"/>
      <c r="DX115" s="923"/>
      <c r="DY115" s="923"/>
      <c r="DZ115" s="923"/>
      <c r="EA115" s="923"/>
      <c r="EB115" s="923"/>
      <c r="EC115" s="923"/>
      <c r="ED115" s="923"/>
      <c r="EE115" s="923"/>
      <c r="EF115" s="923"/>
      <c r="EG115" s="923"/>
      <c r="EH115" s="923"/>
      <c r="EI115" s="923"/>
      <c r="EJ115" s="923"/>
      <c r="EK115" s="923"/>
      <c r="EL115" s="923"/>
      <c r="EM115" s="923"/>
      <c r="ES115" s="970" t="s">
        <v>2182</v>
      </c>
      <c r="ET115" s="971">
        <v>580</v>
      </c>
      <c r="EU115" s="972" t="s">
        <v>4729</v>
      </c>
      <c r="EV115" s="973">
        <v>1</v>
      </c>
      <c r="EW115" s="972" t="s">
        <v>1423</v>
      </c>
      <c r="EX115" s="973">
        <v>2</v>
      </c>
      <c r="EY115" s="972" t="s">
        <v>4761</v>
      </c>
      <c r="EZ115" s="973">
        <v>2</v>
      </c>
      <c r="FA115" s="980" t="s">
        <v>4731</v>
      </c>
      <c r="FB115" s="973">
        <v>2</v>
      </c>
      <c r="FC115" s="980" t="s">
        <v>4822</v>
      </c>
      <c r="FD115" s="973">
        <v>2</v>
      </c>
      <c r="FE115" s="980" t="s">
        <v>4728</v>
      </c>
    </row>
    <row r="116" spans="1:161" ht="12" customHeight="1" thickBot="1">
      <c r="A116" s="922"/>
      <c r="B116" s="951">
        <v>115</v>
      </c>
      <c r="C116" s="1014" t="s">
        <v>5105</v>
      </c>
      <c r="D116" s="804">
        <f>eend</f>
        <v>40</v>
      </c>
      <c r="E116" s="924"/>
      <c r="F116" s="924"/>
      <c r="G116" s="925"/>
      <c r="H116" s="925"/>
      <c r="I116" s="925"/>
      <c r="J116" s="925"/>
      <c r="K116" s="923"/>
      <c r="L116" s="1071" t="s">
        <v>1549</v>
      </c>
      <c r="O116" s="923"/>
      <c r="P116" s="923"/>
      <c r="Q116" s="923"/>
      <c r="R116" s="923"/>
      <c r="S116" s="923"/>
      <c r="T116" s="923"/>
      <c r="U116" s="925"/>
      <c r="V116" s="1446">
        <f t="shared" ca="1" si="14"/>
        <v>7</v>
      </c>
      <c r="W116" s="1447">
        <f t="shared" ca="1" si="14"/>
        <v>2</v>
      </c>
      <c r="X116" s="923"/>
      <c r="Y116" s="1071" t="s">
        <v>1325</v>
      </c>
      <c r="Z116" s="923"/>
      <c r="AA116" s="923" t="str">
        <f ca="1">G14</f>
        <v>Noisette</v>
      </c>
      <c r="AB116" s="923"/>
      <c r="AC116" s="923"/>
      <c r="AD116" s="923"/>
      <c r="AE116" s="923"/>
      <c r="AF116" s="923"/>
      <c r="AG116" s="923"/>
      <c r="AH116" s="923"/>
      <c r="AI116" s="923"/>
      <c r="AJ116" s="923"/>
      <c r="AK116" s="923"/>
      <c r="AL116" s="923"/>
      <c r="AM116" s="923"/>
      <c r="AN116" s="923"/>
      <c r="AO116" s="923"/>
      <c r="AP116" s="923"/>
      <c r="AQ116" s="923"/>
      <c r="AR116" s="923"/>
      <c r="AS116" s="923"/>
      <c r="AT116" s="923"/>
      <c r="AU116" s="923"/>
      <c r="AV116" s="924"/>
      <c r="AW116" s="923"/>
      <c r="AX116" s="923"/>
      <c r="AY116" s="923"/>
      <c r="AZ116" s="923"/>
      <c r="BA116" s="923"/>
      <c r="BB116" s="923"/>
      <c r="BC116" s="923"/>
      <c r="BD116" s="923"/>
      <c r="BF116" s="923"/>
      <c r="BG116" s="923"/>
      <c r="BH116" s="923"/>
      <c r="BI116" s="923"/>
      <c r="BJ116" s="923"/>
      <c r="BK116" s="923"/>
      <c r="BL116" s="923"/>
      <c r="BM116" s="923"/>
      <c r="BN116" s="923"/>
      <c r="BO116" s="923"/>
      <c r="BP116" s="923"/>
      <c r="BQ116" s="923"/>
      <c r="BR116" s="923"/>
      <c r="BS116" s="923"/>
      <c r="BT116" s="923"/>
      <c r="BU116" s="923"/>
      <c r="BV116" s="923"/>
      <c r="BW116" s="923"/>
      <c r="BX116" s="923"/>
      <c r="BY116" s="923"/>
      <c r="BZ116" s="923"/>
      <c r="CA116" s="923"/>
      <c r="CB116" s="923"/>
      <c r="CC116" s="923"/>
      <c r="CD116" s="923"/>
      <c r="CE116" s="923"/>
      <c r="CF116" s="923"/>
      <c r="CG116" s="923"/>
      <c r="CH116" s="923"/>
      <c r="CI116" s="923"/>
      <c r="CJ116" s="923"/>
      <c r="CK116" s="923"/>
      <c r="CL116" s="923"/>
      <c r="CM116" s="923"/>
      <c r="CN116" s="923"/>
      <c r="CO116" s="923"/>
      <c r="CP116" s="923"/>
      <c r="CQ116" s="923"/>
      <c r="CR116" s="923"/>
      <c r="CS116" s="923"/>
      <c r="CT116" s="923"/>
      <c r="CU116" s="923"/>
      <c r="CV116" s="923"/>
      <c r="CW116" s="923"/>
      <c r="CX116" s="923"/>
      <c r="CY116" s="923"/>
      <c r="CZ116" s="923"/>
      <c r="DA116" s="923"/>
      <c r="DB116" s="923"/>
      <c r="DC116" s="923"/>
      <c r="DD116" s="923"/>
      <c r="DE116" s="923"/>
      <c r="DF116" s="923"/>
      <c r="DG116" s="923"/>
      <c r="DH116" s="923"/>
      <c r="DI116" s="923"/>
      <c r="DJ116" s="923"/>
      <c r="DK116" s="923"/>
      <c r="DL116" s="923"/>
      <c r="DM116" s="923"/>
      <c r="DN116" s="923"/>
      <c r="DO116" s="923"/>
      <c r="DP116" s="923"/>
      <c r="DQ116" s="923"/>
      <c r="DR116" s="923"/>
      <c r="DS116" s="923"/>
      <c r="DT116" s="923"/>
      <c r="DU116" s="923"/>
      <c r="DV116" s="923"/>
      <c r="DW116" s="923"/>
      <c r="DX116" s="923"/>
      <c r="DY116" s="923"/>
      <c r="DZ116" s="923"/>
      <c r="EA116" s="923"/>
      <c r="EB116" s="923"/>
      <c r="EC116" s="923"/>
      <c r="ED116" s="923"/>
      <c r="EE116" s="923"/>
      <c r="EF116" s="923"/>
      <c r="EG116" s="923"/>
      <c r="EH116" s="923"/>
      <c r="EI116" s="923"/>
      <c r="EJ116" s="923"/>
      <c r="EK116" s="923"/>
      <c r="EL116" s="923"/>
      <c r="EM116" s="923"/>
      <c r="ES116" s="970" t="s">
        <v>4827</v>
      </c>
      <c r="ET116" s="971">
        <v>330</v>
      </c>
      <c r="EU116" s="972" t="s">
        <v>4721</v>
      </c>
      <c r="EV116" s="973">
        <v>3</v>
      </c>
      <c r="EW116" s="972" t="s">
        <v>94</v>
      </c>
      <c r="EX116" s="973">
        <v>3</v>
      </c>
      <c r="EY116" s="972" t="s">
        <v>1526</v>
      </c>
      <c r="EZ116" s="973">
        <v>3</v>
      </c>
      <c r="FA116" s="972" t="s">
        <v>4774</v>
      </c>
      <c r="FB116" s="973">
        <v>3</v>
      </c>
      <c r="FC116" s="972" t="s">
        <v>4828</v>
      </c>
      <c r="FD116" s="973">
        <v>3</v>
      </c>
      <c r="FE116" s="972" t="s">
        <v>4732</v>
      </c>
    </row>
    <row r="117" spans="1:161" ht="15" customHeight="1" thickBot="1">
      <c r="A117" s="922"/>
      <c r="B117" s="982">
        <v>116</v>
      </c>
      <c r="C117" s="1013" t="s">
        <v>5112</v>
      </c>
      <c r="D117" s="804">
        <f>ddex</f>
        <v>24</v>
      </c>
      <c r="E117" s="924"/>
      <c r="F117" s="924"/>
      <c r="G117" s="924"/>
      <c r="H117" s="925"/>
      <c r="I117" s="925"/>
      <c r="J117" s="925"/>
      <c r="K117" s="923"/>
      <c r="L117" s="1008" t="str">
        <f ca="1">"Père __________________("&amp;persoNSpere&amp;"-"&amp;H26&amp;"-BM"&amp;persoBMpere&amp;"), âgé de "&amp;H29&amp;" ans, "&amp;H31</f>
        <v>Père __________________(0-Mendiant -BM20), âgé de 43 ans, vivant</v>
      </c>
      <c r="M117" s="1084"/>
      <c r="N117" s="1084"/>
      <c r="O117" s="1121"/>
      <c r="P117" s="1121"/>
      <c r="Q117" s="1121"/>
      <c r="R117" s="1121"/>
      <c r="S117" s="1121"/>
      <c r="T117" s="1121"/>
      <c r="U117" s="1444"/>
      <c r="V117" s="1446">
        <f t="shared" ca="1" si="14"/>
        <v>5</v>
      </c>
      <c r="W117" s="1447">
        <f t="shared" ca="1" si="14"/>
        <v>4</v>
      </c>
      <c r="X117" s="923"/>
      <c r="Y117" s="1071" t="s">
        <v>4611</v>
      </c>
      <c r="Z117" s="923"/>
      <c r="AA117" s="923">
        <f ca="1">I15</f>
        <v>0</v>
      </c>
      <c r="AB117" s="923">
        <f ca="1">H15</f>
        <v>0</v>
      </c>
      <c r="AC117" s="923"/>
      <c r="AD117" s="923"/>
      <c r="AE117" s="923"/>
      <c r="AF117" s="923"/>
      <c r="AG117" s="923"/>
      <c r="AH117" s="923"/>
      <c r="AI117" s="923"/>
      <c r="AJ117" s="923"/>
      <c r="AK117" s="923"/>
      <c r="AL117" s="923"/>
      <c r="AM117" s="923"/>
      <c r="AN117" s="923"/>
      <c r="AO117" s="923"/>
      <c r="AP117" s="923"/>
      <c r="AQ117" s="923"/>
      <c r="AR117" s="923"/>
      <c r="AS117" s="923"/>
      <c r="AT117" s="923"/>
      <c r="AU117" s="923"/>
      <c r="AV117" s="924"/>
      <c r="AW117" s="923"/>
      <c r="AX117" s="923"/>
      <c r="AY117" s="923"/>
      <c r="AZ117" s="923"/>
      <c r="BA117" s="923"/>
      <c r="BB117" s="923"/>
      <c r="BC117" s="923"/>
      <c r="BD117" s="923"/>
      <c r="BF117" s="923"/>
      <c r="BG117" s="923"/>
      <c r="BH117" s="923"/>
      <c r="BI117" s="923"/>
      <c r="BJ117" s="923"/>
      <c r="BK117" s="923"/>
      <c r="BL117" s="923"/>
      <c r="BM117" s="923"/>
      <c r="BN117" s="923"/>
      <c r="BO117" s="923"/>
      <c r="BP117" s="923"/>
      <c r="BQ117" s="923"/>
      <c r="BR117" s="923"/>
      <c r="BS117" s="923"/>
      <c r="BT117" s="923"/>
      <c r="BU117" s="923"/>
      <c r="BV117" s="923"/>
      <c r="BW117" s="923"/>
      <c r="BX117" s="923"/>
      <c r="BY117" s="923"/>
      <c r="BZ117" s="923"/>
      <c r="CA117" s="923"/>
      <c r="CB117" s="923"/>
      <c r="CC117" s="923"/>
      <c r="CD117" s="923"/>
      <c r="CE117" s="923"/>
      <c r="CF117" s="923"/>
      <c r="CG117" s="923"/>
      <c r="CH117" s="923"/>
      <c r="CI117" s="923"/>
      <c r="CJ117" s="923"/>
      <c r="CK117" s="923"/>
      <c r="CL117" s="923"/>
      <c r="CM117" s="923"/>
      <c r="CN117" s="923"/>
      <c r="CO117" s="923"/>
      <c r="CP117" s="923"/>
      <c r="CQ117" s="923"/>
      <c r="CR117" s="923"/>
      <c r="CS117" s="923"/>
      <c r="CT117" s="923"/>
      <c r="CU117" s="923"/>
      <c r="CV117" s="923"/>
      <c r="CW117" s="923"/>
      <c r="CX117" s="923"/>
      <c r="CY117" s="923"/>
      <c r="CZ117" s="923"/>
      <c r="DA117" s="923"/>
      <c r="DB117" s="923"/>
      <c r="DC117" s="923"/>
      <c r="DD117" s="923"/>
      <c r="DE117" s="923"/>
      <c r="DF117" s="923"/>
      <c r="DG117" s="923"/>
      <c r="DH117" s="923"/>
      <c r="DI117" s="923"/>
      <c r="DJ117" s="923"/>
      <c r="DK117" s="923"/>
      <c r="DL117" s="923"/>
      <c r="DM117" s="923"/>
      <c r="DN117" s="923"/>
      <c r="DO117" s="923"/>
      <c r="DP117" s="923"/>
      <c r="DQ117" s="923"/>
      <c r="DR117" s="923"/>
      <c r="DS117" s="923"/>
      <c r="DT117" s="923"/>
      <c r="DU117" s="923"/>
      <c r="DV117" s="923"/>
      <c r="DW117" s="923"/>
      <c r="DX117" s="923"/>
      <c r="DY117" s="923"/>
      <c r="DZ117" s="923"/>
      <c r="EA117" s="923"/>
      <c r="EB117" s="923"/>
      <c r="EC117" s="923"/>
      <c r="ED117" s="923"/>
      <c r="EE117" s="923"/>
      <c r="EF117" s="923"/>
      <c r="EG117" s="923"/>
      <c r="EH117" s="923"/>
      <c r="EI117" s="923"/>
      <c r="EJ117" s="923"/>
      <c r="EK117" s="923"/>
      <c r="EL117" s="923"/>
      <c r="EM117" s="923"/>
      <c r="ES117" s="970" t="s">
        <v>4829</v>
      </c>
      <c r="ET117" s="971">
        <v>200</v>
      </c>
      <c r="EU117" s="972" t="s">
        <v>4384</v>
      </c>
      <c r="EV117" s="973">
        <v>2</v>
      </c>
      <c r="EW117" s="972" t="s">
        <v>4752</v>
      </c>
      <c r="EX117" s="973">
        <v>2</v>
      </c>
      <c r="EY117" s="972" t="s">
        <v>4700</v>
      </c>
      <c r="EZ117" s="973">
        <v>2</v>
      </c>
      <c r="FA117" s="972" t="s">
        <v>4746</v>
      </c>
      <c r="FB117" s="973">
        <v>2</v>
      </c>
      <c r="FC117" s="972" t="s">
        <v>280</v>
      </c>
      <c r="FD117" s="973">
        <v>2</v>
      </c>
      <c r="FE117" s="972" t="s">
        <v>4830</v>
      </c>
    </row>
    <row r="118" spans="1:161" ht="12" customHeight="1" thickBot="1">
      <c r="A118" s="922"/>
      <c r="B118" s="951">
        <v>117</v>
      </c>
      <c r="C118" s="1014" t="s">
        <v>5110</v>
      </c>
      <c r="D118" s="804">
        <f>ddex</f>
        <v>24</v>
      </c>
      <c r="E118" s="924"/>
      <c r="F118" s="924"/>
      <c r="G118" s="925"/>
      <c r="H118" s="925"/>
      <c r="I118" s="925"/>
      <c r="J118" s="925"/>
      <c r="K118" s="923"/>
      <c r="L118" s="928" t="str">
        <f ca="1">"Mère______________, âgée de"&amp;H30&amp;", "&amp;I31</f>
        <v>Mère______________, âgée de47, vivante</v>
      </c>
      <c r="O118" s="923"/>
      <c r="P118" s="923"/>
      <c r="Q118" s="923"/>
      <c r="R118" s="923"/>
      <c r="S118" s="923"/>
      <c r="T118" s="923"/>
      <c r="U118" s="1445"/>
      <c r="V118" s="1446">
        <f t="shared" ref="V118:W123" ca="1" si="16">RANDBETWEEN(1,10)-1</f>
        <v>1</v>
      </c>
      <c r="W118" s="1447">
        <f t="shared" ca="1" si="16"/>
        <v>8</v>
      </c>
      <c r="X118" s="923"/>
      <c r="Y118" s="1071" t="s">
        <v>4618</v>
      </c>
      <c r="Z118" s="923"/>
      <c r="AA118" s="923" t="str">
        <f ca="1">H16</f>
        <v>Aucun, cou Ap+d3-d3</v>
      </c>
      <c r="AB118" s="923"/>
      <c r="AC118" s="923"/>
      <c r="AD118" s="923"/>
      <c r="AE118" s="923"/>
      <c r="AF118" s="923"/>
      <c r="AG118" s="923"/>
      <c r="AH118" s="923"/>
      <c r="AI118" s="923"/>
      <c r="AJ118" s="923"/>
      <c r="AK118" s="923"/>
      <c r="AL118" s="923"/>
      <c r="AM118" s="923"/>
      <c r="AN118" s="923"/>
      <c r="AO118" s="923"/>
      <c r="AP118" s="923"/>
      <c r="AQ118" s="923"/>
      <c r="AR118" s="923"/>
      <c r="AS118" s="923"/>
      <c r="AT118" s="923"/>
      <c r="AU118" s="923"/>
      <c r="AV118" s="924"/>
      <c r="AW118" s="923"/>
      <c r="AX118" s="923"/>
      <c r="AY118" s="923"/>
      <c r="AZ118" s="923"/>
      <c r="BA118" s="923"/>
      <c r="BB118" s="923"/>
      <c r="BC118" s="923"/>
      <c r="BD118" s="923"/>
      <c r="BE118" s="923"/>
      <c r="BF118" s="923"/>
      <c r="BG118" s="923"/>
      <c r="BH118" s="923"/>
      <c r="BI118" s="923"/>
      <c r="BJ118" s="923"/>
      <c r="BK118" s="923"/>
      <c r="BL118" s="923"/>
      <c r="BM118" s="923"/>
      <c r="BN118" s="923"/>
      <c r="BO118" s="923"/>
      <c r="BP118" s="923"/>
      <c r="BQ118" s="923"/>
      <c r="BR118" s="923"/>
      <c r="BS118" s="923"/>
      <c r="BT118" s="923"/>
      <c r="BU118" s="923"/>
      <c r="BV118" s="923"/>
      <c r="BW118" s="923"/>
      <c r="BX118" s="923"/>
      <c r="BY118" s="923"/>
      <c r="BZ118" s="923"/>
      <c r="CA118" s="923"/>
      <c r="CB118" s="923"/>
      <c r="CC118" s="923"/>
      <c r="CD118" s="923"/>
      <c r="CE118" s="923"/>
      <c r="CF118" s="923"/>
      <c r="CG118" s="923"/>
      <c r="CH118" s="923"/>
      <c r="CI118" s="923"/>
      <c r="CJ118" s="923"/>
      <c r="CK118" s="923"/>
      <c r="CL118" s="923"/>
      <c r="CM118" s="923"/>
      <c r="CN118" s="923"/>
      <c r="CO118" s="923"/>
      <c r="CP118" s="923"/>
      <c r="CQ118" s="923"/>
      <c r="CR118" s="923"/>
      <c r="CS118" s="923"/>
      <c r="CT118" s="923"/>
      <c r="CU118" s="923"/>
      <c r="CV118" s="923"/>
      <c r="CW118" s="923"/>
      <c r="CX118" s="923"/>
      <c r="CY118" s="923"/>
      <c r="CZ118" s="923"/>
      <c r="DA118" s="923"/>
      <c r="DB118" s="923"/>
      <c r="DC118" s="923"/>
      <c r="DD118" s="923"/>
      <c r="DE118" s="923"/>
      <c r="DF118" s="923"/>
      <c r="DG118" s="923"/>
      <c r="DH118" s="923"/>
      <c r="DI118" s="923"/>
      <c r="DJ118" s="923"/>
      <c r="DK118" s="923"/>
      <c r="DL118" s="923"/>
      <c r="DM118" s="923"/>
      <c r="DN118" s="923"/>
      <c r="DO118" s="923"/>
      <c r="DP118" s="923"/>
      <c r="DQ118" s="923"/>
      <c r="DR118" s="923"/>
      <c r="DS118" s="923"/>
      <c r="DT118" s="923"/>
      <c r="DU118" s="923"/>
      <c r="DV118" s="923"/>
      <c r="DW118" s="923"/>
      <c r="DX118" s="923"/>
      <c r="DY118" s="923"/>
      <c r="DZ118" s="923"/>
      <c r="EA118" s="923"/>
      <c r="EB118" s="923"/>
      <c r="EC118" s="923"/>
      <c r="ED118" s="923"/>
      <c r="EE118" s="923"/>
      <c r="EF118" s="923"/>
      <c r="EG118" s="923"/>
      <c r="EH118" s="923"/>
      <c r="EI118" s="923"/>
      <c r="EJ118" s="923"/>
      <c r="EK118" s="923"/>
      <c r="EL118" s="923"/>
      <c r="EM118" s="923"/>
      <c r="ES118" s="970" t="s">
        <v>1295</v>
      </c>
      <c r="ET118" s="971">
        <v>480</v>
      </c>
      <c r="EU118" s="972" t="s">
        <v>4761</v>
      </c>
      <c r="EV118" s="973">
        <v>2</v>
      </c>
      <c r="EW118" s="972" t="s">
        <v>901</v>
      </c>
      <c r="EX118" s="973">
        <v>2</v>
      </c>
      <c r="EY118" s="980" t="s">
        <v>4720</v>
      </c>
      <c r="EZ118" s="973">
        <v>2</v>
      </c>
      <c r="FA118" s="980" t="s">
        <v>4720</v>
      </c>
      <c r="FB118" s="973">
        <v>2</v>
      </c>
      <c r="FC118" s="972" t="s">
        <v>4764</v>
      </c>
      <c r="FD118" s="973">
        <v>2</v>
      </c>
      <c r="FE118" s="980" t="s">
        <v>4720</v>
      </c>
    </row>
    <row r="119" spans="1:161" ht="12" customHeight="1" thickBot="1">
      <c r="A119" s="922"/>
      <c r="B119" s="982">
        <v>118</v>
      </c>
      <c r="C119" s="1013" t="s">
        <v>5116</v>
      </c>
      <c r="D119" s="804">
        <f>aagi</f>
        <v>21</v>
      </c>
      <c r="E119" s="924"/>
      <c r="F119" s="924"/>
      <c r="G119" s="924"/>
      <c r="H119" s="925"/>
      <c r="I119" s="925"/>
      <c r="J119" s="925"/>
      <c r="K119" s="923"/>
      <c r="L119" s="928" t="str">
        <f ca="1">"Fraterie: "&amp;persoFreSoe&amp;" frères et sœurs"</f>
        <v>Fraterie: 9 frères et sœurs</v>
      </c>
      <c r="O119" s="923"/>
      <c r="P119" s="923"/>
      <c r="Q119" s="923"/>
      <c r="R119" s="923"/>
      <c r="S119" s="923"/>
      <c r="T119" s="923"/>
      <c r="U119" s="1445"/>
      <c r="V119" s="1446">
        <f t="shared" ca="1" si="16"/>
        <v>8</v>
      </c>
      <c r="W119" s="1447">
        <f t="shared" ca="1" si="16"/>
        <v>3</v>
      </c>
      <c r="X119" s="923"/>
      <c r="Y119" s="1071"/>
      <c r="Z119" s="923"/>
      <c r="AA119" s="923"/>
      <c r="AB119" s="923"/>
      <c r="AC119" s="923"/>
      <c r="AD119" s="923"/>
      <c r="AE119" s="923"/>
      <c r="AF119" s="923"/>
      <c r="AG119" s="923"/>
      <c r="AH119" s="923"/>
      <c r="AI119" s="923"/>
      <c r="AJ119" s="923"/>
      <c r="AK119" s="923"/>
      <c r="AL119" s="923"/>
      <c r="AM119" s="923"/>
      <c r="AN119" s="923"/>
      <c r="AO119" s="923"/>
      <c r="AP119" s="923"/>
      <c r="AQ119" s="923"/>
      <c r="AR119" s="923"/>
      <c r="AS119" s="923"/>
      <c r="AT119" s="923"/>
      <c r="AU119" s="923"/>
      <c r="AV119" s="924"/>
      <c r="AW119" s="923"/>
      <c r="AX119" s="923"/>
      <c r="AY119" s="923"/>
      <c r="AZ119" s="923"/>
      <c r="BA119" s="923"/>
      <c r="BB119" s="923"/>
      <c r="BC119" s="923"/>
      <c r="BD119" s="923"/>
      <c r="BE119" s="923"/>
      <c r="BF119" s="923"/>
      <c r="BG119" s="923"/>
      <c r="BH119" s="923"/>
      <c r="BI119" s="923"/>
      <c r="BJ119" s="923"/>
      <c r="BK119" s="923"/>
      <c r="BL119" s="923"/>
      <c r="BM119" s="923"/>
      <c r="BN119" s="923"/>
      <c r="BO119" s="923"/>
      <c r="BP119" s="923"/>
      <c r="BQ119" s="923"/>
      <c r="BR119" s="923"/>
      <c r="BS119" s="923"/>
      <c r="BT119" s="923"/>
      <c r="BU119" s="923"/>
      <c r="BV119" s="923"/>
      <c r="BW119" s="923"/>
      <c r="BX119" s="923"/>
      <c r="BY119" s="923"/>
      <c r="BZ119" s="923"/>
      <c r="CA119" s="923"/>
      <c r="CB119" s="923"/>
      <c r="CC119" s="923"/>
      <c r="CD119" s="923"/>
      <c r="CE119" s="923"/>
      <c r="CF119" s="923"/>
      <c r="CG119" s="923"/>
      <c r="CH119" s="923"/>
      <c r="CI119" s="923"/>
      <c r="CJ119" s="923"/>
      <c r="CK119" s="923"/>
      <c r="CL119" s="923"/>
      <c r="CM119" s="923"/>
      <c r="CN119" s="923"/>
      <c r="CO119" s="923"/>
      <c r="CP119" s="923"/>
      <c r="CQ119" s="923"/>
      <c r="CR119" s="923"/>
      <c r="CS119" s="923"/>
      <c r="CT119" s="923"/>
      <c r="CU119" s="923"/>
      <c r="CV119" s="923"/>
      <c r="CW119" s="923"/>
      <c r="CX119" s="923"/>
      <c r="CY119" s="923"/>
      <c r="CZ119" s="923"/>
      <c r="DA119" s="923"/>
      <c r="DB119" s="923"/>
      <c r="DC119" s="923"/>
      <c r="DD119" s="923"/>
      <c r="DE119" s="923"/>
      <c r="DF119" s="923"/>
      <c r="DG119" s="923"/>
      <c r="DH119" s="923"/>
      <c r="DI119" s="923"/>
      <c r="DJ119" s="923"/>
      <c r="DK119" s="923"/>
      <c r="DL119" s="923"/>
      <c r="DM119" s="923"/>
      <c r="DN119" s="923"/>
      <c r="DO119" s="923"/>
      <c r="DP119" s="923"/>
      <c r="DQ119" s="923"/>
      <c r="DR119" s="923"/>
      <c r="DS119" s="923"/>
      <c r="DT119" s="923"/>
      <c r="DU119" s="923"/>
      <c r="DV119" s="923"/>
      <c r="DW119" s="923"/>
      <c r="DX119" s="923"/>
      <c r="DY119" s="923"/>
      <c r="DZ119" s="923"/>
      <c r="EA119" s="923"/>
      <c r="EB119" s="923"/>
      <c r="EC119" s="923"/>
      <c r="ED119" s="923"/>
      <c r="EE119" s="923"/>
      <c r="EF119" s="923"/>
      <c r="EG119" s="923"/>
      <c r="EH119" s="923"/>
      <c r="EI119" s="923"/>
      <c r="EJ119" s="923"/>
      <c r="EK119" s="923"/>
      <c r="EL119" s="923"/>
      <c r="EM119" s="923"/>
      <c r="ES119" s="970" t="s">
        <v>4831</v>
      </c>
      <c r="ET119" s="971">
        <v>390</v>
      </c>
      <c r="EU119" s="972" t="s">
        <v>4695</v>
      </c>
      <c r="EV119" s="973">
        <v>3</v>
      </c>
      <c r="EW119" s="972" t="s">
        <v>4691</v>
      </c>
      <c r="EX119" s="973">
        <v>2</v>
      </c>
      <c r="EY119" s="972" t="s">
        <v>2016</v>
      </c>
      <c r="EZ119" s="973">
        <v>3</v>
      </c>
      <c r="FA119" s="972" t="s">
        <v>1022</v>
      </c>
      <c r="FB119" s="973">
        <v>2</v>
      </c>
      <c r="FC119" s="972" t="s">
        <v>4681</v>
      </c>
      <c r="FD119" s="973">
        <v>2</v>
      </c>
      <c r="FE119" s="972" t="s">
        <v>1045</v>
      </c>
    </row>
    <row r="120" spans="1:161" ht="12" customHeight="1" thickBot="1">
      <c r="A120" s="922"/>
      <c r="B120" s="951">
        <v>119</v>
      </c>
      <c r="C120" s="1014" t="s">
        <v>5103</v>
      </c>
      <c r="D120" s="804">
        <f>aagi</f>
        <v>21</v>
      </c>
      <c r="E120" s="924"/>
      <c r="F120" s="924"/>
      <c r="G120" s="925"/>
      <c r="H120" s="925"/>
      <c r="I120" s="925"/>
      <c r="J120" s="925"/>
      <c r="K120" s="923"/>
      <c r="L120" s="1094" t="str">
        <f ca="1">"Marié ? "&amp;D35</f>
        <v>Marié ? non</v>
      </c>
      <c r="O120" s="923"/>
      <c r="P120" s="923"/>
      <c r="Q120" s="923"/>
      <c r="R120" s="923"/>
      <c r="S120" s="923"/>
      <c r="T120" s="923"/>
      <c r="U120" s="1445"/>
      <c r="V120" s="1446">
        <f t="shared" ca="1" si="16"/>
        <v>2</v>
      </c>
      <c r="W120" s="1447">
        <f t="shared" ca="1" si="16"/>
        <v>8</v>
      </c>
      <c r="X120" s="923"/>
      <c r="Y120" s="1071"/>
      <c r="Z120" s="923"/>
      <c r="AA120" s="923"/>
      <c r="AB120" s="923"/>
      <c r="AC120" s="923"/>
      <c r="AD120" s="923"/>
      <c r="AE120" s="923"/>
      <c r="AF120" s="923"/>
      <c r="AG120" s="923"/>
      <c r="AH120" s="923"/>
      <c r="AI120" s="923"/>
      <c r="AJ120" s="923"/>
      <c r="AK120" s="923"/>
      <c r="AL120" s="923"/>
      <c r="AM120" s="923"/>
      <c r="AN120" s="923"/>
      <c r="AO120" s="923"/>
      <c r="AP120" s="923"/>
      <c r="AQ120" s="923"/>
      <c r="AR120" s="923"/>
      <c r="AS120" s="923"/>
      <c r="AT120" s="923"/>
      <c r="AU120" s="923"/>
      <c r="AV120" s="924"/>
      <c r="AW120" s="923"/>
      <c r="AX120" s="923"/>
      <c r="AY120" s="923"/>
      <c r="AZ120" s="923"/>
      <c r="BA120" s="923"/>
      <c r="BB120" s="923"/>
      <c r="BC120" s="923"/>
      <c r="BD120" s="923"/>
      <c r="BE120" s="923"/>
      <c r="BF120" s="923"/>
      <c r="BG120" s="923"/>
      <c r="BH120" s="923"/>
      <c r="BI120" s="923"/>
      <c r="BJ120" s="923"/>
      <c r="BK120" s="923"/>
      <c r="BL120" s="923"/>
      <c r="BM120" s="923"/>
      <c r="BN120" s="923"/>
      <c r="BO120" s="923"/>
      <c r="BP120" s="923"/>
      <c r="BQ120" s="923"/>
      <c r="BR120" s="923"/>
      <c r="BS120" s="923"/>
      <c r="BT120" s="923"/>
      <c r="BU120" s="923"/>
      <c r="BV120" s="923"/>
      <c r="BW120" s="923"/>
      <c r="BX120" s="923"/>
      <c r="BY120" s="923"/>
      <c r="BZ120" s="923"/>
      <c r="CA120" s="923"/>
      <c r="CB120" s="923"/>
      <c r="CC120" s="923"/>
      <c r="CD120" s="923"/>
      <c r="CE120" s="923"/>
      <c r="CF120" s="923"/>
      <c r="CG120" s="923"/>
      <c r="CH120" s="923"/>
      <c r="CI120" s="923"/>
      <c r="CJ120" s="923"/>
      <c r="CK120" s="923"/>
      <c r="CL120" s="923"/>
      <c r="CM120" s="923"/>
      <c r="CN120" s="923"/>
      <c r="CO120" s="923"/>
      <c r="CP120" s="923"/>
      <c r="CQ120" s="923"/>
      <c r="CR120" s="923"/>
      <c r="CS120" s="923"/>
      <c r="CT120" s="923"/>
      <c r="CU120" s="923"/>
      <c r="CV120" s="923"/>
      <c r="CW120" s="923"/>
      <c r="CX120" s="923"/>
      <c r="CY120" s="923"/>
      <c r="CZ120" s="923"/>
      <c r="DA120" s="923"/>
      <c r="DB120" s="923"/>
      <c r="DC120" s="923"/>
      <c r="DD120" s="923"/>
      <c r="DE120" s="923"/>
      <c r="DF120" s="923"/>
      <c r="DG120" s="923"/>
      <c r="DH120" s="923"/>
      <c r="DI120" s="923"/>
      <c r="DJ120" s="923"/>
      <c r="DK120" s="923"/>
      <c r="DL120" s="923"/>
      <c r="DM120" s="923"/>
      <c r="DN120" s="923"/>
      <c r="DO120" s="923"/>
      <c r="DP120" s="923"/>
      <c r="DQ120" s="923"/>
      <c r="DR120" s="923"/>
      <c r="DS120" s="923"/>
      <c r="DT120" s="923"/>
      <c r="DU120" s="923"/>
      <c r="DV120" s="923"/>
      <c r="DW120" s="923"/>
      <c r="DX120" s="923"/>
      <c r="DY120" s="923"/>
      <c r="DZ120" s="923"/>
      <c r="EA120" s="923"/>
      <c r="EB120" s="923"/>
      <c r="EC120" s="923"/>
      <c r="ED120" s="923"/>
      <c r="EE120" s="923"/>
      <c r="EF120" s="923"/>
      <c r="EG120" s="923"/>
      <c r="EH120" s="923"/>
      <c r="EI120" s="923"/>
      <c r="EJ120" s="923"/>
      <c r="EK120" s="923"/>
      <c r="EL120" s="923"/>
      <c r="EM120" s="923"/>
      <c r="ES120" s="970" t="s">
        <v>1183</v>
      </c>
      <c r="ET120" s="971">
        <v>230</v>
      </c>
      <c r="EU120" s="972" t="s">
        <v>887</v>
      </c>
      <c r="EV120" s="973">
        <v>3</v>
      </c>
      <c r="EW120" s="972" t="s">
        <v>4748</v>
      </c>
      <c r="EX120" s="973">
        <v>2</v>
      </c>
      <c r="EY120" s="972" t="s">
        <v>4736</v>
      </c>
      <c r="EZ120" s="973">
        <v>2</v>
      </c>
      <c r="FA120" s="972" t="s">
        <v>4699</v>
      </c>
      <c r="FB120" s="973">
        <v>2</v>
      </c>
      <c r="FC120" s="972" t="s">
        <v>1434</v>
      </c>
      <c r="FD120" s="973">
        <v>2</v>
      </c>
      <c r="FE120" s="972" t="s">
        <v>4738</v>
      </c>
    </row>
    <row r="121" spans="1:161" ht="23.4" customHeight="1" thickBot="1">
      <c r="A121" s="922"/>
      <c r="B121" s="982">
        <v>120</v>
      </c>
      <c r="C121" s="1015" t="s">
        <v>5109</v>
      </c>
      <c r="D121" s="804">
        <f>iint</f>
        <v>7</v>
      </c>
      <c r="E121" s="924"/>
      <c r="F121" s="924"/>
      <c r="G121" s="924"/>
      <c r="H121" s="925"/>
      <c r="I121" s="925"/>
      <c r="J121" s="925"/>
      <c r="K121" s="923"/>
      <c r="L121" s="1730" t="str">
        <f ca="1">"Relation: "&amp;H36</f>
        <v>Relation: Rejeté : ignoré / attaqué par les membres du clan / de la famille(d3) : NS-5 BM-5 Foi-2</v>
      </c>
      <c r="M121" s="1729"/>
      <c r="N121" s="1729"/>
      <c r="O121" s="1729"/>
      <c r="P121" s="1729"/>
      <c r="Q121" s="1729"/>
      <c r="R121" s="1729"/>
      <c r="S121" s="1729"/>
      <c r="T121" s="1729"/>
      <c r="U121" s="1731"/>
      <c r="V121" s="1446">
        <f t="shared" ca="1" si="16"/>
        <v>2</v>
      </c>
      <c r="W121" s="1447">
        <f t="shared" ca="1" si="16"/>
        <v>1</v>
      </c>
      <c r="X121" s="923"/>
      <c r="Y121" s="1071"/>
      <c r="Z121" s="923"/>
      <c r="AA121" s="923"/>
      <c r="AB121" s="923"/>
      <c r="AC121" s="923"/>
      <c r="AD121" s="923"/>
      <c r="AE121" s="923"/>
      <c r="AF121" s="923"/>
      <c r="AG121" s="923"/>
      <c r="AH121" s="923"/>
      <c r="AI121" s="923"/>
      <c r="AJ121" s="923"/>
      <c r="AK121" s="923"/>
      <c r="AL121" s="923"/>
      <c r="AM121" s="923"/>
      <c r="AN121" s="923"/>
      <c r="AO121" s="923"/>
      <c r="AP121" s="923"/>
      <c r="AQ121" s="923"/>
      <c r="AR121" s="923"/>
      <c r="AS121" s="923"/>
      <c r="AT121" s="923"/>
      <c r="AU121" s="923"/>
      <c r="AV121" s="924"/>
      <c r="AW121" s="923"/>
      <c r="AX121" s="923"/>
      <c r="AY121" s="923"/>
      <c r="AZ121" s="923"/>
      <c r="BA121" s="923"/>
      <c r="BB121" s="923"/>
      <c r="BC121" s="923"/>
      <c r="BD121" s="923"/>
      <c r="BE121" s="923"/>
      <c r="BF121" s="923"/>
      <c r="BG121" s="923"/>
      <c r="BH121" s="923"/>
      <c r="BI121" s="923"/>
      <c r="BJ121" s="923"/>
      <c r="BK121" s="923"/>
      <c r="BL121" s="923"/>
      <c r="BM121" s="923"/>
      <c r="BN121" s="923"/>
      <c r="BO121" s="923"/>
      <c r="BP121" s="923"/>
      <c r="BQ121" s="923"/>
      <c r="BR121" s="923"/>
      <c r="BS121" s="923"/>
      <c r="BT121" s="923"/>
      <c r="BU121" s="923"/>
      <c r="BV121" s="923"/>
      <c r="BW121" s="923"/>
      <c r="BX121" s="923"/>
      <c r="BY121" s="923"/>
      <c r="BZ121" s="923"/>
      <c r="CA121" s="923"/>
      <c r="CB121" s="923"/>
      <c r="CC121" s="923"/>
      <c r="CD121" s="923"/>
      <c r="CE121" s="923"/>
      <c r="CF121" s="923"/>
      <c r="CG121" s="923"/>
      <c r="CH121" s="923"/>
      <c r="CI121" s="923"/>
      <c r="CJ121" s="923"/>
      <c r="CK121" s="923"/>
      <c r="CL121" s="923"/>
      <c r="CM121" s="923"/>
      <c r="CN121" s="923"/>
      <c r="CO121" s="923"/>
      <c r="CP121" s="923"/>
      <c r="CQ121" s="923"/>
      <c r="CR121" s="923"/>
      <c r="CS121" s="923"/>
      <c r="CT121" s="923"/>
      <c r="CU121" s="923"/>
      <c r="CV121" s="923"/>
      <c r="CW121" s="923"/>
      <c r="CX121" s="923"/>
      <c r="CY121" s="923"/>
      <c r="CZ121" s="923"/>
      <c r="DA121" s="923"/>
      <c r="DB121" s="923"/>
      <c r="DC121" s="923"/>
      <c r="DD121" s="923"/>
      <c r="DE121" s="923"/>
      <c r="DF121" s="923"/>
      <c r="DG121" s="923"/>
      <c r="DH121" s="923"/>
      <c r="DI121" s="923"/>
      <c r="DJ121" s="923"/>
      <c r="DK121" s="923"/>
      <c r="DL121" s="923"/>
      <c r="DM121" s="923"/>
      <c r="DN121" s="923"/>
      <c r="DO121" s="923"/>
      <c r="DP121" s="923"/>
      <c r="DQ121" s="923"/>
      <c r="DR121" s="923"/>
      <c r="DS121" s="923"/>
      <c r="DT121" s="923"/>
      <c r="DU121" s="923"/>
      <c r="DV121" s="923"/>
      <c r="DW121" s="923"/>
      <c r="DX121" s="923"/>
      <c r="DY121" s="923"/>
      <c r="DZ121" s="923"/>
      <c r="EA121" s="923"/>
      <c r="EB121" s="923"/>
      <c r="EC121" s="923"/>
      <c r="ED121" s="923"/>
      <c r="EE121" s="923"/>
      <c r="EF121" s="923"/>
      <c r="EG121" s="923"/>
      <c r="EH121" s="923"/>
      <c r="EI121" s="923"/>
      <c r="EJ121" s="923"/>
      <c r="EK121" s="923"/>
      <c r="EL121" s="923"/>
      <c r="EM121" s="923"/>
      <c r="ES121" s="970" t="s">
        <v>1309</v>
      </c>
      <c r="ET121" s="971">
        <v>460</v>
      </c>
      <c r="EU121" s="972" t="s">
        <v>4693</v>
      </c>
      <c r="EV121" s="973">
        <v>2</v>
      </c>
      <c r="EW121" s="972" t="s">
        <v>94</v>
      </c>
      <c r="EX121" s="973">
        <v>2</v>
      </c>
      <c r="EY121" s="972" t="s">
        <v>4721</v>
      </c>
      <c r="EZ121" s="973">
        <v>3</v>
      </c>
      <c r="FA121" s="972" t="s">
        <v>591</v>
      </c>
      <c r="FB121" s="973">
        <v>3</v>
      </c>
      <c r="FC121" s="972" t="s">
        <v>1492</v>
      </c>
      <c r="FD121" s="973">
        <v>2</v>
      </c>
      <c r="FE121" s="972" t="s">
        <v>4729</v>
      </c>
    </row>
    <row r="122" spans="1:161" ht="24.6" customHeight="1" thickBot="1">
      <c r="C122" s="1016" t="s">
        <v>5108</v>
      </c>
      <c r="D122" s="804">
        <f>iint</f>
        <v>7</v>
      </c>
      <c r="E122" s="924"/>
      <c r="F122" s="924"/>
      <c r="G122" s="925"/>
      <c r="L122" s="1730" t="str">
        <f ca="1">"Région d'origine "&amp;H20&amp;", près de "&amp;H21&amp;", terrain ="&amp;H22</f>
        <v>Région d'origine Montagneuse ou très riche, BM+10, près de Village, N1 S(plaine), terrain =Marais/Souterrain, N1 S(Mar/Sout)</v>
      </c>
      <c r="M122" s="1729"/>
      <c r="N122" s="1729"/>
      <c r="O122" s="1729"/>
      <c r="P122" s="1729"/>
      <c r="Q122" s="1729"/>
      <c r="R122" s="1729"/>
      <c r="S122" s="1729"/>
      <c r="T122" s="1729"/>
      <c r="U122" s="1731"/>
      <c r="V122" s="1446">
        <f t="shared" ca="1" si="16"/>
        <v>2</v>
      </c>
      <c r="W122" s="1447">
        <f t="shared" ca="1" si="16"/>
        <v>7</v>
      </c>
      <c r="ES122" s="970" t="s">
        <v>4832</v>
      </c>
      <c r="ET122" s="971">
        <v>450</v>
      </c>
      <c r="EU122" s="972" t="s">
        <v>4702</v>
      </c>
      <c r="EV122" s="973">
        <v>3</v>
      </c>
      <c r="EW122" s="972" t="s">
        <v>4748</v>
      </c>
      <c r="EX122" s="973">
        <v>2</v>
      </c>
      <c r="EY122" s="972" t="s">
        <v>4816</v>
      </c>
      <c r="EZ122" s="973">
        <v>1</v>
      </c>
      <c r="FA122" s="972" t="s">
        <v>4699</v>
      </c>
      <c r="FB122" s="973">
        <v>3</v>
      </c>
      <c r="FC122" s="972" t="s">
        <v>1434</v>
      </c>
      <c r="FD122" s="973">
        <v>2</v>
      </c>
      <c r="FE122" s="972" t="s">
        <v>4701</v>
      </c>
    </row>
    <row r="123" spans="1:161" ht="12" customHeight="1" thickBot="1">
      <c r="C123" s="1015" t="s">
        <v>5111</v>
      </c>
      <c r="D123" s="804">
        <f>vvol</f>
        <v>19</v>
      </c>
      <c r="E123" s="924"/>
      <c r="F123" s="924"/>
      <c r="G123" s="924"/>
      <c r="L123" s="903" t="str">
        <f ca="1">"Situation de la famille: "&amp;H37</f>
        <v>Situation de la famille: Rejetée</v>
      </c>
      <c r="M123" s="904"/>
      <c r="N123" s="904"/>
      <c r="O123" s="904"/>
      <c r="P123" s="904"/>
      <c r="Q123" s="904"/>
      <c r="R123" s="904"/>
      <c r="S123" s="904"/>
      <c r="T123" s="904"/>
      <c r="U123" s="1148"/>
      <c r="V123" s="1446">
        <f t="shared" ca="1" si="16"/>
        <v>7</v>
      </c>
      <c r="W123" s="1447">
        <f t="shared" ca="1" si="16"/>
        <v>3</v>
      </c>
      <c r="ES123" s="970" t="s">
        <v>4833</v>
      </c>
      <c r="ET123" s="971">
        <v>210</v>
      </c>
      <c r="EU123" s="972" t="s">
        <v>4756</v>
      </c>
      <c r="EV123" s="973">
        <v>3</v>
      </c>
      <c r="EW123" s="972" t="s">
        <v>4714</v>
      </c>
      <c r="EX123" s="973">
        <v>3</v>
      </c>
      <c r="EY123" s="972" t="s">
        <v>1022</v>
      </c>
      <c r="EZ123" s="973">
        <v>2</v>
      </c>
      <c r="FA123" s="972" t="s">
        <v>4696</v>
      </c>
      <c r="FB123" s="973">
        <v>3</v>
      </c>
      <c r="FC123" s="972" t="s">
        <v>4789</v>
      </c>
      <c r="FD123" s="973">
        <v>2</v>
      </c>
      <c r="FE123" s="972" t="s">
        <v>4830</v>
      </c>
    </row>
    <row r="124" spans="1:161" ht="24.6" customHeight="1" thickBot="1">
      <c r="C124" s="1016" t="s">
        <v>5122</v>
      </c>
      <c r="D124" s="804">
        <f>vvol</f>
        <v>19</v>
      </c>
      <c r="E124" s="924"/>
      <c r="F124" s="924"/>
      <c r="G124" s="925"/>
      <c r="L124" s="1732" t="str">
        <f ca="1">"Traits spécial 1: "&amp;H47</f>
        <v>Traits spécial 1: Pilosité, nat Ap+d6-d6. D10* : 1=aucun poil…2=erratique…3=sur abondante…4=bicolore.</v>
      </c>
      <c r="M124" s="1732"/>
      <c r="N124" s="1732"/>
      <c r="O124" s="1732"/>
      <c r="P124" s="1732"/>
      <c r="Q124" s="1732"/>
      <c r="R124" s="1732"/>
      <c r="S124" s="1732"/>
      <c r="T124" s="1732"/>
      <c r="U124" s="1732"/>
      <c r="ES124" s="970" t="s">
        <v>4834</v>
      </c>
      <c r="ET124" s="971">
        <v>470</v>
      </c>
      <c r="EU124" s="972" t="s">
        <v>4694</v>
      </c>
      <c r="EV124" s="973">
        <v>2</v>
      </c>
      <c r="EW124" s="972" t="s">
        <v>4725</v>
      </c>
      <c r="EX124" s="973">
        <v>3</v>
      </c>
      <c r="EY124" s="972" t="s">
        <v>4721</v>
      </c>
      <c r="EZ124" s="973">
        <v>3</v>
      </c>
      <c r="FA124" s="972" t="s">
        <v>94</v>
      </c>
      <c r="FB124" s="973">
        <v>2</v>
      </c>
      <c r="FC124" s="972" t="s">
        <v>4774</v>
      </c>
      <c r="FD124" s="973">
        <v>2</v>
      </c>
      <c r="FE124" s="972" t="s">
        <v>4732</v>
      </c>
    </row>
    <row r="125" spans="1:161" ht="23.4" customHeight="1" thickBot="1">
      <c r="C125" s="1015" t="s">
        <v>5114</v>
      </c>
      <c r="D125" s="804">
        <f>eelo</f>
        <v>7</v>
      </c>
      <c r="E125" s="924"/>
      <c r="F125" s="924"/>
      <c r="G125" s="924"/>
      <c r="L125" s="1729" t="str">
        <f ca="1">IF(H48&lt;&gt;" ","Traits spécial 2:"&amp;H48," ")</f>
        <v>Traits spécial 2:Passion spéciale (objet de la passion à déterminer avec le Livre Trésor) D10* 1= petite passion…2=grande passion…3= objet rare…4= objet unique.</v>
      </c>
      <c r="M125" s="1729"/>
      <c r="N125" s="1729"/>
      <c r="O125" s="1729"/>
      <c r="P125" s="1729"/>
      <c r="Q125" s="1729"/>
      <c r="R125" s="1729"/>
      <c r="S125" s="1729"/>
      <c r="T125" s="1729"/>
      <c r="U125" s="1729"/>
      <c r="ES125" s="970" t="s">
        <v>1185</v>
      </c>
      <c r="ET125" s="971">
        <v>250</v>
      </c>
      <c r="EU125" s="972" t="s">
        <v>4694</v>
      </c>
      <c r="EV125" s="973">
        <v>2</v>
      </c>
      <c r="EW125" s="972" t="s">
        <v>4721</v>
      </c>
      <c r="EX125" s="973">
        <v>3</v>
      </c>
      <c r="EY125" s="974" t="s">
        <v>4711</v>
      </c>
      <c r="EZ125" s="973">
        <v>1</v>
      </c>
      <c r="FA125" s="974" t="s">
        <v>4774</v>
      </c>
      <c r="FB125" s="973">
        <v>2</v>
      </c>
      <c r="FC125" s="972" t="s">
        <v>4695</v>
      </c>
      <c r="FD125" s="973">
        <v>2</v>
      </c>
      <c r="FE125" s="972"/>
    </row>
    <row r="126" spans="1:161" ht="12" customHeight="1" thickBot="1">
      <c r="C126" s="1016" t="s">
        <v>5113</v>
      </c>
      <c r="D126" s="804">
        <f>eelo</f>
        <v>7</v>
      </c>
      <c r="E126" s="924"/>
      <c r="F126" s="924"/>
      <c r="G126" s="925"/>
      <c r="L126" s="1729" t="str">
        <f ca="1">IF(H49&lt;&gt;" ","Traits spécial 3:"&amp;H49," ")</f>
        <v xml:space="preserve"> </v>
      </c>
      <c r="M126" s="1729"/>
      <c r="N126" s="1729"/>
      <c r="O126" s="1729"/>
      <c r="P126" s="1729"/>
      <c r="Q126" s="1729"/>
      <c r="R126" s="1729"/>
      <c r="S126" s="1729"/>
      <c r="T126" s="1729"/>
      <c r="U126" s="1729"/>
      <c r="ES126" s="970" t="s">
        <v>4835</v>
      </c>
      <c r="ET126" s="971">
        <v>190</v>
      </c>
      <c r="EU126" s="972" t="s">
        <v>901</v>
      </c>
      <c r="EV126" s="973">
        <v>3</v>
      </c>
      <c r="EW126" s="972" t="s">
        <v>2016</v>
      </c>
      <c r="EX126" s="973">
        <v>2</v>
      </c>
      <c r="EY126" s="972" t="s">
        <v>4706</v>
      </c>
      <c r="EZ126" s="973">
        <v>1</v>
      </c>
      <c r="FA126" s="972" t="s">
        <v>4739</v>
      </c>
      <c r="FB126" s="973">
        <v>2</v>
      </c>
      <c r="FC126" s="972" t="s">
        <v>4709</v>
      </c>
      <c r="FD126" s="973">
        <v>1</v>
      </c>
      <c r="FE126" s="972"/>
    </row>
    <row r="127" spans="1:161" ht="12" customHeight="1" thickBot="1">
      <c r="C127" s="1015" t="s">
        <v>2479</v>
      </c>
      <c r="D127" s="804">
        <f>eemp</f>
        <v>8</v>
      </c>
      <c r="E127" s="924"/>
      <c r="F127" s="924"/>
      <c r="G127" s="924"/>
      <c r="L127" s="1729" t="str">
        <f ca="1">IF(H50&lt;&gt;" ","Traits spécial 4:"&amp;H50," ")</f>
        <v xml:space="preserve"> </v>
      </c>
      <c r="M127" s="1729"/>
      <c r="N127" s="1729"/>
      <c r="O127" s="1729"/>
      <c r="P127" s="1729"/>
      <c r="Q127" s="1729"/>
      <c r="R127" s="1729"/>
      <c r="S127" s="1729"/>
      <c r="T127" s="1729"/>
      <c r="U127" s="1729"/>
      <c r="ES127" s="970" t="s">
        <v>4836</v>
      </c>
      <c r="ET127" s="971">
        <v>290</v>
      </c>
      <c r="EU127" s="972" t="s">
        <v>984</v>
      </c>
      <c r="EV127" s="973">
        <v>3</v>
      </c>
      <c r="EW127" s="972" t="s">
        <v>87</v>
      </c>
      <c r="EX127" s="973">
        <v>2</v>
      </c>
      <c r="EY127" s="972" t="s">
        <v>1054</v>
      </c>
      <c r="EZ127" s="973">
        <v>2</v>
      </c>
      <c r="FA127" s="972" t="s">
        <v>4695</v>
      </c>
      <c r="FB127" s="973">
        <v>2</v>
      </c>
      <c r="FC127" s="972"/>
      <c r="FD127" s="973">
        <v>0</v>
      </c>
      <c r="FE127" s="972"/>
    </row>
    <row r="128" spans="1:161" ht="12" customHeight="1" thickBot="1">
      <c r="C128" s="1016" t="s">
        <v>5115</v>
      </c>
      <c r="D128" s="804">
        <f>eemp</f>
        <v>8</v>
      </c>
      <c r="E128" s="924"/>
      <c r="F128" s="924"/>
      <c r="G128" s="925"/>
      <c r="L128" s="668" t="str">
        <f ca="1">IF(H51&lt;&gt;" ","Histoire personnelle 1: "&amp;H51," ")</f>
        <v xml:space="preserve"> </v>
      </c>
      <c r="ES128" s="970" t="s">
        <v>4837</v>
      </c>
      <c r="ET128" s="971">
        <v>250</v>
      </c>
      <c r="EU128" s="972" t="s">
        <v>152</v>
      </c>
      <c r="EV128" s="973">
        <v>2</v>
      </c>
      <c r="EW128" s="972" t="s">
        <v>4721</v>
      </c>
      <c r="EX128" s="973">
        <v>3</v>
      </c>
      <c r="EY128" s="972" t="s">
        <v>1526</v>
      </c>
      <c r="EZ128" s="973">
        <v>3</v>
      </c>
      <c r="FA128" s="972" t="s">
        <v>4722</v>
      </c>
      <c r="FB128" s="973">
        <v>1</v>
      </c>
      <c r="FC128" s="972" t="s">
        <v>4687</v>
      </c>
      <c r="FD128" s="973">
        <v>1</v>
      </c>
      <c r="FE128" s="972"/>
    </row>
    <row r="129" spans="3:161" ht="12" customHeight="1" thickBot="1">
      <c r="C129" s="1013" t="s">
        <v>5121</v>
      </c>
      <c r="D129" s="804">
        <f>ccon</f>
        <v>32</v>
      </c>
      <c r="E129" s="924"/>
      <c r="F129" s="924"/>
      <c r="G129" s="924"/>
      <c r="L129" s="668" t="str">
        <f ca="1">IF(H52&lt;&gt;" ","Histoire personnelle 2: "&amp;H52," ")</f>
        <v xml:space="preserve"> </v>
      </c>
      <c r="ES129" s="970" t="s">
        <v>4838</v>
      </c>
      <c r="ET129" s="971">
        <v>390</v>
      </c>
      <c r="EU129" s="972" t="s">
        <v>152</v>
      </c>
      <c r="EV129" s="973">
        <v>3</v>
      </c>
      <c r="EW129" s="974" t="s">
        <v>167</v>
      </c>
      <c r="EX129" s="973">
        <v>1</v>
      </c>
      <c r="EY129" s="974" t="s">
        <v>94</v>
      </c>
      <c r="EZ129" s="973">
        <v>2</v>
      </c>
      <c r="FA129" s="974" t="s">
        <v>4711</v>
      </c>
      <c r="FB129" s="973">
        <v>2</v>
      </c>
      <c r="FC129" s="972" t="s">
        <v>4694</v>
      </c>
      <c r="FD129" s="973">
        <v>1</v>
      </c>
      <c r="FE129" s="972" t="s">
        <v>38</v>
      </c>
    </row>
    <row r="130" spans="3:161" ht="12" customHeight="1" thickBot="1">
      <c r="C130" s="1014" t="s">
        <v>5107</v>
      </c>
      <c r="D130" s="804">
        <f>ccon</f>
        <v>32</v>
      </c>
      <c r="E130" s="924"/>
      <c r="F130" s="924"/>
      <c r="G130" s="925"/>
      <c r="L130" s="668" t="str">
        <f ca="1">IF(H53&lt;&gt;" ","Histoire personnelle 3: "&amp;H53," ")</f>
        <v xml:space="preserve"> </v>
      </c>
      <c r="ES130" s="970" t="s">
        <v>4839</v>
      </c>
      <c r="ET130" s="971">
        <v>500</v>
      </c>
      <c r="EU130" s="972" t="s">
        <v>4693</v>
      </c>
      <c r="EV130" s="973">
        <v>2</v>
      </c>
      <c r="EW130" s="972" t="s">
        <v>4749</v>
      </c>
      <c r="EX130" s="973">
        <v>2</v>
      </c>
      <c r="EY130" s="972" t="s">
        <v>4694</v>
      </c>
      <c r="EZ130" s="973">
        <v>3</v>
      </c>
      <c r="FA130" s="972" t="s">
        <v>94</v>
      </c>
      <c r="FB130" s="973">
        <v>2</v>
      </c>
      <c r="FC130" s="972" t="s">
        <v>87</v>
      </c>
      <c r="FD130" s="973">
        <v>3</v>
      </c>
      <c r="FE130" s="972"/>
    </row>
    <row r="131" spans="3:161" ht="22.2" customHeight="1" thickBot="1">
      <c r="C131" s="1015" t="s">
        <v>5119</v>
      </c>
      <c r="D131" s="804">
        <f>aapp</f>
        <v>10</v>
      </c>
      <c r="E131" s="924"/>
      <c r="F131" s="924"/>
      <c r="G131" s="924"/>
      <c r="L131" s="1729" t="str">
        <f ca="1">IF(H54&lt;&gt;"0","Spécialité 1 : "&amp;H54," ")</f>
        <v>Spécialité 1 : gpCapacite - vue magique : voit les sources de chaleur à travers 1m de matière à Vue/2 m, défaut = nécessite 1d6h de sommeil ou malus général -5 pendant ces heures, max Em(inu)+2</v>
      </c>
      <c r="M131" s="1729"/>
      <c r="N131" s="1729"/>
      <c r="O131" s="1729"/>
      <c r="P131" s="1729"/>
      <c r="Q131" s="1729"/>
      <c r="R131" s="1729"/>
      <c r="S131" s="1729"/>
      <c r="T131" s="1729"/>
      <c r="U131" s="1729"/>
      <c r="ES131" s="970" t="s">
        <v>4840</v>
      </c>
      <c r="ET131" s="971">
        <v>580</v>
      </c>
      <c r="EU131" s="972" t="s">
        <v>2033</v>
      </c>
      <c r="EV131" s="973">
        <v>2</v>
      </c>
      <c r="EW131" s="972" t="s">
        <v>2033</v>
      </c>
      <c r="EX131" s="973">
        <v>2</v>
      </c>
      <c r="EY131" s="972" t="s">
        <v>4694</v>
      </c>
      <c r="EZ131" s="973">
        <v>2</v>
      </c>
      <c r="FA131" s="972" t="s">
        <v>4721</v>
      </c>
      <c r="FB131" s="973">
        <v>2</v>
      </c>
      <c r="FC131" s="972" t="s">
        <v>4694</v>
      </c>
      <c r="FD131" s="973">
        <v>1</v>
      </c>
      <c r="FE131" s="972" t="s">
        <v>4791</v>
      </c>
    </row>
    <row r="132" spans="3:161" ht="22.2" customHeight="1" thickBot="1">
      <c r="C132" s="1018" t="s">
        <v>2456</v>
      </c>
      <c r="D132" s="804">
        <f>aapp</f>
        <v>10</v>
      </c>
      <c r="E132" s="924"/>
      <c r="F132" s="924"/>
      <c r="G132" s="925"/>
      <c r="L132" s="1729" t="str">
        <f ca="1">IF(H55&lt;&gt;0,"Spécialité 2 : "&amp;H55," ")</f>
        <v xml:space="preserve"> </v>
      </c>
      <c r="M132" s="1729"/>
      <c r="N132" s="1729"/>
      <c r="O132" s="1729"/>
      <c r="P132" s="1729"/>
      <c r="Q132" s="1729"/>
      <c r="R132" s="1729"/>
      <c r="S132" s="1729"/>
      <c r="T132" s="1729"/>
      <c r="U132" s="1729"/>
      <c r="ES132" s="970" t="s">
        <v>4841</v>
      </c>
      <c r="ET132" s="971">
        <v>240</v>
      </c>
      <c r="EU132" s="972" t="s">
        <v>4770</v>
      </c>
      <c r="EV132" s="973">
        <v>3</v>
      </c>
      <c r="EW132" s="972" t="s">
        <v>4708</v>
      </c>
      <c r="EX132" s="973">
        <v>2</v>
      </c>
      <c r="EY132" s="972" t="s">
        <v>1526</v>
      </c>
      <c r="EZ132" s="973">
        <v>2</v>
      </c>
      <c r="FA132" s="972" t="s">
        <v>4722</v>
      </c>
      <c r="FB132" s="973">
        <v>2</v>
      </c>
      <c r="FC132" s="972" t="s">
        <v>94</v>
      </c>
      <c r="FD132" s="973">
        <v>1</v>
      </c>
      <c r="FE132" s="972" t="s">
        <v>4713</v>
      </c>
    </row>
    <row r="133" spans="3:161" ht="23.4" customHeight="1" thickBot="1">
      <c r="C133" s="1017"/>
      <c r="D133" s="139"/>
      <c r="G133" s="794" t="s">
        <v>5153</v>
      </c>
      <c r="H133" s="988" t="s">
        <v>5133</v>
      </c>
      <c r="I133" s="988" t="s">
        <v>5134</v>
      </c>
      <c r="J133" s="988" t="s">
        <v>5135</v>
      </c>
      <c r="K133" s="1069" t="s">
        <v>5154</v>
      </c>
      <c r="L133" s="1729" t="str">
        <f ca="1">IF(H56&lt;&gt;0,"Spécialité 3 : "&amp;H56," ")</f>
        <v xml:space="preserve"> </v>
      </c>
      <c r="M133" s="1729"/>
      <c r="N133" s="1729"/>
      <c r="O133" s="1729"/>
      <c r="P133" s="1729"/>
      <c r="Q133" s="1729"/>
      <c r="R133" s="1729"/>
      <c r="S133" s="1729"/>
      <c r="T133" s="1729"/>
      <c r="U133" s="1729"/>
      <c r="ES133" s="970" t="s">
        <v>4842</v>
      </c>
      <c r="ET133" s="971">
        <v>260</v>
      </c>
      <c r="EU133" s="972" t="s">
        <v>280</v>
      </c>
      <c r="EV133" s="973">
        <v>2</v>
      </c>
      <c r="EW133" s="972" t="s">
        <v>4708</v>
      </c>
      <c r="EX133" s="973">
        <v>2</v>
      </c>
      <c r="EY133" s="972" t="s">
        <v>1484</v>
      </c>
      <c r="EZ133" s="973">
        <v>2</v>
      </c>
      <c r="FA133" s="972" t="s">
        <v>4705</v>
      </c>
      <c r="FB133" s="973">
        <v>1</v>
      </c>
      <c r="FC133" s="972" t="s">
        <v>4738</v>
      </c>
      <c r="FD133" s="973">
        <v>2</v>
      </c>
      <c r="FE133" s="972" t="s">
        <v>4843</v>
      </c>
    </row>
    <row r="134" spans="3:161" ht="12" customHeight="1" thickBot="1">
      <c r="C134" s="1042" t="s">
        <v>1443</v>
      </c>
      <c r="D134" s="1036" t="s">
        <v>5103</v>
      </c>
      <c r="E134" s="1019" t="s">
        <v>5103</v>
      </c>
      <c r="F134" s="1058" t="s">
        <v>5104</v>
      </c>
      <c r="G134" s="1063">
        <f>MAX(0,H134-K134/10)</f>
        <v>3.5</v>
      </c>
      <c r="H134" s="1023">
        <f t="shared" ref="H134:H141" si="17">VLOOKUP(D134,gpCarac,2,FALSE)/2</f>
        <v>10.5</v>
      </c>
      <c r="I134" s="1023">
        <f t="shared" ref="I134:I177" si="18">J134/2</f>
        <v>15.75</v>
      </c>
      <c r="J134" s="1024">
        <f t="shared" ref="J134:J141" si="19">MIN(80,(VLOOKUP(D134,gpCarac,2,FALSE)*3+VLOOKUP(E134,gpCarac,2,FALSE)*2+VLOOKUP(F134,gpCarac,2,FALSE))/4)</f>
        <v>31.5</v>
      </c>
      <c r="K134" s="1056">
        <v>70</v>
      </c>
      <c r="L134" s="668" t="str">
        <f ca="1">IF(H57&lt;&gt;0,"Spécialité 4 : "&amp;H57," ")</f>
        <v xml:space="preserve"> </v>
      </c>
      <c r="S134" s="1100"/>
      <c r="T134" s="1084"/>
      <c r="U134" s="1146"/>
      <c r="V134" s="1084"/>
      <c r="W134" s="1084" t="s">
        <v>5233</v>
      </c>
      <c r="X134" s="1085"/>
      <c r="ES134" s="970" t="s">
        <v>4844</v>
      </c>
      <c r="ET134" s="971">
        <v>300</v>
      </c>
      <c r="EU134" s="972" t="s">
        <v>167</v>
      </c>
      <c r="EV134" s="973">
        <v>2</v>
      </c>
      <c r="EW134" s="972" t="s">
        <v>1526</v>
      </c>
      <c r="EX134" s="973">
        <v>2</v>
      </c>
      <c r="EY134" s="972" t="s">
        <v>1045</v>
      </c>
      <c r="EZ134" s="973">
        <v>1</v>
      </c>
      <c r="FA134" s="972" t="s">
        <v>4691</v>
      </c>
      <c r="FB134" s="973">
        <v>1</v>
      </c>
      <c r="FC134" s="972"/>
      <c r="FD134" s="973">
        <v>0</v>
      </c>
      <c r="FE134" s="972" t="s">
        <v>4707</v>
      </c>
    </row>
    <row r="135" spans="3:161" ht="12" customHeight="1" thickBot="1">
      <c r="C135" s="1043" t="s">
        <v>611</v>
      </c>
      <c r="D135" s="1037" t="s">
        <v>5105</v>
      </c>
      <c r="E135" s="1021" t="s">
        <v>5106</v>
      </c>
      <c r="F135" s="1059" t="s">
        <v>5107</v>
      </c>
      <c r="G135" s="1063">
        <f t="shared" ref="G135:G198" si="20">MAX(0,H135-K135/10)</f>
        <v>19</v>
      </c>
      <c r="H135" s="1020">
        <f t="shared" si="17"/>
        <v>20</v>
      </c>
      <c r="I135" s="1020">
        <f t="shared" si="18"/>
        <v>30</v>
      </c>
      <c r="J135" s="1025">
        <f t="shared" si="19"/>
        <v>60</v>
      </c>
      <c r="K135" s="113">
        <v>10</v>
      </c>
      <c r="L135" s="1092" t="s">
        <v>5170</v>
      </c>
      <c r="M135" s="1092" t="s">
        <v>4667</v>
      </c>
      <c r="N135" s="1084" t="str">
        <f ca="1">D76&amp;" (monnaie "&amp;D77&amp;") + héritage "&amp;H32&amp;" ?"</f>
        <v>5800 (monnaie 1972) + héritage 11 ?</v>
      </c>
      <c r="O135" s="1084"/>
      <c r="P135" s="1084"/>
      <c r="Q135" s="1085"/>
      <c r="S135" s="1094" t="s">
        <v>5235</v>
      </c>
      <c r="U135" s="1435">
        <f ca="1">(persoAge+persoNS+RANDBETWEEN(1,10))*2</f>
        <v>56</v>
      </c>
      <c r="V135" s="1147" t="s">
        <v>5244</v>
      </c>
      <c r="W135" s="1434">
        <v>80</v>
      </c>
      <c r="X135" s="1086" t="s">
        <v>5241</v>
      </c>
      <c r="ES135" s="970" t="s">
        <v>4845</v>
      </c>
      <c r="ET135" s="971">
        <v>430</v>
      </c>
      <c r="EU135" s="972" t="s">
        <v>4749</v>
      </c>
      <c r="EV135" s="973">
        <v>2</v>
      </c>
      <c r="EW135" s="972" t="s">
        <v>87</v>
      </c>
      <c r="EX135" s="973">
        <v>3</v>
      </c>
      <c r="EY135" s="972" t="s">
        <v>1526</v>
      </c>
      <c r="EZ135" s="973">
        <v>2</v>
      </c>
      <c r="FA135" s="972" t="s">
        <v>4693</v>
      </c>
      <c r="FB135" s="973">
        <v>2</v>
      </c>
      <c r="FC135" s="972" t="s">
        <v>591</v>
      </c>
      <c r="FD135" s="973">
        <v>3</v>
      </c>
      <c r="FE135" s="972" t="s">
        <v>94</v>
      </c>
    </row>
    <row r="136" spans="3:161" ht="12" customHeight="1" thickBot="1">
      <c r="C136" s="1043" t="s">
        <v>1431</v>
      </c>
      <c r="D136" s="1037" t="s">
        <v>5108</v>
      </c>
      <c r="E136" s="1021" t="s">
        <v>2479</v>
      </c>
      <c r="F136" s="1059" t="s">
        <v>5109</v>
      </c>
      <c r="G136" s="1063">
        <f t="shared" si="20"/>
        <v>0</v>
      </c>
      <c r="H136" s="1020">
        <f t="shared" si="17"/>
        <v>3.5</v>
      </c>
      <c r="I136" s="1020">
        <f t="shared" si="18"/>
        <v>5.5</v>
      </c>
      <c r="J136" s="1025">
        <f t="shared" si="19"/>
        <v>11</v>
      </c>
      <c r="K136" s="113">
        <v>70</v>
      </c>
      <c r="L136" s="928" t="str">
        <f ca="1">C81&amp;" "&amp;H81</f>
        <v>Vue 56</v>
      </c>
      <c r="M136" s="1100" t="s">
        <v>5210</v>
      </c>
      <c r="N136" s="1084"/>
      <c r="O136" s="1084"/>
      <c r="P136" s="1084"/>
      <c r="Q136" s="1085"/>
      <c r="S136" s="1094" t="s">
        <v>5236</v>
      </c>
      <c r="W136" s="1431">
        <v>30</v>
      </c>
      <c r="X136" s="1086" t="s">
        <v>5242</v>
      </c>
      <c r="ES136" s="970" t="s">
        <v>1310</v>
      </c>
      <c r="ET136" s="971">
        <v>870</v>
      </c>
      <c r="EU136" s="972" t="s">
        <v>4693</v>
      </c>
      <c r="EV136" s="973">
        <v>3</v>
      </c>
      <c r="EW136" s="972" t="s">
        <v>94</v>
      </c>
      <c r="EX136" s="973">
        <v>3</v>
      </c>
      <c r="EY136" s="972" t="s">
        <v>4694</v>
      </c>
      <c r="EZ136" s="973">
        <v>2</v>
      </c>
      <c r="FA136" s="972" t="s">
        <v>4729</v>
      </c>
      <c r="FB136" s="973">
        <v>2</v>
      </c>
      <c r="FC136" s="972" t="s">
        <v>1407</v>
      </c>
      <c r="FD136" s="973">
        <v>3</v>
      </c>
      <c r="FE136" s="972" t="s">
        <v>4764</v>
      </c>
    </row>
    <row r="137" spans="3:161" ht="12" customHeight="1" thickBot="1">
      <c r="C137" s="1043" t="s">
        <v>1513</v>
      </c>
      <c r="D137" s="1037" t="s">
        <v>5110</v>
      </c>
      <c r="E137" s="1021" t="s">
        <v>5111</v>
      </c>
      <c r="F137" s="1059" t="s">
        <v>5112</v>
      </c>
      <c r="G137" s="1063">
        <f t="shared" si="20"/>
        <v>8</v>
      </c>
      <c r="H137" s="1020">
        <f t="shared" si="17"/>
        <v>12</v>
      </c>
      <c r="I137" s="1020">
        <f t="shared" si="18"/>
        <v>16.75</v>
      </c>
      <c r="J137" s="1025">
        <f t="shared" si="19"/>
        <v>33.5</v>
      </c>
      <c r="K137" s="113">
        <v>40</v>
      </c>
      <c r="L137" s="928" t="str">
        <f ca="1">C82&amp;" "&amp;H82</f>
        <v>Ouïe 55</v>
      </c>
      <c r="M137" s="903" t="s">
        <v>3956</v>
      </c>
      <c r="N137" s="904"/>
      <c r="O137" s="904"/>
      <c r="P137" s="904"/>
      <c r="Q137" s="905"/>
      <c r="S137" s="1094" t="s">
        <v>4791</v>
      </c>
      <c r="W137" s="1432">
        <v>25</v>
      </c>
      <c r="X137" s="1436">
        <f>W137*20</f>
        <v>500</v>
      </c>
      <c r="ES137" s="970" t="s">
        <v>1153</v>
      </c>
      <c r="ET137" s="971">
        <v>120</v>
      </c>
      <c r="EU137" s="972" t="s">
        <v>2016</v>
      </c>
      <c r="EV137" s="973">
        <v>3</v>
      </c>
      <c r="EW137" s="972" t="s">
        <v>1022</v>
      </c>
      <c r="EX137" s="973">
        <v>2</v>
      </c>
      <c r="EY137" s="972" t="s">
        <v>4384</v>
      </c>
      <c r="EZ137" s="973">
        <v>1</v>
      </c>
      <c r="FA137" s="972" t="s">
        <v>4738</v>
      </c>
      <c r="FB137" s="973">
        <v>1</v>
      </c>
      <c r="FC137" s="972" t="s">
        <v>4752</v>
      </c>
      <c r="FD137" s="973">
        <v>1</v>
      </c>
      <c r="FE137" s="972"/>
    </row>
    <row r="138" spans="3:161" ht="12" customHeight="1" thickBot="1">
      <c r="C138" s="1043" t="s">
        <v>1383</v>
      </c>
      <c r="D138" s="1037" t="s">
        <v>5112</v>
      </c>
      <c r="E138" s="1021" t="s">
        <v>2479</v>
      </c>
      <c r="F138" s="1059" t="s">
        <v>5111</v>
      </c>
      <c r="G138" s="1063">
        <f t="shared" si="20"/>
        <v>7</v>
      </c>
      <c r="H138" s="1020">
        <f t="shared" si="17"/>
        <v>12</v>
      </c>
      <c r="I138" s="1020">
        <f t="shared" si="18"/>
        <v>13.375</v>
      </c>
      <c r="J138" s="1025">
        <f t="shared" si="19"/>
        <v>26.75</v>
      </c>
      <c r="K138" s="113">
        <v>50</v>
      </c>
      <c r="L138" s="928" t="str">
        <f ca="1">C83&amp;" "&amp;H83</f>
        <v>Odorat 59</v>
      </c>
      <c r="M138" s="1094" t="s">
        <v>3857</v>
      </c>
      <c r="Q138" s="1086"/>
      <c r="S138" s="1094" t="s">
        <v>4720</v>
      </c>
      <c r="U138" s="1435" t="str">
        <f>"NEC+TG "&amp;W138/5</f>
        <v>NEC+TG 3</v>
      </c>
      <c r="W138" s="1432">
        <v>15</v>
      </c>
      <c r="X138" s="1436">
        <f>W138*20</f>
        <v>300</v>
      </c>
      <c r="ES138" s="970" t="s">
        <v>1198</v>
      </c>
      <c r="ET138" s="971">
        <v>370</v>
      </c>
      <c r="EU138" s="972" t="s">
        <v>4754</v>
      </c>
      <c r="EV138" s="973">
        <v>3</v>
      </c>
      <c r="EW138" s="972" t="s">
        <v>1399</v>
      </c>
      <c r="EX138" s="973">
        <v>3</v>
      </c>
      <c r="EY138" s="972" t="s">
        <v>280</v>
      </c>
      <c r="EZ138" s="973">
        <v>2</v>
      </c>
      <c r="FA138" s="972" t="s">
        <v>4696</v>
      </c>
      <c r="FB138" s="973">
        <v>2</v>
      </c>
      <c r="FC138" s="972" t="s">
        <v>4700</v>
      </c>
      <c r="FD138" s="973">
        <v>2</v>
      </c>
      <c r="FE138" s="972" t="s">
        <v>4779</v>
      </c>
    </row>
    <row r="139" spans="3:161" ht="12" customHeight="1" thickBot="1">
      <c r="C139" s="1043" t="s">
        <v>1354</v>
      </c>
      <c r="D139" s="1037" t="s">
        <v>5112</v>
      </c>
      <c r="E139" s="1021" t="s">
        <v>5111</v>
      </c>
      <c r="F139" s="1059" t="s">
        <v>5109</v>
      </c>
      <c r="G139" s="1063">
        <f t="shared" si="20"/>
        <v>3</v>
      </c>
      <c r="H139" s="1020">
        <f t="shared" si="17"/>
        <v>12</v>
      </c>
      <c r="I139" s="1020">
        <f t="shared" si="18"/>
        <v>14.625</v>
      </c>
      <c r="J139" s="1025">
        <f t="shared" si="19"/>
        <v>29.25</v>
      </c>
      <c r="K139" s="113">
        <v>90</v>
      </c>
      <c r="L139" s="928" t="str">
        <f ca="1">C84&amp;" "&amp;H84</f>
        <v>Goût 49</v>
      </c>
      <c r="M139" s="1094" t="s">
        <v>3908</v>
      </c>
      <c r="Q139" s="1086"/>
      <c r="S139" s="1094" t="s">
        <v>5237</v>
      </c>
      <c r="U139" s="1148"/>
      <c r="V139" s="904"/>
      <c r="W139" s="1433">
        <v>10</v>
      </c>
      <c r="X139" s="905"/>
      <c r="ES139" s="970" t="s">
        <v>1216</v>
      </c>
      <c r="ET139" s="971">
        <v>450</v>
      </c>
      <c r="EU139" s="972" t="s">
        <v>2033</v>
      </c>
      <c r="EV139" s="973">
        <v>3</v>
      </c>
      <c r="EW139" s="972" t="s">
        <v>4694</v>
      </c>
      <c r="EX139" s="973">
        <v>3</v>
      </c>
      <c r="EY139" s="972" t="s">
        <v>4721</v>
      </c>
      <c r="EZ139" s="973">
        <v>2</v>
      </c>
      <c r="FA139" s="972" t="s">
        <v>4774</v>
      </c>
      <c r="FB139" s="973">
        <v>2</v>
      </c>
      <c r="FC139" s="972"/>
      <c r="FD139" s="973">
        <v>0</v>
      </c>
      <c r="FE139" s="972"/>
    </row>
    <row r="140" spans="3:161" ht="12" customHeight="1" thickBot="1">
      <c r="C140" s="1043" t="s">
        <v>1418</v>
      </c>
      <c r="D140" s="1037" t="s">
        <v>2479</v>
      </c>
      <c r="E140" s="1021" t="s">
        <v>5109</v>
      </c>
      <c r="F140" s="1059" t="s">
        <v>5111</v>
      </c>
      <c r="G140" s="1063">
        <f t="shared" si="20"/>
        <v>0</v>
      </c>
      <c r="H140" s="1020">
        <f t="shared" si="17"/>
        <v>4</v>
      </c>
      <c r="I140" s="1020">
        <f t="shared" si="18"/>
        <v>7.125</v>
      </c>
      <c r="J140" s="1025">
        <f t="shared" si="19"/>
        <v>14.25</v>
      </c>
      <c r="K140" s="113">
        <v>70</v>
      </c>
      <c r="L140" s="1005" t="str">
        <f ca="1">C85&amp;" "&amp;H85</f>
        <v>Toucher 52</v>
      </c>
      <c r="M140" s="1129" t="s">
        <v>5211</v>
      </c>
      <c r="N140" s="911"/>
      <c r="O140" s="911"/>
      <c r="P140" s="911"/>
      <c r="Q140" s="1085"/>
      <c r="R140" s="1100" t="s">
        <v>5234</v>
      </c>
      <c r="S140" s="1442">
        <f ca="1">RANDBETWEEN(1,10)+RANDBETWEEN(1,10)+20</f>
        <v>28</v>
      </c>
      <c r="T140" s="1443"/>
      <c r="ES140" s="970" t="s">
        <v>4846</v>
      </c>
      <c r="ET140" s="971">
        <v>490</v>
      </c>
      <c r="EU140" s="972" t="s">
        <v>2033</v>
      </c>
      <c r="EV140" s="973">
        <v>2</v>
      </c>
      <c r="EW140" s="972" t="s">
        <v>4716</v>
      </c>
      <c r="EX140" s="973">
        <v>1</v>
      </c>
      <c r="EY140" s="972" t="s">
        <v>4694</v>
      </c>
      <c r="EZ140" s="973">
        <v>2</v>
      </c>
      <c r="FA140" s="972" t="s">
        <v>4695</v>
      </c>
      <c r="FB140" s="973">
        <v>1</v>
      </c>
      <c r="FC140" s="972" t="s">
        <v>4683</v>
      </c>
      <c r="FD140" s="973">
        <v>1</v>
      </c>
      <c r="FE140" s="972" t="s">
        <v>1045</v>
      </c>
    </row>
    <row r="141" spans="3:161" ht="12" customHeight="1" thickBot="1">
      <c r="C141" s="1043" t="s">
        <v>5150</v>
      </c>
      <c r="D141" s="1037" t="s">
        <v>5113</v>
      </c>
      <c r="E141" s="1021" t="s">
        <v>5114</v>
      </c>
      <c r="F141" s="1059" t="s">
        <v>5109</v>
      </c>
      <c r="G141" s="1063">
        <f t="shared" si="20"/>
        <v>2.5</v>
      </c>
      <c r="H141" s="1020">
        <f t="shared" si="17"/>
        <v>3.5</v>
      </c>
      <c r="I141" s="1020">
        <f t="shared" si="18"/>
        <v>5.25</v>
      </c>
      <c r="J141" s="1025">
        <f t="shared" si="19"/>
        <v>10.5</v>
      </c>
      <c r="K141" s="1057">
        <v>10</v>
      </c>
      <c r="L141" s="1069" t="s">
        <v>5167</v>
      </c>
      <c r="M141" s="900"/>
      <c r="Q141" s="1100"/>
      <c r="R141" s="1084" t="s">
        <v>719</v>
      </c>
      <c r="S141" s="1084" t="s">
        <v>5238</v>
      </c>
      <c r="T141" s="1084" t="s">
        <v>5239</v>
      </c>
      <c r="U141" s="1084" t="s">
        <v>703</v>
      </c>
      <c r="V141" s="1084" t="s">
        <v>995</v>
      </c>
      <c r="W141" s="1146" t="s">
        <v>5232</v>
      </c>
      <c r="X141" s="1085" t="s">
        <v>5233</v>
      </c>
      <c r="ES141" s="970" t="s">
        <v>4847</v>
      </c>
      <c r="ET141" s="971">
        <v>460</v>
      </c>
      <c r="EU141" s="972" t="s">
        <v>4694</v>
      </c>
      <c r="EV141" s="973">
        <v>3</v>
      </c>
      <c r="EW141" s="972" t="s">
        <v>4694</v>
      </c>
      <c r="EX141" s="973">
        <v>2</v>
      </c>
      <c r="EY141" s="972" t="s">
        <v>4694</v>
      </c>
      <c r="EZ141" s="973">
        <v>1</v>
      </c>
      <c r="FA141" s="972" t="s">
        <v>87</v>
      </c>
      <c r="FB141" s="973">
        <v>2</v>
      </c>
      <c r="FC141" s="972" t="s">
        <v>4721</v>
      </c>
      <c r="FD141" s="973">
        <v>3</v>
      </c>
      <c r="FE141" s="972" t="s">
        <v>4711</v>
      </c>
    </row>
    <row r="142" spans="3:161" ht="12" customHeight="1" thickBot="1">
      <c r="C142" s="1043" t="s">
        <v>1341</v>
      </c>
      <c r="D142" s="1038" t="s">
        <v>2252</v>
      </c>
      <c r="E142" s="1021" t="s">
        <v>2479</v>
      </c>
      <c r="F142" s="1059" t="s">
        <v>5108</v>
      </c>
      <c r="G142" s="1063">
        <f t="shared" ca="1" si="20"/>
        <v>22.5</v>
      </c>
      <c r="H142" s="1020">
        <f ca="1">H84/2</f>
        <v>24.5</v>
      </c>
      <c r="I142" s="1020">
        <f t="shared" ca="1" si="18"/>
        <v>21.25</v>
      </c>
      <c r="J142" s="1025">
        <f ca="1">MIN(80,(H84*3+D127*2+D122)/4)</f>
        <v>42.5</v>
      </c>
      <c r="K142" s="1089">
        <v>20</v>
      </c>
      <c r="L142" s="1100" t="str">
        <f>"Force - puissance ="&amp;D113</f>
        <v>Force - puissance =44</v>
      </c>
      <c r="M142" s="1125"/>
      <c r="N142" s="1126" t="str">
        <f>"Intelligence - raisonnement ="&amp;D121</f>
        <v>Intelligence - raisonnement =7</v>
      </c>
      <c r="O142" s="1125"/>
      <c r="P142" s="1084"/>
      <c r="Q142" s="1094" t="s">
        <v>707</v>
      </c>
      <c r="R142" s="1143">
        <v>20</v>
      </c>
      <c r="S142" s="1650">
        <v>4</v>
      </c>
      <c r="T142" s="1648">
        <v>4</v>
      </c>
      <c r="U142" s="1425">
        <f>ROUND(R142+T142*(V142-R142)/10,0)</f>
        <v>44</v>
      </c>
      <c r="V142" s="1426">
        <f t="shared" ref="V142:V151" si="21">R142*S142</f>
        <v>80</v>
      </c>
      <c r="W142" s="1429">
        <f ca="1">RANDBETWEEN(1,10)+RANDBETWEEN(1,10)</f>
        <v>13</v>
      </c>
      <c r="X142" s="1149"/>
      <c r="ES142" s="970" t="s">
        <v>4848</v>
      </c>
      <c r="ET142" s="971">
        <v>290</v>
      </c>
      <c r="EU142" s="972" t="s">
        <v>901</v>
      </c>
      <c r="EV142" s="973">
        <v>3</v>
      </c>
      <c r="EW142" s="980" t="s">
        <v>4822</v>
      </c>
      <c r="EX142" s="973">
        <v>2</v>
      </c>
      <c r="EY142" s="972" t="s">
        <v>4752</v>
      </c>
      <c r="EZ142" s="973">
        <v>2</v>
      </c>
      <c r="FA142" s="972" t="s">
        <v>4706</v>
      </c>
      <c r="FB142" s="973">
        <v>2</v>
      </c>
      <c r="FC142" s="972" t="s">
        <v>4684</v>
      </c>
      <c r="FD142" s="973">
        <v>1</v>
      </c>
      <c r="FE142" s="980" t="s">
        <v>4805</v>
      </c>
    </row>
    <row r="143" spans="3:161" ht="12" customHeight="1" thickBot="1">
      <c r="C143" s="1043" t="s">
        <v>1503</v>
      </c>
      <c r="D143" s="1037" t="s">
        <v>2479</v>
      </c>
      <c r="E143" s="1021" t="s">
        <v>5110</v>
      </c>
      <c r="F143" s="1059" t="s">
        <v>5115</v>
      </c>
      <c r="G143" s="1063">
        <f t="shared" si="20"/>
        <v>0</v>
      </c>
      <c r="H143" s="1020">
        <f t="shared" ref="H143:H156" si="22">VLOOKUP(D143,gpCarac,2,FALSE)/2</f>
        <v>4</v>
      </c>
      <c r="I143" s="1020">
        <f t="shared" si="18"/>
        <v>10</v>
      </c>
      <c r="J143" s="1025">
        <f t="shared" ref="J143:J156" si="23">MIN(80,(VLOOKUP(D143,gpCarac,2,FALSE)*3+VLOOKUP(E143,gpCarac,2,FALSE)*2+VLOOKUP(F143,gpCarac,2,FALSE))/4)</f>
        <v>20</v>
      </c>
      <c r="K143" s="1087">
        <v>40</v>
      </c>
      <c r="L143" s="1094" t="str">
        <f>"Force - pouvoir ="&amp;D114</f>
        <v>Force - pouvoir =44</v>
      </c>
      <c r="M143" s="900"/>
      <c r="N143" s="888" t="str">
        <f>"Intelligence - mémoire ="&amp;D122</f>
        <v>Intelligence - mémoire =7</v>
      </c>
      <c r="O143" s="900"/>
      <c r="Q143" s="1094" t="s">
        <v>706</v>
      </c>
      <c r="R143" s="1144">
        <v>18</v>
      </c>
      <c r="S143" s="1651">
        <v>4</v>
      </c>
      <c r="T143" s="1648">
        <v>4</v>
      </c>
      <c r="U143" s="1425">
        <f t="shared" ref="U143:U151" si="24">ROUND(R143+T143*(V143-R143)/10,0)</f>
        <v>40</v>
      </c>
      <c r="V143" s="1427">
        <f t="shared" si="21"/>
        <v>72</v>
      </c>
      <c r="W143" s="1429">
        <f t="shared" ref="W143:W151" ca="1" si="25">RANDBETWEEN(1,10)+RANDBETWEEN(1,10)</f>
        <v>12</v>
      </c>
      <c r="X143" s="1149"/>
      <c r="ES143" s="970" t="s">
        <v>1300</v>
      </c>
      <c r="ET143" s="971">
        <v>710</v>
      </c>
      <c r="EU143" s="972" t="s">
        <v>4729</v>
      </c>
      <c r="EV143" s="973">
        <v>3</v>
      </c>
      <c r="EW143" s="972" t="s">
        <v>4761</v>
      </c>
      <c r="EX143" s="973">
        <v>2</v>
      </c>
      <c r="EY143" s="980" t="s">
        <v>4728</v>
      </c>
      <c r="EZ143" s="973">
        <v>2</v>
      </c>
      <c r="FA143" s="972" t="s">
        <v>4701</v>
      </c>
      <c r="FB143" s="973">
        <v>1</v>
      </c>
      <c r="FC143" s="980" t="s">
        <v>1399</v>
      </c>
      <c r="FD143" s="973">
        <v>2</v>
      </c>
      <c r="FE143" s="972" t="s">
        <v>280</v>
      </c>
    </row>
    <row r="144" spans="3:161" ht="12" customHeight="1" thickBot="1">
      <c r="C144" s="1043" t="s">
        <v>4701</v>
      </c>
      <c r="D144" s="1037" t="s">
        <v>5109</v>
      </c>
      <c r="E144" s="1021" t="s">
        <v>5108</v>
      </c>
      <c r="F144" s="1059" t="s">
        <v>5115</v>
      </c>
      <c r="G144" s="1063">
        <f t="shared" si="20"/>
        <v>0</v>
      </c>
      <c r="H144" s="1020">
        <f t="shared" si="22"/>
        <v>3.5</v>
      </c>
      <c r="I144" s="1020">
        <f t="shared" si="18"/>
        <v>5.375</v>
      </c>
      <c r="J144" s="1025">
        <f t="shared" si="23"/>
        <v>10.75</v>
      </c>
      <c r="K144" s="1087">
        <v>80</v>
      </c>
      <c r="L144" s="1100" t="str">
        <f>"Endurance - souffle ="&amp;D115</f>
        <v>Endurance - souffle =40</v>
      </c>
      <c r="M144" s="1084"/>
      <c r="N144" s="1126" t="str">
        <f>"Volonté - caractère ="&amp;D123</f>
        <v>Volonté - caractère =19</v>
      </c>
      <c r="O144" s="1125"/>
      <c r="P144" s="1084"/>
      <c r="Q144" s="1094" t="s">
        <v>705</v>
      </c>
      <c r="R144" s="1144">
        <v>15</v>
      </c>
      <c r="S144" s="1651">
        <v>4</v>
      </c>
      <c r="T144" s="1648">
        <v>2</v>
      </c>
      <c r="U144" s="1425">
        <f t="shared" si="24"/>
        <v>24</v>
      </c>
      <c r="V144" s="1427">
        <f t="shared" si="21"/>
        <v>60</v>
      </c>
      <c r="W144" s="1429">
        <f t="shared" ca="1" si="25"/>
        <v>4</v>
      </c>
      <c r="X144" s="1149"/>
      <c r="ES144" s="970" t="s">
        <v>4849</v>
      </c>
      <c r="ET144" s="971">
        <v>420</v>
      </c>
      <c r="EU144" s="972" t="s">
        <v>1423</v>
      </c>
      <c r="EV144" s="973">
        <v>3</v>
      </c>
      <c r="EW144" s="980" t="s">
        <v>4731</v>
      </c>
      <c r="EX144" s="973">
        <v>2</v>
      </c>
      <c r="EY144" s="980" t="s">
        <v>4728</v>
      </c>
      <c r="EZ144" s="973">
        <v>2</v>
      </c>
      <c r="FA144" s="980" t="s">
        <v>4720</v>
      </c>
      <c r="FB144" s="973">
        <v>2</v>
      </c>
      <c r="FC144" s="980" t="s">
        <v>4720</v>
      </c>
      <c r="FD144" s="973">
        <v>2</v>
      </c>
      <c r="FE144" s="972" t="s">
        <v>4779</v>
      </c>
    </row>
    <row r="145" spans="3:161" ht="12" customHeight="1" thickBot="1">
      <c r="C145" s="1043" t="s">
        <v>1338</v>
      </c>
      <c r="D145" s="1037" t="s">
        <v>5116</v>
      </c>
      <c r="E145" s="1021" t="s">
        <v>5117</v>
      </c>
      <c r="F145" s="1059" t="s">
        <v>5112</v>
      </c>
      <c r="G145" s="1063">
        <f t="shared" si="20"/>
        <v>2.5</v>
      </c>
      <c r="H145" s="1020">
        <f t="shared" si="22"/>
        <v>10.5</v>
      </c>
      <c r="I145" s="1020">
        <f t="shared" si="18"/>
        <v>20.875</v>
      </c>
      <c r="J145" s="1025">
        <f t="shared" si="23"/>
        <v>41.75</v>
      </c>
      <c r="K145" s="1087">
        <v>80</v>
      </c>
      <c r="L145" s="1094" t="str">
        <f>"Endurance - fatigue ="&amp;D116</f>
        <v>Endurance - fatigue =40</v>
      </c>
      <c r="N145" s="888" t="str">
        <f>"Volonté - résistance ="&amp;D124</f>
        <v>Volonté - résistance =19</v>
      </c>
      <c r="O145" s="900"/>
      <c r="Q145" s="1094" t="s">
        <v>677</v>
      </c>
      <c r="R145" s="1144">
        <v>13</v>
      </c>
      <c r="S145" s="1651">
        <v>4</v>
      </c>
      <c r="T145" s="1648">
        <v>2</v>
      </c>
      <c r="U145" s="1425">
        <f t="shared" si="24"/>
        <v>21</v>
      </c>
      <c r="V145" s="1427">
        <f t="shared" si="21"/>
        <v>52</v>
      </c>
      <c r="W145" s="1429">
        <f t="shared" ca="1" si="25"/>
        <v>9</v>
      </c>
      <c r="X145" s="1149"/>
      <c r="ES145" s="970" t="s">
        <v>4850</v>
      </c>
      <c r="ET145" s="971">
        <v>380</v>
      </c>
      <c r="EU145" s="972" t="s">
        <v>4684</v>
      </c>
      <c r="EV145" s="973">
        <v>3</v>
      </c>
      <c r="EW145" s="972" t="s">
        <v>114</v>
      </c>
      <c r="EX145" s="973">
        <v>1</v>
      </c>
      <c r="EY145" s="972" t="s">
        <v>4708</v>
      </c>
      <c r="EZ145" s="973">
        <v>2</v>
      </c>
      <c r="FA145" s="972" t="s">
        <v>4696</v>
      </c>
      <c r="FB145" s="973">
        <v>3</v>
      </c>
      <c r="FC145" s="972" t="s">
        <v>87</v>
      </c>
      <c r="FD145" s="973">
        <v>1</v>
      </c>
      <c r="FE145" s="972" t="s">
        <v>4713</v>
      </c>
    </row>
    <row r="146" spans="3:161" ht="12" customHeight="1" thickBot="1">
      <c r="C146" s="1043" t="s">
        <v>1445</v>
      </c>
      <c r="D146" s="1037" t="s">
        <v>5114</v>
      </c>
      <c r="E146" s="1021" t="s">
        <v>5108</v>
      </c>
      <c r="F146" s="1059" t="s">
        <v>5114</v>
      </c>
      <c r="G146" s="1063">
        <f t="shared" si="20"/>
        <v>0.5</v>
      </c>
      <c r="H146" s="1020">
        <f t="shared" si="22"/>
        <v>3.5</v>
      </c>
      <c r="I146" s="1020">
        <f t="shared" si="18"/>
        <v>5.25</v>
      </c>
      <c r="J146" s="1025">
        <f t="shared" si="23"/>
        <v>10.5</v>
      </c>
      <c r="K146" s="1087">
        <v>30</v>
      </c>
      <c r="L146" s="1100" t="str">
        <f>"Dextérité - coordination ="&amp;D117</f>
        <v>Dextérité - coordination =24</v>
      </c>
      <c r="M146" s="1084"/>
      <c r="N146" s="1126" t="str">
        <f>"Eloquence - voix ="&amp;D125</f>
        <v>Eloquence - voix =7</v>
      </c>
      <c r="O146" s="1125"/>
      <c r="P146" s="1084"/>
      <c r="Q146" s="1094" t="s">
        <v>684</v>
      </c>
      <c r="R146" s="1144">
        <v>7</v>
      </c>
      <c r="S146" s="1651">
        <v>4</v>
      </c>
      <c r="T146" s="1648">
        <v>0</v>
      </c>
      <c r="U146" s="1425">
        <f t="shared" si="24"/>
        <v>7</v>
      </c>
      <c r="V146" s="1427">
        <f t="shared" si="21"/>
        <v>28</v>
      </c>
      <c r="W146" s="1429">
        <f t="shared" ca="1" si="25"/>
        <v>8</v>
      </c>
      <c r="X146" s="1149"/>
      <c r="ES146" s="970" t="s">
        <v>1385</v>
      </c>
      <c r="ET146" s="971">
        <v>230</v>
      </c>
      <c r="EU146" s="972" t="s">
        <v>4384</v>
      </c>
      <c r="EV146" s="973">
        <v>3</v>
      </c>
      <c r="EW146" s="972" t="s">
        <v>4693</v>
      </c>
      <c r="EX146" s="973">
        <v>1</v>
      </c>
      <c r="EY146" s="980" t="s">
        <v>4720</v>
      </c>
      <c r="EZ146" s="973">
        <v>2</v>
      </c>
      <c r="FA146" s="972" t="s">
        <v>4739</v>
      </c>
      <c r="FB146" s="973">
        <v>2</v>
      </c>
      <c r="FC146" s="972" t="s">
        <v>4770</v>
      </c>
      <c r="FD146" s="973">
        <v>1</v>
      </c>
      <c r="FE146" s="972" t="s">
        <v>4752</v>
      </c>
    </row>
    <row r="147" spans="3:161" ht="12" customHeight="1" thickBot="1">
      <c r="C147" s="1043" t="s">
        <v>1330</v>
      </c>
      <c r="D147" s="1037" t="s">
        <v>5106</v>
      </c>
      <c r="E147" s="1021" t="s">
        <v>5111</v>
      </c>
      <c r="F147" s="1059" t="s">
        <v>5117</v>
      </c>
      <c r="G147" s="1063">
        <f t="shared" si="20"/>
        <v>20</v>
      </c>
      <c r="H147" s="1020">
        <f t="shared" si="22"/>
        <v>22</v>
      </c>
      <c r="I147" s="1020">
        <f t="shared" si="18"/>
        <v>26.25</v>
      </c>
      <c r="J147" s="1025">
        <f t="shared" si="23"/>
        <v>52.5</v>
      </c>
      <c r="K147" s="1087">
        <v>20</v>
      </c>
      <c r="L147" s="1094" t="str">
        <f>"Dextérité - manipulation ="&amp;D118</f>
        <v>Dextérité - manipulation =24</v>
      </c>
      <c r="N147" s="888" t="str">
        <f>"Eloquence - rapidité ="&amp;D126</f>
        <v>Eloquence - rapidité =7</v>
      </c>
      <c r="O147" s="900"/>
      <c r="Q147" s="1094" t="s">
        <v>685</v>
      </c>
      <c r="R147" s="1144">
        <v>12</v>
      </c>
      <c r="S147" s="1651">
        <v>4</v>
      </c>
      <c r="T147" s="1648">
        <v>2</v>
      </c>
      <c r="U147" s="1425">
        <f t="shared" si="24"/>
        <v>19</v>
      </c>
      <c r="V147" s="1427">
        <f t="shared" si="21"/>
        <v>48</v>
      </c>
      <c r="W147" s="1429">
        <f t="shared" ca="1" si="25"/>
        <v>8</v>
      </c>
      <c r="X147" s="1149"/>
      <c r="ES147" s="970" t="s">
        <v>4851</v>
      </c>
      <c r="ET147" s="971">
        <v>420</v>
      </c>
      <c r="EU147" s="972" t="s">
        <v>901</v>
      </c>
      <c r="EV147" s="973">
        <v>3</v>
      </c>
      <c r="EW147" s="972" t="s">
        <v>167</v>
      </c>
      <c r="EX147" s="973">
        <v>2</v>
      </c>
      <c r="EY147" s="972" t="s">
        <v>4709</v>
      </c>
      <c r="EZ147" s="973">
        <v>1</v>
      </c>
      <c r="FA147" s="972" t="s">
        <v>621</v>
      </c>
      <c r="FB147" s="973">
        <v>2</v>
      </c>
      <c r="FC147" s="972" t="s">
        <v>1022</v>
      </c>
      <c r="FD147" s="973">
        <v>2</v>
      </c>
      <c r="FE147" s="972" t="s">
        <v>4756</v>
      </c>
    </row>
    <row r="148" spans="3:161" ht="12" customHeight="1" thickBot="1">
      <c r="C148" s="1043" t="s">
        <v>603</v>
      </c>
      <c r="D148" s="1037" t="s">
        <v>5117</v>
      </c>
      <c r="E148" s="1021" t="s">
        <v>5106</v>
      </c>
      <c r="F148" s="1059" t="s">
        <v>5116</v>
      </c>
      <c r="G148" s="1063">
        <f t="shared" si="20"/>
        <v>15</v>
      </c>
      <c r="H148" s="1020">
        <f t="shared" si="22"/>
        <v>20</v>
      </c>
      <c r="I148" s="1020">
        <f t="shared" si="18"/>
        <v>28.625</v>
      </c>
      <c r="J148" s="1025">
        <f t="shared" si="23"/>
        <v>57.25</v>
      </c>
      <c r="K148" s="1087">
        <v>50</v>
      </c>
      <c r="L148" s="1100" t="str">
        <f>"Agilité - souplesse ="&amp;D119</f>
        <v>Agilité - souplesse =21</v>
      </c>
      <c r="M148" s="1084"/>
      <c r="N148" s="1126" t="str">
        <f>"Empathie - compréhension ="&amp;D127</f>
        <v>Empathie - compréhension =8</v>
      </c>
      <c r="O148" s="1125"/>
      <c r="P148" s="1084"/>
      <c r="Q148" s="1094" t="s">
        <v>4420</v>
      </c>
      <c r="R148" s="1144">
        <v>7</v>
      </c>
      <c r="S148" s="1651">
        <v>3</v>
      </c>
      <c r="T148" s="1648">
        <v>0</v>
      </c>
      <c r="U148" s="1425">
        <f t="shared" si="24"/>
        <v>7</v>
      </c>
      <c r="V148" s="1427">
        <f t="shared" si="21"/>
        <v>21</v>
      </c>
      <c r="W148" s="1429">
        <f t="shared" ca="1" si="25"/>
        <v>12</v>
      </c>
      <c r="X148" s="1149"/>
      <c r="ES148" s="970" t="s">
        <v>1627</v>
      </c>
      <c r="ET148" s="971">
        <v>680</v>
      </c>
      <c r="EU148" s="972" t="s">
        <v>38</v>
      </c>
      <c r="EV148" s="973">
        <v>3</v>
      </c>
      <c r="EW148" s="972" t="s">
        <v>2033</v>
      </c>
      <c r="EX148" s="973">
        <v>1</v>
      </c>
      <c r="EY148" s="972" t="s">
        <v>152</v>
      </c>
      <c r="EZ148" s="973">
        <v>3</v>
      </c>
      <c r="FA148" s="972" t="s">
        <v>4717</v>
      </c>
      <c r="FB148" s="973">
        <v>2</v>
      </c>
      <c r="FC148" s="972" t="s">
        <v>4694</v>
      </c>
      <c r="FD148" s="973">
        <v>1</v>
      </c>
      <c r="FE148" s="972"/>
    </row>
    <row r="149" spans="3:161" ht="12" customHeight="1" thickBot="1">
      <c r="C149" s="1043" t="s">
        <v>1433</v>
      </c>
      <c r="D149" s="1037" t="s">
        <v>5111</v>
      </c>
      <c r="E149" s="1021" t="s">
        <v>5114</v>
      </c>
      <c r="F149" s="1059" t="s">
        <v>5110</v>
      </c>
      <c r="G149" s="1063">
        <f t="shared" si="20"/>
        <v>6.5</v>
      </c>
      <c r="H149" s="1020">
        <f t="shared" si="22"/>
        <v>9.5</v>
      </c>
      <c r="I149" s="1020">
        <f t="shared" si="18"/>
        <v>11.875</v>
      </c>
      <c r="J149" s="1025">
        <f t="shared" si="23"/>
        <v>23.75</v>
      </c>
      <c r="K149" s="1087">
        <v>30</v>
      </c>
      <c r="L149" s="1127" t="str">
        <f>"Agilité - équilibre ="&amp;D120</f>
        <v>Agilité - équilibre =21</v>
      </c>
      <c r="M149" s="894"/>
      <c r="N149" s="410" t="str">
        <f>"Empathie - intuition ="&amp;D128</f>
        <v>Empathie - intuition =8</v>
      </c>
      <c r="O149" s="1088"/>
      <c r="P149" s="894"/>
      <c r="Q149" s="1094" t="s">
        <v>704</v>
      </c>
      <c r="R149" s="1144">
        <v>8</v>
      </c>
      <c r="S149" s="1651">
        <v>3</v>
      </c>
      <c r="T149" s="1648">
        <v>0</v>
      </c>
      <c r="U149" s="1425">
        <f t="shared" si="24"/>
        <v>8</v>
      </c>
      <c r="V149" s="1427">
        <f t="shared" si="21"/>
        <v>24</v>
      </c>
      <c r="W149" s="1429">
        <f t="shared" ca="1" si="25"/>
        <v>16</v>
      </c>
      <c r="X149" s="1149"/>
      <c r="ES149" s="970" t="s">
        <v>4385</v>
      </c>
      <c r="ET149" s="971">
        <v>350</v>
      </c>
      <c r="EU149" s="972" t="s">
        <v>1054</v>
      </c>
      <c r="EV149" s="973">
        <v>3</v>
      </c>
      <c r="EW149" s="972" t="s">
        <v>4746</v>
      </c>
      <c r="EX149" s="973">
        <v>2</v>
      </c>
      <c r="EY149" s="972" t="s">
        <v>4695</v>
      </c>
      <c r="EZ149" s="973">
        <v>2</v>
      </c>
      <c r="FA149" s="972" t="s">
        <v>4752</v>
      </c>
      <c r="FB149" s="973">
        <v>2</v>
      </c>
      <c r="FC149" s="972" t="s">
        <v>1022</v>
      </c>
      <c r="FD149" s="973">
        <v>2</v>
      </c>
      <c r="FE149" s="972" t="s">
        <v>87</v>
      </c>
    </row>
    <row r="150" spans="3:161" ht="12" customHeight="1" thickBot="1">
      <c r="C150" s="1043" t="s">
        <v>1492</v>
      </c>
      <c r="D150" s="1037" t="s">
        <v>5111</v>
      </c>
      <c r="E150" s="1021" t="s">
        <v>2456</v>
      </c>
      <c r="F150" s="1059" t="s">
        <v>5109</v>
      </c>
      <c r="G150" s="1063">
        <f t="shared" si="20"/>
        <v>5.5</v>
      </c>
      <c r="H150" s="1020">
        <f t="shared" si="22"/>
        <v>9.5</v>
      </c>
      <c r="I150" s="1020">
        <f t="shared" si="18"/>
        <v>10.5</v>
      </c>
      <c r="J150" s="1025">
        <f t="shared" si="23"/>
        <v>21</v>
      </c>
      <c r="K150" s="1087">
        <v>40</v>
      </c>
      <c r="L150" s="1094" t="str">
        <f>"Constitution - robustesse ="&amp;D129</f>
        <v>Constitution - robustesse =32</v>
      </c>
      <c r="N150" s="888" t="str">
        <f>"Apparence - beauté ="&amp;D131</f>
        <v>Apparence - beauté =10</v>
      </c>
      <c r="Q150" s="1094" t="s">
        <v>703</v>
      </c>
      <c r="R150" s="1144">
        <v>17</v>
      </c>
      <c r="S150" s="1651">
        <v>4</v>
      </c>
      <c r="T150" s="1648">
        <v>3</v>
      </c>
      <c r="U150" s="1425">
        <f t="shared" si="24"/>
        <v>32</v>
      </c>
      <c r="V150" s="1427">
        <f t="shared" si="21"/>
        <v>68</v>
      </c>
      <c r="W150" s="1429">
        <f t="shared" ca="1" si="25"/>
        <v>12</v>
      </c>
      <c r="X150" s="1149"/>
      <c r="ES150" s="970" t="s">
        <v>4852</v>
      </c>
      <c r="ET150" s="971">
        <v>320</v>
      </c>
      <c r="EU150" s="972" t="s">
        <v>4704</v>
      </c>
      <c r="EV150" s="973">
        <v>3</v>
      </c>
      <c r="EW150" s="972" t="s">
        <v>87</v>
      </c>
      <c r="EX150" s="973">
        <v>3</v>
      </c>
      <c r="EY150" s="972" t="s">
        <v>4695</v>
      </c>
      <c r="EZ150" s="973">
        <v>3</v>
      </c>
      <c r="FA150" s="972" t="s">
        <v>4708</v>
      </c>
      <c r="FB150" s="973">
        <v>2</v>
      </c>
      <c r="FC150" s="972"/>
      <c r="FD150" s="973">
        <v>0</v>
      </c>
      <c r="FE150" s="972"/>
    </row>
    <row r="151" spans="3:161" ht="12" customHeight="1" thickBot="1">
      <c r="C151" s="1043" t="s">
        <v>2296</v>
      </c>
      <c r="D151" s="1037" t="s">
        <v>5106</v>
      </c>
      <c r="E151" s="1021" t="s">
        <v>5109</v>
      </c>
      <c r="F151" s="1059" t="s">
        <v>5117</v>
      </c>
      <c r="G151" s="1063">
        <f t="shared" si="20"/>
        <v>18</v>
      </c>
      <c r="H151" s="1020">
        <f t="shared" si="22"/>
        <v>22</v>
      </c>
      <c r="I151" s="1020">
        <f t="shared" si="18"/>
        <v>23.25</v>
      </c>
      <c r="J151" s="1025">
        <f t="shared" si="23"/>
        <v>46.5</v>
      </c>
      <c r="K151" s="1087">
        <v>40</v>
      </c>
      <c r="L151" s="903" t="str">
        <f>"Constitution - santé ="&amp;D130</f>
        <v>Constitution - santé =32</v>
      </c>
      <c r="M151" s="904"/>
      <c r="N151" s="1128" t="str">
        <f>"Apparence - charisme ="&amp;D132</f>
        <v>Apparence - charisme =10</v>
      </c>
      <c r="O151" s="904"/>
      <c r="P151" s="904"/>
      <c r="Q151" s="903" t="s">
        <v>702</v>
      </c>
      <c r="R151" s="1145">
        <v>10</v>
      </c>
      <c r="S151" s="1652">
        <v>3</v>
      </c>
      <c r="T151" s="1649">
        <v>0</v>
      </c>
      <c r="U151" s="1425">
        <f t="shared" si="24"/>
        <v>10</v>
      </c>
      <c r="V151" s="1428">
        <f t="shared" si="21"/>
        <v>30</v>
      </c>
      <c r="W151" s="1430">
        <f t="shared" ca="1" si="25"/>
        <v>12</v>
      </c>
      <c r="X151" s="1150"/>
      <c r="ES151" s="970" t="s">
        <v>4853</v>
      </c>
      <c r="ET151" s="971">
        <v>320</v>
      </c>
      <c r="EU151" s="972" t="s">
        <v>4706</v>
      </c>
      <c r="EV151" s="973">
        <v>3</v>
      </c>
      <c r="EW151" s="972" t="s">
        <v>87</v>
      </c>
      <c r="EX151" s="973">
        <v>2</v>
      </c>
      <c r="EY151" s="972" t="s">
        <v>303</v>
      </c>
      <c r="EZ151" s="973">
        <v>2</v>
      </c>
      <c r="FA151" s="972" t="s">
        <v>1528</v>
      </c>
      <c r="FB151" s="973">
        <v>1</v>
      </c>
      <c r="FC151" s="980" t="s">
        <v>4740</v>
      </c>
      <c r="FD151" s="973">
        <v>2</v>
      </c>
      <c r="FE151" s="972"/>
    </row>
    <row r="152" spans="3:161" ht="12" customHeight="1" thickBot="1">
      <c r="C152" s="1043" t="s">
        <v>1420</v>
      </c>
      <c r="D152" s="1037" t="s">
        <v>5109</v>
      </c>
      <c r="E152" s="1021" t="s">
        <v>5110</v>
      </c>
      <c r="F152" s="1059" t="s">
        <v>5115</v>
      </c>
      <c r="G152" s="1063">
        <f t="shared" si="20"/>
        <v>0.5</v>
      </c>
      <c r="H152" s="1020">
        <f t="shared" si="22"/>
        <v>3.5</v>
      </c>
      <c r="I152" s="1020">
        <f t="shared" si="18"/>
        <v>9.625</v>
      </c>
      <c r="J152" s="1025">
        <f t="shared" si="23"/>
        <v>19.25</v>
      </c>
      <c r="K152" s="1087">
        <v>30</v>
      </c>
      <c r="S152" s="668" t="s">
        <v>5243</v>
      </c>
      <c r="T152" s="1069">
        <f>SUM(T142:T151)</f>
        <v>17</v>
      </c>
      <c r="U152" s="668"/>
      <c r="ES152" s="970" t="s">
        <v>4854</v>
      </c>
      <c r="ET152" s="971">
        <v>310</v>
      </c>
      <c r="EU152" s="972" t="s">
        <v>4719</v>
      </c>
      <c r="EV152" s="973">
        <v>3</v>
      </c>
      <c r="EW152" s="972" t="s">
        <v>1526</v>
      </c>
      <c r="EX152" s="973">
        <v>3</v>
      </c>
      <c r="EY152" s="972" t="s">
        <v>4708</v>
      </c>
      <c r="EZ152" s="973">
        <v>2</v>
      </c>
      <c r="FA152" s="972" t="s">
        <v>87</v>
      </c>
      <c r="FB152" s="973">
        <v>2</v>
      </c>
      <c r="FC152" s="972" t="s">
        <v>4688</v>
      </c>
      <c r="FD152" s="973">
        <v>1</v>
      </c>
      <c r="FE152" s="972" t="s">
        <v>4713</v>
      </c>
    </row>
    <row r="153" spans="3:161" ht="12" customHeight="1" thickBot="1">
      <c r="C153" s="1043" t="s">
        <v>1409</v>
      </c>
      <c r="D153" s="1037" t="s">
        <v>5111</v>
      </c>
      <c r="E153" s="1021" t="s">
        <v>5117</v>
      </c>
      <c r="F153" s="1059" t="s">
        <v>5110</v>
      </c>
      <c r="G153" s="1063">
        <f t="shared" si="20"/>
        <v>6.5</v>
      </c>
      <c r="H153" s="1020">
        <f t="shared" si="22"/>
        <v>9.5</v>
      </c>
      <c r="I153" s="1020">
        <f t="shared" si="18"/>
        <v>20.125</v>
      </c>
      <c r="J153" s="1025">
        <f t="shared" si="23"/>
        <v>40.25</v>
      </c>
      <c r="K153" s="1087">
        <v>30</v>
      </c>
      <c r="L153" s="1092" t="s">
        <v>2543</v>
      </c>
      <c r="M153" s="1084"/>
      <c r="N153" s="1085"/>
      <c r="O153" s="1090" t="s">
        <v>5216</v>
      </c>
      <c r="P153" s="1069" t="s">
        <v>5169</v>
      </c>
      <c r="R153" s="668" t="s">
        <v>5186</v>
      </c>
      <c r="S153" s="668" t="s">
        <v>5187</v>
      </c>
      <c r="T153" s="668" t="s">
        <v>5188</v>
      </c>
      <c r="U153" s="1137" t="s">
        <v>5191</v>
      </c>
      <c r="ES153" s="970" t="s">
        <v>4855</v>
      </c>
      <c r="ET153" s="971">
        <v>310</v>
      </c>
      <c r="EU153" s="972" t="s">
        <v>4704</v>
      </c>
      <c r="EV153" s="973">
        <v>3</v>
      </c>
      <c r="EW153" s="972" t="s">
        <v>1045</v>
      </c>
      <c r="EX153" s="973">
        <v>1</v>
      </c>
      <c r="EY153" s="972" t="s">
        <v>2016</v>
      </c>
      <c r="EZ153" s="973">
        <v>3</v>
      </c>
      <c r="FA153" s="972" t="s">
        <v>984</v>
      </c>
      <c r="FB153" s="973">
        <v>3</v>
      </c>
      <c r="FC153" s="972" t="s">
        <v>237</v>
      </c>
      <c r="FD153" s="973">
        <v>1</v>
      </c>
      <c r="FE153" s="972" t="s">
        <v>87</v>
      </c>
    </row>
    <row r="154" spans="3:161" ht="12" customHeight="1" thickBot="1">
      <c r="C154" s="1043" t="s">
        <v>1515</v>
      </c>
      <c r="D154" s="1037" t="s">
        <v>5114</v>
      </c>
      <c r="E154" s="1021" t="s">
        <v>5111</v>
      </c>
      <c r="F154" s="1059" t="s">
        <v>2456</v>
      </c>
      <c r="G154" s="1063">
        <f t="shared" si="20"/>
        <v>2.5</v>
      </c>
      <c r="H154" s="1020">
        <f t="shared" si="22"/>
        <v>3.5</v>
      </c>
      <c r="I154" s="1020">
        <f t="shared" si="18"/>
        <v>8.625</v>
      </c>
      <c r="J154" s="1025">
        <f t="shared" si="23"/>
        <v>17.25</v>
      </c>
      <c r="K154" s="1087">
        <v>10</v>
      </c>
      <c r="L154" s="1094" t="s">
        <v>5177</v>
      </c>
      <c r="N154" s="1095">
        <v>5</v>
      </c>
      <c r="O154" s="668">
        <v>20</v>
      </c>
      <c r="P154" s="1082" t="str">
        <f t="shared" ref="P154:P180" si="26">C227</f>
        <v>Arbalète</v>
      </c>
      <c r="Q154" s="1083"/>
      <c r="R154" s="1116">
        <f t="shared" ref="R154:R180" ca="1" si="27">H227</f>
        <v>12</v>
      </c>
      <c r="S154" s="1091">
        <f t="shared" ref="S154:S180" ca="1" si="28">I227</f>
        <v>15</v>
      </c>
      <c r="T154" s="1091">
        <f t="shared" ref="T154:T180" ca="1" si="29">J227</f>
        <v>30</v>
      </c>
      <c r="ES154" s="970" t="s">
        <v>4856</v>
      </c>
      <c r="ET154" s="971">
        <v>300</v>
      </c>
      <c r="EU154" s="972" t="s">
        <v>4704</v>
      </c>
      <c r="EV154" s="973">
        <v>3</v>
      </c>
      <c r="EW154" s="972" t="s">
        <v>87</v>
      </c>
      <c r="EX154" s="973">
        <v>3</v>
      </c>
      <c r="EY154" s="972" t="s">
        <v>4708</v>
      </c>
      <c r="EZ154" s="973">
        <v>2</v>
      </c>
      <c r="FA154" s="972" t="s">
        <v>1526</v>
      </c>
      <c r="FB154" s="973">
        <v>2</v>
      </c>
      <c r="FC154" s="972" t="s">
        <v>4695</v>
      </c>
      <c r="FD154" s="973">
        <v>2</v>
      </c>
      <c r="FE154" s="972"/>
    </row>
    <row r="155" spans="3:161" ht="12" customHeight="1" thickBot="1">
      <c r="C155" s="1043" t="s">
        <v>1473</v>
      </c>
      <c r="D155" s="1037" t="s">
        <v>5117</v>
      </c>
      <c r="E155" s="1021" t="s">
        <v>5106</v>
      </c>
      <c r="F155" s="1059" t="s">
        <v>5116</v>
      </c>
      <c r="G155" s="1063">
        <f t="shared" si="20"/>
        <v>16</v>
      </c>
      <c r="H155" s="1020">
        <f t="shared" si="22"/>
        <v>20</v>
      </c>
      <c r="I155" s="1020">
        <f t="shared" si="18"/>
        <v>28.625</v>
      </c>
      <c r="J155" s="1025">
        <f t="shared" si="23"/>
        <v>57.25</v>
      </c>
      <c r="K155" s="1087">
        <v>40</v>
      </c>
      <c r="L155" s="1094" t="s">
        <v>5171</v>
      </c>
      <c r="N155" s="1096">
        <f>ROUND((gpPOU*2+gpFAT*2+gpROB*2)/8,0)</f>
        <v>29</v>
      </c>
      <c r="O155" s="668">
        <v>40</v>
      </c>
      <c r="P155" s="1082" t="str">
        <f t="shared" si="26"/>
        <v>Arc</v>
      </c>
      <c r="Q155" s="1083"/>
      <c r="R155" s="1116">
        <f t="shared" ca="1" si="27"/>
        <v>15</v>
      </c>
      <c r="S155" s="1091">
        <f t="shared" ca="1" si="28"/>
        <v>15</v>
      </c>
      <c r="T155" s="1091">
        <f t="shared" ca="1" si="29"/>
        <v>30</v>
      </c>
      <c r="ES155" s="970" t="s">
        <v>4857</v>
      </c>
      <c r="ET155" s="971">
        <v>250</v>
      </c>
      <c r="EU155" s="972" t="s">
        <v>280</v>
      </c>
      <c r="EV155" s="973">
        <v>2</v>
      </c>
      <c r="EW155" s="972" t="s">
        <v>4746</v>
      </c>
      <c r="EX155" s="973">
        <v>2</v>
      </c>
      <c r="EY155" s="972" t="s">
        <v>1022</v>
      </c>
      <c r="EZ155" s="973">
        <v>2</v>
      </c>
      <c r="FA155" s="972" t="s">
        <v>1054</v>
      </c>
      <c r="FB155" s="973">
        <v>1</v>
      </c>
      <c r="FC155" s="972" t="s">
        <v>1484</v>
      </c>
      <c r="FD155" s="973">
        <v>2</v>
      </c>
      <c r="FE155" s="972" t="s">
        <v>4700</v>
      </c>
    </row>
    <row r="156" spans="3:161" ht="12" customHeight="1" thickBot="1">
      <c r="C156" s="1043" t="s">
        <v>1536</v>
      </c>
      <c r="D156" s="1037" t="s">
        <v>5110</v>
      </c>
      <c r="E156" s="1021" t="s">
        <v>5108</v>
      </c>
      <c r="F156" s="1059" t="s">
        <v>5111</v>
      </c>
      <c r="G156" s="1063">
        <f t="shared" si="20"/>
        <v>10</v>
      </c>
      <c r="H156" s="1020">
        <f t="shared" si="22"/>
        <v>12</v>
      </c>
      <c r="I156" s="1020">
        <f t="shared" si="18"/>
        <v>13.125</v>
      </c>
      <c r="J156" s="1025">
        <f t="shared" si="23"/>
        <v>26.25</v>
      </c>
      <c r="K156" s="1087">
        <v>20</v>
      </c>
      <c r="L156" s="1094" t="s">
        <v>5172</v>
      </c>
      <c r="N156" s="1096">
        <f>ROUND((gpROB*3+gpFAT*2+gpRES)/40,0)</f>
        <v>5</v>
      </c>
      <c r="O156" s="668">
        <v>10</v>
      </c>
      <c r="P156" s="1082" t="str">
        <f t="shared" si="26"/>
        <v>Armure</v>
      </c>
      <c r="Q156" s="1083"/>
      <c r="R156" s="1116">
        <f t="shared" si="27"/>
        <v>1</v>
      </c>
      <c r="S156" s="1091">
        <f t="shared" si="28"/>
        <v>2</v>
      </c>
      <c r="T156" s="1091">
        <f t="shared" si="29"/>
        <v>3</v>
      </c>
      <c r="ES156" s="970" t="s">
        <v>4858</v>
      </c>
      <c r="ET156" s="971">
        <v>380</v>
      </c>
      <c r="EU156" s="972" t="s">
        <v>4694</v>
      </c>
      <c r="EV156" s="973">
        <v>3</v>
      </c>
      <c r="EW156" s="972" t="s">
        <v>4384</v>
      </c>
      <c r="EX156" s="973">
        <v>3</v>
      </c>
      <c r="EY156" s="972" t="s">
        <v>4774</v>
      </c>
      <c r="EZ156" s="973">
        <v>3</v>
      </c>
      <c r="FA156" s="972" t="s">
        <v>4693</v>
      </c>
      <c r="FB156" s="973">
        <v>1</v>
      </c>
      <c r="FC156" s="972" t="s">
        <v>152</v>
      </c>
      <c r="FD156" s="973">
        <v>1</v>
      </c>
      <c r="FE156" s="972" t="s">
        <v>94</v>
      </c>
    </row>
    <row r="157" spans="3:161" ht="12" customHeight="1" thickBot="1">
      <c r="C157" s="1043" t="s">
        <v>1462</v>
      </c>
      <c r="D157" s="1038" t="s">
        <v>5118</v>
      </c>
      <c r="E157" s="1021" t="s">
        <v>5115</v>
      </c>
      <c r="F157" s="1059" t="s">
        <v>5110</v>
      </c>
      <c r="G157" s="1063">
        <f t="shared" ca="1" si="20"/>
        <v>1</v>
      </c>
      <c r="H157" s="1020">
        <f ca="1">I17/2</f>
        <v>5</v>
      </c>
      <c r="I157" s="1020">
        <f t="shared" ca="1" si="18"/>
        <v>8.75</v>
      </c>
      <c r="J157" s="1025">
        <f ca="1">MIN(80,(I17*3+D128*2+D118)/4)</f>
        <v>17.5</v>
      </c>
      <c r="K157" s="1087">
        <v>40</v>
      </c>
      <c r="L157" s="1094" t="s">
        <v>5173</v>
      </c>
      <c r="N157" s="1096">
        <f>N154+gpPOU/20+gpCOO/20</f>
        <v>8.4</v>
      </c>
      <c r="O157" s="668">
        <v>60</v>
      </c>
      <c r="P157" s="1082" t="str">
        <f t="shared" si="26"/>
        <v>Art du combat</v>
      </c>
      <c r="Q157" s="1083"/>
      <c r="R157" s="1116">
        <f t="shared" ca="1" si="27"/>
        <v>12</v>
      </c>
      <c r="S157" s="1091">
        <f t="shared" ca="1" si="28"/>
        <v>15</v>
      </c>
      <c r="T157" s="1091">
        <f t="shared" ca="1" si="29"/>
        <v>30</v>
      </c>
      <c r="ES157" s="970" t="s">
        <v>4859</v>
      </c>
      <c r="ET157" s="971">
        <v>350</v>
      </c>
      <c r="EU157" s="972" t="s">
        <v>4749</v>
      </c>
      <c r="EV157" s="973">
        <v>3</v>
      </c>
      <c r="EW157" s="972" t="s">
        <v>4693</v>
      </c>
      <c r="EX157" s="973">
        <v>1</v>
      </c>
      <c r="EY157" s="972" t="s">
        <v>4708</v>
      </c>
      <c r="EZ157" s="973">
        <v>2</v>
      </c>
      <c r="FA157" s="972" t="s">
        <v>87</v>
      </c>
      <c r="FB157" s="973">
        <v>2</v>
      </c>
      <c r="FC157" s="972" t="s">
        <v>4694</v>
      </c>
      <c r="FD157" s="973">
        <v>1</v>
      </c>
      <c r="FE157" s="972" t="s">
        <v>114</v>
      </c>
    </row>
    <row r="158" spans="3:161" ht="12" customHeight="1" thickBot="1">
      <c r="C158" s="1043" t="s">
        <v>2319</v>
      </c>
      <c r="D158" s="1037" t="s">
        <v>5110</v>
      </c>
      <c r="E158" s="1021" t="s">
        <v>5111</v>
      </c>
      <c r="F158" s="1059" t="s">
        <v>5116</v>
      </c>
      <c r="G158" s="1063">
        <f t="shared" si="20"/>
        <v>4</v>
      </c>
      <c r="H158" s="1020">
        <f t="shared" ref="H158:H183" si="30">VLOOKUP(D158,gpCarac,2,FALSE)/2</f>
        <v>12</v>
      </c>
      <c r="I158" s="1020">
        <f t="shared" si="18"/>
        <v>16.375</v>
      </c>
      <c r="J158" s="1025">
        <f t="shared" ref="J158:J183" si="31">MIN(80,(VLOOKUP(D158,gpCarac,2,FALSE)*3+VLOOKUP(E158,gpCarac,2,FALSE)*2+VLOOKUP(F158,gpCarac,2,FALSE))/4)</f>
        <v>32.75</v>
      </c>
      <c r="K158" s="1087">
        <v>80</v>
      </c>
      <c r="L158" s="1094" t="s">
        <v>5174</v>
      </c>
      <c r="N158" s="1096">
        <f>N154+gpSOU/20+gpSOP/20</f>
        <v>8.0500000000000007</v>
      </c>
      <c r="O158" s="668">
        <v>20</v>
      </c>
      <c r="P158" s="1082" t="str">
        <f t="shared" si="26"/>
        <v>Attaque</v>
      </c>
      <c r="Q158" s="1083"/>
      <c r="R158" s="1116">
        <f t="shared" ca="1" si="27"/>
        <v>15</v>
      </c>
      <c r="S158" s="1091">
        <f t="shared" ca="1" si="28"/>
        <v>15</v>
      </c>
      <c r="T158" s="1091">
        <f t="shared" ca="1" si="29"/>
        <v>30</v>
      </c>
      <c r="ES158" s="970" t="s">
        <v>1154</v>
      </c>
      <c r="ET158" s="971">
        <v>100</v>
      </c>
      <c r="EU158" s="972" t="s">
        <v>4719</v>
      </c>
      <c r="EV158" s="973">
        <v>2</v>
      </c>
      <c r="EW158" s="972" t="s">
        <v>895</v>
      </c>
      <c r="EX158" s="973">
        <v>2</v>
      </c>
      <c r="EY158" s="972" t="s">
        <v>2016</v>
      </c>
      <c r="EZ158" s="973">
        <v>2</v>
      </c>
      <c r="FA158" s="972" t="s">
        <v>1022</v>
      </c>
      <c r="FB158" s="973">
        <v>2</v>
      </c>
      <c r="FC158" s="972"/>
      <c r="FD158" s="973">
        <v>0</v>
      </c>
      <c r="FE158" s="972"/>
    </row>
    <row r="159" spans="3:161" ht="12" customHeight="1" thickBot="1">
      <c r="C159" s="1043" t="s">
        <v>566</v>
      </c>
      <c r="D159" s="1037" t="s">
        <v>5105</v>
      </c>
      <c r="E159" s="1021" t="s">
        <v>5111</v>
      </c>
      <c r="F159" s="1059" t="s">
        <v>5115</v>
      </c>
      <c r="G159" s="1063">
        <f t="shared" si="20"/>
        <v>19</v>
      </c>
      <c r="H159" s="1020">
        <f t="shared" si="30"/>
        <v>20</v>
      </c>
      <c r="I159" s="1020">
        <f t="shared" si="18"/>
        <v>20.75</v>
      </c>
      <c r="J159" s="1025">
        <f t="shared" si="31"/>
        <v>41.5</v>
      </c>
      <c r="K159" s="1087">
        <v>10</v>
      </c>
      <c r="L159" s="1094" t="s">
        <v>5175</v>
      </c>
      <c r="N159" s="1096">
        <f ca="1">gpRAP/10+(N154*S180)/50+(R177/20)</f>
        <v>2.2874999999999996</v>
      </c>
      <c r="O159" s="668">
        <v>20</v>
      </c>
      <c r="P159" s="1082" t="str">
        <f t="shared" si="26"/>
        <v>Bouclier</v>
      </c>
      <c r="Q159" s="1083"/>
      <c r="R159" s="1116">
        <f t="shared" ca="1" si="27"/>
        <v>15</v>
      </c>
      <c r="S159" s="1091">
        <f t="shared" ca="1" si="28"/>
        <v>15</v>
      </c>
      <c r="T159" s="1091">
        <f t="shared" ca="1" si="29"/>
        <v>30</v>
      </c>
      <c r="ES159" s="970" t="s">
        <v>4860</v>
      </c>
      <c r="ET159" s="971">
        <v>260</v>
      </c>
      <c r="EU159" s="972" t="s">
        <v>4719</v>
      </c>
      <c r="EV159" s="973">
        <v>2</v>
      </c>
      <c r="EW159" s="972" t="s">
        <v>4683</v>
      </c>
      <c r="EX159" s="973">
        <v>1</v>
      </c>
      <c r="EY159" s="972" t="s">
        <v>4691</v>
      </c>
      <c r="EZ159" s="973">
        <v>1</v>
      </c>
      <c r="FA159" s="972" t="s">
        <v>1022</v>
      </c>
      <c r="FB159" s="973">
        <v>2</v>
      </c>
      <c r="FC159" s="972" t="s">
        <v>2016</v>
      </c>
      <c r="FD159" s="973">
        <v>3</v>
      </c>
      <c r="FE159" s="972" t="s">
        <v>1045</v>
      </c>
    </row>
    <row r="160" spans="3:161" ht="12" customHeight="1" thickBot="1">
      <c r="C160" s="1043" t="s">
        <v>1397</v>
      </c>
      <c r="D160" s="1037" t="s">
        <v>5110</v>
      </c>
      <c r="E160" s="1021" t="s">
        <v>5105</v>
      </c>
      <c r="F160" s="1059" t="s">
        <v>5116</v>
      </c>
      <c r="G160" s="1063">
        <f t="shared" si="20"/>
        <v>9</v>
      </c>
      <c r="H160" s="1020">
        <f t="shared" si="30"/>
        <v>12</v>
      </c>
      <c r="I160" s="1020">
        <f t="shared" si="18"/>
        <v>21.625</v>
      </c>
      <c r="J160" s="1025">
        <f t="shared" si="31"/>
        <v>43.25</v>
      </c>
      <c r="K160" s="1087">
        <v>30</v>
      </c>
      <c r="L160" s="1094" t="s">
        <v>5176</v>
      </c>
      <c r="N160" s="1096">
        <f>N154</f>
        <v>5</v>
      </c>
      <c r="O160" s="668">
        <v>10</v>
      </c>
      <c r="P160" s="1082" t="str">
        <f t="shared" si="26"/>
        <v>Charge</v>
      </c>
      <c r="Q160" s="1083"/>
      <c r="R160" s="1116">
        <f t="shared" ca="1" si="27"/>
        <v>15</v>
      </c>
      <c r="S160" s="1091">
        <f t="shared" ca="1" si="28"/>
        <v>15</v>
      </c>
      <c r="T160" s="1091">
        <f t="shared" ca="1" si="29"/>
        <v>30</v>
      </c>
      <c r="ES160" s="970" t="s">
        <v>1201</v>
      </c>
      <c r="ET160" s="971">
        <v>430</v>
      </c>
      <c r="EU160" s="972" t="s">
        <v>114</v>
      </c>
      <c r="EV160" s="973">
        <v>3</v>
      </c>
      <c r="EW160" s="972" t="s">
        <v>4714</v>
      </c>
      <c r="EX160" s="973">
        <v>2</v>
      </c>
      <c r="EY160" s="972" t="s">
        <v>4781</v>
      </c>
      <c r="EZ160" s="973">
        <v>2</v>
      </c>
      <c r="FA160" s="972" t="s">
        <v>4830</v>
      </c>
      <c r="FB160" s="973">
        <v>2</v>
      </c>
      <c r="FC160" s="972" t="s">
        <v>4713</v>
      </c>
      <c r="FD160" s="973">
        <v>2</v>
      </c>
      <c r="FE160" s="972" t="s">
        <v>4708</v>
      </c>
    </row>
    <row r="161" spans="3:20" ht="12" customHeight="1" thickBot="1">
      <c r="C161" s="1043" t="s">
        <v>1525</v>
      </c>
      <c r="D161" s="1037" t="s">
        <v>5108</v>
      </c>
      <c r="E161" s="1021" t="s">
        <v>5110</v>
      </c>
      <c r="F161" s="1059" t="s">
        <v>2479</v>
      </c>
      <c r="G161" s="1063">
        <f t="shared" si="20"/>
        <v>1.5</v>
      </c>
      <c r="H161" s="1020">
        <f t="shared" si="30"/>
        <v>3.5</v>
      </c>
      <c r="I161" s="1020">
        <f t="shared" si="18"/>
        <v>9.625</v>
      </c>
      <c r="J161" s="1025">
        <f t="shared" si="31"/>
        <v>19.25</v>
      </c>
      <c r="K161" s="1087">
        <v>20</v>
      </c>
      <c r="L161" s="1094" t="s">
        <v>5199</v>
      </c>
      <c r="N161" s="1096">
        <f>(gpSAN*3+gpFAT*2+gpCAR)/6</f>
        <v>32.5</v>
      </c>
      <c r="O161" s="668">
        <v>40</v>
      </c>
      <c r="P161" s="1082" t="str">
        <f t="shared" si="26"/>
        <v>Combat à cheval</v>
      </c>
      <c r="Q161" s="1083"/>
      <c r="R161" s="1116">
        <f t="shared" ca="1" si="27"/>
        <v>12</v>
      </c>
      <c r="S161" s="1091">
        <f t="shared" ca="1" si="28"/>
        <v>15</v>
      </c>
      <c r="T161" s="1091">
        <f t="shared" ca="1" si="29"/>
        <v>30</v>
      </c>
    </row>
    <row r="162" spans="3:20" ht="12" customHeight="1" thickBot="1">
      <c r="C162" s="1043" t="s">
        <v>1384</v>
      </c>
      <c r="D162" s="1037" t="s">
        <v>5116</v>
      </c>
      <c r="E162" s="1021" t="s">
        <v>5119</v>
      </c>
      <c r="F162" s="1059" t="s">
        <v>5103</v>
      </c>
      <c r="G162" s="1063">
        <f t="shared" si="20"/>
        <v>7.5</v>
      </c>
      <c r="H162" s="1020">
        <f t="shared" si="30"/>
        <v>10.5</v>
      </c>
      <c r="I162" s="1020">
        <f t="shared" si="18"/>
        <v>13</v>
      </c>
      <c r="J162" s="1025">
        <f t="shared" si="31"/>
        <v>26</v>
      </c>
      <c r="K162" s="1089">
        <v>30</v>
      </c>
      <c r="L162" s="903" t="s">
        <v>5190</v>
      </c>
      <c r="M162" s="904"/>
      <c r="N162" s="1097">
        <f ca="1">H78/100+(gpSOU*3+gpSOU*2+gpPOU)/30</f>
        <v>9.9333333333333336</v>
      </c>
      <c r="O162" s="668">
        <v>20</v>
      </c>
      <c r="P162" s="1082" t="str">
        <f t="shared" si="26"/>
        <v>Combat à deux armes</v>
      </c>
      <c r="Q162" s="1083"/>
      <c r="R162" s="1116">
        <f t="shared" ca="1" si="27"/>
        <v>12</v>
      </c>
      <c r="S162" s="1091">
        <f t="shared" ca="1" si="28"/>
        <v>15</v>
      </c>
      <c r="T162" s="1091">
        <f t="shared" ca="1" si="29"/>
        <v>30</v>
      </c>
    </row>
    <row r="163" spans="3:20" ht="12" customHeight="1" thickBot="1">
      <c r="C163" s="1043" t="s">
        <v>5132</v>
      </c>
      <c r="D163" s="1037" t="s">
        <v>5109</v>
      </c>
      <c r="E163" s="1021" t="s">
        <v>5111</v>
      </c>
      <c r="F163" s="1059" t="s">
        <v>5114</v>
      </c>
      <c r="G163" s="1063">
        <f t="shared" si="20"/>
        <v>0</v>
      </c>
      <c r="H163" s="1020">
        <f t="shared" si="30"/>
        <v>3.5</v>
      </c>
      <c r="I163" s="1020">
        <f t="shared" si="18"/>
        <v>8.25</v>
      </c>
      <c r="J163" s="1025">
        <f t="shared" si="31"/>
        <v>16.5</v>
      </c>
      <c r="K163" s="1089">
        <v>70</v>
      </c>
      <c r="L163" s="1092" t="s">
        <v>579</v>
      </c>
      <c r="M163" s="1084"/>
      <c r="N163" s="1093"/>
      <c r="O163" s="668">
        <v>20</v>
      </c>
      <c r="P163" s="1082" t="str">
        <f t="shared" si="26"/>
        <v>Dague</v>
      </c>
      <c r="Q163" s="1083"/>
      <c r="R163" s="1116">
        <f t="shared" ca="1" si="27"/>
        <v>12</v>
      </c>
      <c r="S163" s="1091">
        <f t="shared" ca="1" si="28"/>
        <v>15</v>
      </c>
      <c r="T163" s="1091">
        <f t="shared" ca="1" si="29"/>
        <v>30</v>
      </c>
    </row>
    <row r="164" spans="3:20" ht="12" customHeight="1" thickBot="1">
      <c r="C164" s="1044" t="s">
        <v>1494</v>
      </c>
      <c r="D164" s="1037" t="s">
        <v>5116</v>
      </c>
      <c r="E164" s="1021" t="s">
        <v>5115</v>
      </c>
      <c r="F164" s="1059" t="s">
        <v>5109</v>
      </c>
      <c r="G164" s="1063">
        <f t="shared" si="20"/>
        <v>9.5</v>
      </c>
      <c r="H164" s="1054">
        <f t="shared" si="30"/>
        <v>10.5</v>
      </c>
      <c r="I164" s="1020">
        <f t="shared" si="18"/>
        <v>10.75</v>
      </c>
      <c r="J164" s="1025">
        <f t="shared" si="31"/>
        <v>21.5</v>
      </c>
      <c r="K164" s="1089">
        <v>10</v>
      </c>
      <c r="L164" s="1094" t="s">
        <v>5178</v>
      </c>
      <c r="N164" s="1095">
        <v>0</v>
      </c>
      <c r="O164" s="668">
        <v>20</v>
      </c>
      <c r="P164" s="1082" t="str">
        <f t="shared" si="26"/>
        <v>Défense</v>
      </c>
      <c r="Q164" s="1083"/>
      <c r="R164" s="1116">
        <f t="shared" ca="1" si="27"/>
        <v>10.5</v>
      </c>
      <c r="S164" s="1091">
        <f t="shared" ca="1" si="28"/>
        <v>15</v>
      </c>
      <c r="T164" s="1091">
        <f t="shared" ca="1" si="29"/>
        <v>30</v>
      </c>
    </row>
    <row r="165" spans="3:20" ht="12" customHeight="1" thickBot="1">
      <c r="C165" s="1043" t="s">
        <v>1455</v>
      </c>
      <c r="D165" s="1037" t="s">
        <v>5112</v>
      </c>
      <c r="E165" s="1021" t="s">
        <v>5106</v>
      </c>
      <c r="F165" s="1059" t="s">
        <v>5111</v>
      </c>
      <c r="G165" s="1063">
        <f t="shared" si="20"/>
        <v>8</v>
      </c>
      <c r="H165" s="1020">
        <f t="shared" si="30"/>
        <v>12</v>
      </c>
      <c r="I165" s="1020">
        <f t="shared" si="18"/>
        <v>22.375</v>
      </c>
      <c r="J165" s="1025">
        <f t="shared" si="31"/>
        <v>44.75</v>
      </c>
      <c r="K165" s="1087">
        <v>40</v>
      </c>
      <c r="L165" s="1094" t="s">
        <v>5198</v>
      </c>
      <c r="N165" s="1096">
        <f>20+(U232*N164)/10</f>
        <v>20</v>
      </c>
      <c r="O165" s="668">
        <v>40</v>
      </c>
      <c r="P165" s="1082" t="str">
        <f t="shared" si="26"/>
        <v>Divers</v>
      </c>
      <c r="Q165" s="1083"/>
      <c r="R165" s="1116">
        <f t="shared" ca="1" si="27"/>
        <v>12</v>
      </c>
      <c r="S165" s="1091">
        <f t="shared" ca="1" si="28"/>
        <v>15</v>
      </c>
      <c r="T165" s="1091">
        <f t="shared" ca="1" si="29"/>
        <v>30</v>
      </c>
    </row>
    <row r="166" spans="3:20" ht="12" customHeight="1" thickBot="1">
      <c r="C166" s="1043" t="s">
        <v>1514</v>
      </c>
      <c r="D166" s="1037" t="s">
        <v>5111</v>
      </c>
      <c r="E166" s="1021" t="s">
        <v>5115</v>
      </c>
      <c r="F166" s="1059" t="s">
        <v>5115</v>
      </c>
      <c r="G166" s="1063">
        <f t="shared" si="20"/>
        <v>7.5</v>
      </c>
      <c r="H166" s="1020">
        <f t="shared" si="30"/>
        <v>9.5</v>
      </c>
      <c r="I166" s="1020">
        <f t="shared" si="18"/>
        <v>10.125</v>
      </c>
      <c r="J166" s="1025">
        <f t="shared" si="31"/>
        <v>20.25</v>
      </c>
      <c r="K166" s="1087">
        <v>20</v>
      </c>
      <c r="L166" s="1094" t="s">
        <v>5179</v>
      </c>
      <c r="N166" s="1096">
        <f>(gpRES*3+gpMEM*2+gpRAP)/30+N164/2</f>
        <v>2.6</v>
      </c>
      <c r="O166" s="668">
        <v>20</v>
      </c>
      <c r="P166" s="1082" t="str">
        <f t="shared" si="26"/>
        <v>Embuscade</v>
      </c>
      <c r="Q166" s="1083"/>
      <c r="R166" s="1116">
        <f t="shared" ca="1" si="27"/>
        <v>4</v>
      </c>
      <c r="S166" s="1091">
        <f t="shared" ca="1" si="28"/>
        <v>9.125</v>
      </c>
      <c r="T166" s="1091">
        <f t="shared" ca="1" si="29"/>
        <v>18.25</v>
      </c>
    </row>
    <row r="167" spans="3:20" ht="12" customHeight="1" thickBot="1">
      <c r="C167" s="1043" t="s">
        <v>1444</v>
      </c>
      <c r="D167" s="1037" t="s">
        <v>5108</v>
      </c>
      <c r="E167" s="1021" t="s">
        <v>5115</v>
      </c>
      <c r="F167" s="1059" t="s">
        <v>5110</v>
      </c>
      <c r="G167" s="1063">
        <f t="shared" si="20"/>
        <v>0</v>
      </c>
      <c r="H167" s="1020">
        <f t="shared" si="30"/>
        <v>3.5</v>
      </c>
      <c r="I167" s="1020">
        <f t="shared" si="18"/>
        <v>7.625</v>
      </c>
      <c r="J167" s="1025">
        <f t="shared" si="31"/>
        <v>15.25</v>
      </c>
      <c r="K167" s="1087">
        <v>40</v>
      </c>
      <c r="L167" s="1094" t="s">
        <v>5197</v>
      </c>
      <c r="N167" s="1096">
        <f>gpINU/3+N164</f>
        <v>2.6666666666666665</v>
      </c>
      <c r="O167" s="668">
        <v>30</v>
      </c>
      <c r="P167" s="1082" t="str">
        <f t="shared" si="26"/>
        <v>Épée</v>
      </c>
      <c r="Q167" s="1083"/>
      <c r="R167" s="1116">
        <f t="shared" ca="1" si="27"/>
        <v>15</v>
      </c>
      <c r="S167" s="1091">
        <f t="shared" ca="1" si="28"/>
        <v>15</v>
      </c>
      <c r="T167" s="1091">
        <f t="shared" ca="1" si="29"/>
        <v>30</v>
      </c>
    </row>
    <row r="168" spans="3:20" ht="12" customHeight="1" thickBot="1">
      <c r="C168" s="1044" t="s">
        <v>1484</v>
      </c>
      <c r="D168" s="1037" t="s">
        <v>5116</v>
      </c>
      <c r="E168" s="1021" t="s">
        <v>5112</v>
      </c>
      <c r="F168" s="1059" t="s">
        <v>5106</v>
      </c>
      <c r="G168" s="1063">
        <f t="shared" si="20"/>
        <v>9.5</v>
      </c>
      <c r="H168" s="1054">
        <f t="shared" si="30"/>
        <v>10.5</v>
      </c>
      <c r="I168" s="1020">
        <f t="shared" si="18"/>
        <v>19.375</v>
      </c>
      <c r="J168" s="1025">
        <f t="shared" si="31"/>
        <v>38.75</v>
      </c>
      <c r="K168" s="1087">
        <v>10</v>
      </c>
      <c r="L168" s="1094" t="s">
        <v>5180</v>
      </c>
      <c r="N168" s="1096">
        <f ca="1">(U232+persoFoi)/100*(N164)*(gpMEM*3+gpRES*2+gpINU)/20</f>
        <v>0</v>
      </c>
      <c r="O168" s="668">
        <v>10</v>
      </c>
      <c r="P168" s="1082" t="str">
        <f t="shared" si="26"/>
        <v>Esquive</v>
      </c>
      <c r="Q168" s="1083"/>
      <c r="R168" s="1116">
        <f t="shared" ca="1" si="27"/>
        <v>12</v>
      </c>
      <c r="S168" s="1091">
        <f t="shared" ca="1" si="28"/>
        <v>15</v>
      </c>
      <c r="T168" s="1091">
        <f t="shared" ca="1" si="29"/>
        <v>30</v>
      </c>
    </row>
    <row r="169" spans="3:20" ht="12" customHeight="1" thickBot="1">
      <c r="C169" s="1043" t="s">
        <v>1355</v>
      </c>
      <c r="D169" s="1037" t="s">
        <v>5110</v>
      </c>
      <c r="E169" s="1021" t="s">
        <v>5117</v>
      </c>
      <c r="F169" s="1059" t="s">
        <v>2479</v>
      </c>
      <c r="G169" s="1063">
        <f t="shared" si="20"/>
        <v>7</v>
      </c>
      <c r="H169" s="1020">
        <f t="shared" si="30"/>
        <v>12</v>
      </c>
      <c r="I169" s="1020">
        <f t="shared" si="18"/>
        <v>20</v>
      </c>
      <c r="J169" s="1025">
        <f t="shared" si="31"/>
        <v>40</v>
      </c>
      <c r="K169" s="1057">
        <v>50</v>
      </c>
      <c r="L169" s="1094" t="s">
        <v>5181</v>
      </c>
      <c r="N169" s="1096">
        <f>(gpRAP*3+gpCAR*2+gpMEM)/30+N164/5</f>
        <v>2.2000000000000002</v>
      </c>
      <c r="O169" s="668">
        <v>20</v>
      </c>
      <c r="P169" s="1082" t="str">
        <f t="shared" si="26"/>
        <v>Fronde</v>
      </c>
      <c r="Q169" s="1083"/>
      <c r="R169" s="1116">
        <f t="shared" ca="1" si="27"/>
        <v>12</v>
      </c>
      <c r="S169" s="1091">
        <f t="shared" ca="1" si="28"/>
        <v>15</v>
      </c>
      <c r="T169" s="1091">
        <f t="shared" ca="1" si="29"/>
        <v>30</v>
      </c>
    </row>
    <row r="170" spans="3:20" ht="12" customHeight="1" thickBot="1">
      <c r="C170" s="1043" t="s">
        <v>5123</v>
      </c>
      <c r="D170" s="1037" t="s">
        <v>5109</v>
      </c>
      <c r="E170" s="1021" t="s">
        <v>5111</v>
      </c>
      <c r="F170" s="1059" t="s">
        <v>2479</v>
      </c>
      <c r="G170" s="1063">
        <f t="shared" si="20"/>
        <v>0</v>
      </c>
      <c r="H170" s="1020">
        <f t="shared" si="30"/>
        <v>3.5</v>
      </c>
      <c r="I170" s="1020">
        <f t="shared" si="18"/>
        <v>8.375</v>
      </c>
      <c r="J170" s="1025">
        <f t="shared" si="31"/>
        <v>16.75</v>
      </c>
      <c r="K170" s="113">
        <v>60</v>
      </c>
      <c r="L170" s="1094" t="s">
        <v>5182</v>
      </c>
      <c r="N170" s="1096">
        <f>(gpRES*3+gpSAN+2+gpINU)/3</f>
        <v>33</v>
      </c>
      <c r="O170" s="668">
        <v>10</v>
      </c>
      <c r="P170" s="1082" t="str">
        <f t="shared" si="26"/>
        <v>Fuite</v>
      </c>
      <c r="Q170" s="1083"/>
      <c r="R170" s="1116">
        <f t="shared" ca="1" si="27"/>
        <v>10.5</v>
      </c>
      <c r="S170" s="1091">
        <f t="shared" ca="1" si="28"/>
        <v>15</v>
      </c>
      <c r="T170" s="1091">
        <f t="shared" ca="1" si="29"/>
        <v>30</v>
      </c>
    </row>
    <row r="171" spans="3:20" ht="12" customHeight="1" thickBot="1">
      <c r="C171" s="1043" t="s">
        <v>1339</v>
      </c>
      <c r="D171" s="1037" t="s">
        <v>5108</v>
      </c>
      <c r="E171" s="1021" t="s">
        <v>2479</v>
      </c>
      <c r="F171" s="1059" t="s">
        <v>5108</v>
      </c>
      <c r="G171" s="1063">
        <f t="shared" si="20"/>
        <v>0</v>
      </c>
      <c r="H171" s="1020">
        <f t="shared" si="30"/>
        <v>3.5</v>
      </c>
      <c r="I171" s="1020">
        <f t="shared" si="18"/>
        <v>5.5</v>
      </c>
      <c r="J171" s="1025">
        <f t="shared" si="31"/>
        <v>11</v>
      </c>
      <c r="K171" s="1057">
        <v>50</v>
      </c>
      <c r="L171" s="903" t="s">
        <v>5183</v>
      </c>
      <c r="M171" s="904"/>
      <c r="N171" s="1097">
        <f>(gpSAN*3+gpRES*2+gpFAT)/50</f>
        <v>3.48</v>
      </c>
      <c r="O171" s="668">
        <v>30</v>
      </c>
      <c r="P171" s="1082" t="str">
        <f t="shared" si="26"/>
        <v>Hache</v>
      </c>
      <c r="Q171" s="1083"/>
      <c r="R171" s="1116">
        <f t="shared" ca="1" si="27"/>
        <v>15</v>
      </c>
      <c r="S171" s="1091">
        <f t="shared" ca="1" si="28"/>
        <v>15</v>
      </c>
      <c r="T171" s="1091">
        <f t="shared" ca="1" si="29"/>
        <v>30</v>
      </c>
    </row>
    <row r="172" spans="3:20" ht="12" customHeight="1" thickBot="1">
      <c r="C172" s="1043" t="s">
        <v>1329</v>
      </c>
      <c r="D172" s="1037" t="s">
        <v>5108</v>
      </c>
      <c r="E172" s="1021" t="s">
        <v>5109</v>
      </c>
      <c r="F172" s="1059" t="s">
        <v>5115</v>
      </c>
      <c r="G172" s="1063">
        <f t="shared" si="20"/>
        <v>0</v>
      </c>
      <c r="H172" s="1020">
        <f t="shared" si="30"/>
        <v>3.5</v>
      </c>
      <c r="I172" s="1020">
        <f t="shared" si="18"/>
        <v>5.375</v>
      </c>
      <c r="J172" s="1025">
        <f t="shared" si="31"/>
        <v>10.75</v>
      </c>
      <c r="K172" s="1057">
        <v>50</v>
      </c>
      <c r="L172" s="1092" t="s">
        <v>653</v>
      </c>
      <c r="M172" s="1084"/>
      <c r="N172" s="1085"/>
      <c r="O172" s="668">
        <v>40</v>
      </c>
      <c r="P172" s="1082" t="str">
        <f t="shared" si="26"/>
        <v>Lance</v>
      </c>
      <c r="Q172" s="1083"/>
      <c r="R172" s="1116">
        <f t="shared" ca="1" si="27"/>
        <v>15</v>
      </c>
      <c r="S172" s="1091">
        <f t="shared" ca="1" si="28"/>
        <v>15</v>
      </c>
      <c r="T172" s="1091">
        <f t="shared" ca="1" si="29"/>
        <v>30</v>
      </c>
    </row>
    <row r="173" spans="3:20" ht="12" customHeight="1" thickBot="1">
      <c r="C173" s="1043" t="s">
        <v>1534</v>
      </c>
      <c r="D173" s="1037" t="s">
        <v>2479</v>
      </c>
      <c r="E173" s="1021" t="s">
        <v>5109</v>
      </c>
      <c r="F173" s="1059" t="s">
        <v>5115</v>
      </c>
      <c r="G173" s="1063">
        <f t="shared" si="20"/>
        <v>0</v>
      </c>
      <c r="H173" s="1020">
        <f t="shared" si="30"/>
        <v>4</v>
      </c>
      <c r="I173" s="1020">
        <f t="shared" si="18"/>
        <v>5.75</v>
      </c>
      <c r="J173" s="1025">
        <f t="shared" si="31"/>
        <v>11.5</v>
      </c>
      <c r="K173" s="113">
        <v>50</v>
      </c>
      <c r="L173" s="1094" t="s">
        <v>5212</v>
      </c>
      <c r="N173" s="1096">
        <f>(gpPOU*3+gpFAT*2+gpROB)/6</f>
        <v>40.666666666666664</v>
      </c>
      <c r="O173" s="668">
        <v>30</v>
      </c>
      <c r="P173" s="1082" t="str">
        <f t="shared" si="26"/>
        <v>Masse</v>
      </c>
      <c r="Q173" s="1083"/>
      <c r="R173" s="1116">
        <f t="shared" ca="1" si="27"/>
        <v>15</v>
      </c>
      <c r="S173" s="1091">
        <f t="shared" ca="1" si="28"/>
        <v>15</v>
      </c>
      <c r="T173" s="1091">
        <f t="shared" ca="1" si="29"/>
        <v>30</v>
      </c>
    </row>
    <row r="174" spans="3:20" ht="12" customHeight="1" thickBot="1">
      <c r="C174" s="1043" t="s">
        <v>5124</v>
      </c>
      <c r="D174" s="1037" t="s">
        <v>2479</v>
      </c>
      <c r="E174" s="1021" t="s">
        <v>5113</v>
      </c>
      <c r="F174" s="1059" t="s">
        <v>5114</v>
      </c>
      <c r="G174" s="1063">
        <f t="shared" si="20"/>
        <v>0</v>
      </c>
      <c r="H174" s="1020">
        <f t="shared" si="30"/>
        <v>4</v>
      </c>
      <c r="I174" s="1020">
        <f t="shared" si="18"/>
        <v>5.625</v>
      </c>
      <c r="J174" s="1025">
        <f t="shared" si="31"/>
        <v>11.25</v>
      </c>
      <c r="K174" s="113">
        <v>40</v>
      </c>
      <c r="L174" s="1094" t="s">
        <v>5213</v>
      </c>
      <c r="N174" s="1096">
        <f>N173*2</f>
        <v>81.333333333333329</v>
      </c>
      <c r="O174" s="668">
        <v>10</v>
      </c>
      <c r="P174" s="1082" t="str">
        <f t="shared" si="26"/>
        <v>Mêlée</v>
      </c>
      <c r="Q174" s="1083"/>
      <c r="R174" s="1116">
        <f t="shared" ca="1" si="27"/>
        <v>15</v>
      </c>
      <c r="S174" s="1091">
        <f t="shared" ca="1" si="28"/>
        <v>15</v>
      </c>
      <c r="T174" s="1091">
        <f t="shared" ca="1" si="29"/>
        <v>30</v>
      </c>
    </row>
    <row r="175" spans="3:20" ht="12" customHeight="1" thickBot="1">
      <c r="C175" s="1043" t="s">
        <v>1419</v>
      </c>
      <c r="D175" s="1037" t="s">
        <v>5109</v>
      </c>
      <c r="E175" s="1021" t="s">
        <v>5108</v>
      </c>
      <c r="F175" s="1059" t="s">
        <v>5113</v>
      </c>
      <c r="G175" s="1063">
        <f t="shared" si="20"/>
        <v>0</v>
      </c>
      <c r="H175" s="1020">
        <f t="shared" si="30"/>
        <v>3.5</v>
      </c>
      <c r="I175" s="1020">
        <f t="shared" si="18"/>
        <v>5.25</v>
      </c>
      <c r="J175" s="1025">
        <f t="shared" si="31"/>
        <v>10.5</v>
      </c>
      <c r="K175" s="1057">
        <v>40</v>
      </c>
      <c r="L175" s="1094" t="s">
        <v>5214</v>
      </c>
      <c r="N175" s="1096">
        <f>N173*3</f>
        <v>122</v>
      </c>
      <c r="O175" s="668">
        <v>10</v>
      </c>
      <c r="P175" s="1082" t="str">
        <f t="shared" si="26"/>
        <v>Obéissance</v>
      </c>
      <c r="Q175" s="1083"/>
      <c r="R175" s="1116">
        <f t="shared" ca="1" si="27"/>
        <v>5</v>
      </c>
      <c r="S175" s="1091">
        <f t="shared" ca="1" si="28"/>
        <v>9.375</v>
      </c>
      <c r="T175" s="1091">
        <f t="shared" ca="1" si="29"/>
        <v>18.75</v>
      </c>
    </row>
    <row r="176" spans="3:20" ht="12" customHeight="1" thickBot="1">
      <c r="C176" s="1043" t="s">
        <v>1472</v>
      </c>
      <c r="D176" s="1037" t="s">
        <v>5110</v>
      </c>
      <c r="E176" s="1021" t="s">
        <v>5111</v>
      </c>
      <c r="F176" s="1059" t="s">
        <v>5108</v>
      </c>
      <c r="G176" s="1063">
        <f t="shared" si="20"/>
        <v>6</v>
      </c>
      <c r="H176" s="1020">
        <f t="shared" si="30"/>
        <v>12</v>
      </c>
      <c r="I176" s="1020">
        <f t="shared" si="18"/>
        <v>14.625</v>
      </c>
      <c r="J176" s="1025">
        <f t="shared" si="31"/>
        <v>29.25</v>
      </c>
      <c r="K176" s="1057">
        <v>60</v>
      </c>
      <c r="L176" s="1094" t="s">
        <v>5196</v>
      </c>
      <c r="N176" s="1096">
        <f>(gpVOI*2+gpCHA*2+gpCAR*2)/4</f>
        <v>18</v>
      </c>
      <c r="O176" s="668">
        <v>10</v>
      </c>
      <c r="P176" s="1082" t="str">
        <f t="shared" si="26"/>
        <v>Pique</v>
      </c>
      <c r="Q176" s="1083"/>
      <c r="R176" s="1116">
        <f t="shared" ca="1" si="27"/>
        <v>15</v>
      </c>
      <c r="S176" s="1091">
        <f t="shared" ca="1" si="28"/>
        <v>15</v>
      </c>
      <c r="T176" s="1091">
        <f t="shared" ca="1" si="29"/>
        <v>30</v>
      </c>
    </row>
    <row r="177" spans="3:21" ht="12" customHeight="1" thickBot="1">
      <c r="C177" s="1043" t="s">
        <v>5125</v>
      </c>
      <c r="D177" s="1037" t="s">
        <v>5115</v>
      </c>
      <c r="E177" s="1021" t="s">
        <v>2479</v>
      </c>
      <c r="F177" s="1059" t="s">
        <v>5108</v>
      </c>
      <c r="G177" s="1063">
        <f t="shared" si="20"/>
        <v>0</v>
      </c>
      <c r="H177" s="1020">
        <f t="shared" si="30"/>
        <v>4</v>
      </c>
      <c r="I177" s="1020">
        <f t="shared" si="18"/>
        <v>5.875</v>
      </c>
      <c r="J177" s="1025">
        <f t="shared" si="31"/>
        <v>11.75</v>
      </c>
      <c r="K177" s="113">
        <v>50</v>
      </c>
      <c r="L177" s="1094" t="s">
        <v>5192</v>
      </c>
      <c r="N177" s="1096">
        <f ca="1">H79/25</f>
        <v>2.84</v>
      </c>
      <c r="O177" s="668">
        <v>20</v>
      </c>
      <c r="P177" s="1082" t="str">
        <f t="shared" si="26"/>
        <v>Réaction</v>
      </c>
      <c r="Q177" s="1083"/>
      <c r="R177" s="1116">
        <f t="shared" ca="1" si="27"/>
        <v>3.5</v>
      </c>
      <c r="S177" s="1091">
        <f t="shared" ca="1" si="28"/>
        <v>5.375</v>
      </c>
      <c r="T177" s="1091">
        <f t="shared" ca="1" si="29"/>
        <v>10.75</v>
      </c>
    </row>
    <row r="178" spans="3:21" ht="12" customHeight="1" thickBot="1">
      <c r="C178" s="1043" t="s">
        <v>5126</v>
      </c>
      <c r="D178" s="1039" t="s">
        <v>5108</v>
      </c>
      <c r="E178" s="1029" t="s">
        <v>5115</v>
      </c>
      <c r="F178" s="1060" t="s">
        <v>5109</v>
      </c>
      <c r="G178" s="1063">
        <f t="shared" si="20"/>
        <v>0.5</v>
      </c>
      <c r="H178" s="1020">
        <f t="shared" si="30"/>
        <v>3.5</v>
      </c>
      <c r="I178" s="1020">
        <f t="shared" ref="I178:I228" si="32">J178/2</f>
        <v>5.5</v>
      </c>
      <c r="J178" s="1025">
        <f t="shared" si="31"/>
        <v>11</v>
      </c>
      <c r="K178" s="113">
        <v>30</v>
      </c>
      <c r="L178" s="1094" t="s">
        <v>5193</v>
      </c>
      <c r="N178" s="1098">
        <f ca="1">(H78+gpPOU+gpFAT+gpSOP+gpCAR)/100</f>
        <v>3.04</v>
      </c>
      <c r="O178" s="668">
        <v>10</v>
      </c>
      <c r="P178" s="1082" t="str">
        <f t="shared" si="26"/>
        <v>Résistance</v>
      </c>
      <c r="Q178" s="1083"/>
      <c r="R178" s="1116">
        <f t="shared" ca="1" si="27"/>
        <v>15</v>
      </c>
      <c r="S178" s="1091">
        <f t="shared" ca="1" si="28"/>
        <v>15</v>
      </c>
      <c r="T178" s="1091">
        <f t="shared" ca="1" si="29"/>
        <v>30</v>
      </c>
    </row>
    <row r="179" spans="3:21" ht="12" customHeight="1" thickBot="1">
      <c r="C179" s="1043" t="s">
        <v>5127</v>
      </c>
      <c r="D179" s="1039" t="s">
        <v>5108</v>
      </c>
      <c r="E179" s="1029" t="s">
        <v>5113</v>
      </c>
      <c r="F179" s="1060" t="s">
        <v>5112</v>
      </c>
      <c r="G179" s="1063">
        <f t="shared" si="20"/>
        <v>2.5</v>
      </c>
      <c r="H179" s="1020">
        <f t="shared" si="30"/>
        <v>3.5</v>
      </c>
      <c r="I179" s="1020">
        <f t="shared" si="32"/>
        <v>7.375</v>
      </c>
      <c r="J179" s="1025">
        <f t="shared" si="31"/>
        <v>14.75</v>
      </c>
      <c r="K179" s="113">
        <v>10</v>
      </c>
      <c r="L179" s="1094" t="s">
        <v>5194</v>
      </c>
      <c r="N179" s="1098">
        <f ca="1">H78*N162/400</f>
        <v>4.47</v>
      </c>
      <c r="O179" s="668">
        <v>20</v>
      </c>
      <c r="P179" s="1082" t="str">
        <f t="shared" si="26"/>
        <v>Siège</v>
      </c>
      <c r="Q179" s="1083"/>
      <c r="R179" s="1116">
        <f t="shared" ca="1" si="27"/>
        <v>3.5</v>
      </c>
      <c r="S179" s="1091">
        <f t="shared" ca="1" si="28"/>
        <v>11.625</v>
      </c>
      <c r="T179" s="1091">
        <f t="shared" ca="1" si="29"/>
        <v>23.25</v>
      </c>
    </row>
    <row r="180" spans="3:21" ht="12" customHeight="1" thickBot="1">
      <c r="C180" s="1043" t="s">
        <v>5128</v>
      </c>
      <c r="D180" s="1039" t="s">
        <v>5109</v>
      </c>
      <c r="E180" s="1029" t="s">
        <v>5108</v>
      </c>
      <c r="F180" s="1060" t="s">
        <v>2479</v>
      </c>
      <c r="G180" s="1063">
        <f t="shared" si="20"/>
        <v>2.5</v>
      </c>
      <c r="H180" s="1054">
        <f t="shared" si="30"/>
        <v>3.5</v>
      </c>
      <c r="I180" s="1020">
        <f t="shared" si="32"/>
        <v>5.375</v>
      </c>
      <c r="J180" s="1025">
        <f t="shared" si="31"/>
        <v>10.75</v>
      </c>
      <c r="K180" s="113">
        <v>10</v>
      </c>
      <c r="L180" s="903" t="s">
        <v>5195</v>
      </c>
      <c r="M180" s="904"/>
      <c r="N180" s="1099">
        <f ca="1">N179/3</f>
        <v>1.49</v>
      </c>
      <c r="O180" s="668">
        <v>10</v>
      </c>
      <c r="P180" s="1082" t="str">
        <f t="shared" si="26"/>
        <v>Vitesse</v>
      </c>
      <c r="Q180" s="1083"/>
      <c r="R180" s="1116">
        <f t="shared" ca="1" si="27"/>
        <v>3.5</v>
      </c>
      <c r="S180" s="1091">
        <f t="shared" ca="1" si="28"/>
        <v>14.125</v>
      </c>
      <c r="T180" s="1091">
        <f t="shared" ca="1" si="29"/>
        <v>28.25</v>
      </c>
    </row>
    <row r="181" spans="3:21" ht="12" customHeight="1" thickBot="1">
      <c r="C181" s="1043" t="s">
        <v>5129</v>
      </c>
      <c r="D181" s="1039" t="s">
        <v>5108</v>
      </c>
      <c r="E181" s="1029" t="s">
        <v>2479</v>
      </c>
      <c r="F181" s="1060" t="s">
        <v>5112</v>
      </c>
      <c r="G181" s="1063">
        <f t="shared" si="20"/>
        <v>0</v>
      </c>
      <c r="H181" s="1020">
        <f t="shared" si="30"/>
        <v>3.5</v>
      </c>
      <c r="I181" s="1020">
        <f t="shared" si="32"/>
        <v>7.625</v>
      </c>
      <c r="J181" s="1025">
        <f t="shared" si="31"/>
        <v>15.25</v>
      </c>
      <c r="K181" s="113">
        <v>40</v>
      </c>
      <c r="O181" s="1090" t="s">
        <v>5216</v>
      </c>
      <c r="P181" s="1069" t="s">
        <v>5184</v>
      </c>
      <c r="Q181" s="1090" t="s">
        <v>5185</v>
      </c>
      <c r="R181" s="1090" t="s">
        <v>5186</v>
      </c>
      <c r="S181" s="1090" t="s">
        <v>5187</v>
      </c>
      <c r="T181" s="1090" t="s">
        <v>5188</v>
      </c>
      <c r="U181" s="1137" t="s">
        <v>5191</v>
      </c>
    </row>
    <row r="182" spans="3:21" ht="12" customHeight="1" thickBot="1">
      <c r="C182" s="1043" t="s">
        <v>5130</v>
      </c>
      <c r="D182" s="1039" t="s">
        <v>2479</v>
      </c>
      <c r="E182" s="1029" t="s">
        <v>5113</v>
      </c>
      <c r="F182" s="1060" t="s">
        <v>5109</v>
      </c>
      <c r="G182" s="1063">
        <f t="shared" si="20"/>
        <v>2</v>
      </c>
      <c r="H182" s="1020">
        <f t="shared" si="30"/>
        <v>4</v>
      </c>
      <c r="I182" s="1020">
        <f t="shared" si="32"/>
        <v>5.625</v>
      </c>
      <c r="J182" s="1025">
        <f t="shared" si="31"/>
        <v>11.25</v>
      </c>
      <c r="K182" s="1087">
        <v>20</v>
      </c>
      <c r="L182" s="1092" t="s">
        <v>5189</v>
      </c>
      <c r="M182" s="1084"/>
      <c r="N182" s="1085"/>
      <c r="O182" s="668">
        <v>70</v>
      </c>
      <c r="P182" s="1083" t="s">
        <v>1443</v>
      </c>
      <c r="Q182" s="1116">
        <f t="shared" ref="Q182:Q213" si="33">G134</f>
        <v>3.5</v>
      </c>
      <c r="R182" s="1091">
        <f t="shared" ref="R182:R213" si="34">H134</f>
        <v>10.5</v>
      </c>
      <c r="S182" s="1091">
        <f t="shared" ref="S182:S213" si="35">I134</f>
        <v>15.75</v>
      </c>
      <c r="T182" s="1091">
        <f t="shared" ref="T182:T213" si="36">J134</f>
        <v>31.5</v>
      </c>
    </row>
    <row r="183" spans="3:21" ht="12" customHeight="1" thickBot="1">
      <c r="C183" s="1043" t="s">
        <v>1493</v>
      </c>
      <c r="D183" s="1039" t="s">
        <v>5110</v>
      </c>
      <c r="E183" s="1029" t="s">
        <v>5106</v>
      </c>
      <c r="F183" s="1060" t="s">
        <v>5105</v>
      </c>
      <c r="G183" s="1063">
        <f t="shared" si="20"/>
        <v>10</v>
      </c>
      <c r="H183" s="1020">
        <f t="shared" si="30"/>
        <v>12</v>
      </c>
      <c r="I183" s="1020">
        <f t="shared" si="32"/>
        <v>25</v>
      </c>
      <c r="J183" s="1025">
        <f t="shared" si="31"/>
        <v>50</v>
      </c>
      <c r="K183" s="1089">
        <v>20</v>
      </c>
      <c r="L183" s="1094" t="str">
        <f>"Tête : léger "&amp;ROUND(gpPDC/6,0)&amp;" - moyen "&amp;ROUND(gpPDC/3,0)&amp;" - grave "&amp;ROUND(gpPDC/3+gpRM,0)</f>
        <v>Tête : léger 5 - moyen 10 - grave 15</v>
      </c>
      <c r="N183" s="1086"/>
      <c r="O183" s="668">
        <v>10</v>
      </c>
      <c r="P183" s="1083" t="s">
        <v>611</v>
      </c>
      <c r="Q183" s="1116">
        <f t="shared" si="33"/>
        <v>19</v>
      </c>
      <c r="R183" s="1091">
        <f t="shared" si="34"/>
        <v>20</v>
      </c>
      <c r="S183" s="1091">
        <f t="shared" si="35"/>
        <v>30</v>
      </c>
      <c r="T183" s="1091">
        <f t="shared" si="36"/>
        <v>60</v>
      </c>
    </row>
    <row r="184" spans="3:21" ht="12" customHeight="1" thickBot="1">
      <c r="C184" s="1043" t="s">
        <v>579</v>
      </c>
      <c r="D184" s="1040" t="s">
        <v>915</v>
      </c>
      <c r="E184" s="1030" t="s">
        <v>915</v>
      </c>
      <c r="F184" s="1061" t="s">
        <v>915</v>
      </c>
      <c r="G184" s="1063">
        <f t="shared" si="20"/>
        <v>0</v>
      </c>
      <c r="H184" s="1020">
        <f>J184/4</f>
        <v>2.5625</v>
      </c>
      <c r="I184" s="1020">
        <f t="shared" si="32"/>
        <v>5.125</v>
      </c>
      <c r="J184" s="1025">
        <f>(D122+D123+D126+D128)/4</f>
        <v>10.25</v>
      </c>
      <c r="K184" s="1089">
        <v>90</v>
      </c>
      <c r="L184" s="1094" t="str">
        <f>"Thorax: léger "&amp;ROUND(gpPDC/4,0)&amp;" - moyen "&amp;ROUND(gpPDC/2,0)&amp;" - grave "&amp;ROUND(gpPDC/2+gpRM,0)</f>
        <v>Thorax: léger 7 - moyen 15 - grave 20</v>
      </c>
      <c r="N184" s="1086"/>
      <c r="O184" s="668">
        <v>70</v>
      </c>
      <c r="P184" s="1083" t="s">
        <v>1431</v>
      </c>
      <c r="Q184" s="1116">
        <f t="shared" si="33"/>
        <v>0</v>
      </c>
      <c r="R184" s="1091">
        <f t="shared" si="34"/>
        <v>3.5</v>
      </c>
      <c r="S184" s="1091">
        <f t="shared" si="35"/>
        <v>5.5</v>
      </c>
      <c r="T184" s="1091">
        <f t="shared" si="36"/>
        <v>11</v>
      </c>
    </row>
    <row r="185" spans="3:21" ht="12" customHeight="1" thickBot="1">
      <c r="C185" s="1043" t="s">
        <v>1483</v>
      </c>
      <c r="D185" s="1039" t="s">
        <v>5110</v>
      </c>
      <c r="E185" s="1030" t="s">
        <v>5136</v>
      </c>
      <c r="F185" s="1060" t="s">
        <v>5115</v>
      </c>
      <c r="G185" s="1063">
        <f t="shared" si="20"/>
        <v>10</v>
      </c>
      <c r="H185" s="1020">
        <f t="shared" ref="H185:H225" si="37">VLOOKUP(D185,gpCarac,2,FALSE)/2</f>
        <v>12</v>
      </c>
      <c r="I185" s="1020">
        <f t="shared" ca="1" si="32"/>
        <v>12.5</v>
      </c>
      <c r="J185" s="1025">
        <f ca="1">MIN(80,(VLOOKUP(D185,gpCarac,2,FALSE)*3+I17*2+VLOOKUP(F185,gpCarac,2,FALSE))/4)</f>
        <v>25</v>
      </c>
      <c r="K185" s="1089">
        <v>20</v>
      </c>
      <c r="L185" s="1094" t="str">
        <f>"Ventre: léger "&amp;ROUND(gpPDC/6,0)&amp;" - moyen "&amp;ROUND(gpPDC/3,0)&amp;" - grave "&amp;ROUND(gpPDC/3+gpRM,0)</f>
        <v>Ventre: léger 5 - moyen 10 - grave 15</v>
      </c>
      <c r="N185" s="1086"/>
      <c r="O185" s="668">
        <v>40</v>
      </c>
      <c r="P185" s="1083" t="s">
        <v>1513</v>
      </c>
      <c r="Q185" s="1116">
        <f t="shared" si="33"/>
        <v>8</v>
      </c>
      <c r="R185" s="1091">
        <f t="shared" si="34"/>
        <v>12</v>
      </c>
      <c r="S185" s="1091">
        <f t="shared" si="35"/>
        <v>16.75</v>
      </c>
      <c r="T185" s="1091">
        <f t="shared" si="36"/>
        <v>33.5</v>
      </c>
    </row>
    <row r="186" spans="3:21" ht="12" customHeight="1" thickBot="1">
      <c r="C186" s="1043" t="s">
        <v>1457</v>
      </c>
      <c r="D186" s="1039" t="s">
        <v>5117</v>
      </c>
      <c r="E186" s="1029" t="s">
        <v>5120</v>
      </c>
      <c r="F186" s="1060" t="s">
        <v>5105</v>
      </c>
      <c r="G186" s="1063">
        <f t="shared" si="20"/>
        <v>19</v>
      </c>
      <c r="H186" s="1020">
        <f t="shared" si="37"/>
        <v>20</v>
      </c>
      <c r="I186" s="1020">
        <f t="shared" si="32"/>
        <v>31</v>
      </c>
      <c r="J186" s="1025">
        <f t="shared" ref="J186:J222" si="38">MIN(80,(VLOOKUP(D186,gpCarac,2,FALSE)*3+VLOOKUP(E186,gpCarac,2,FALSE)*2+VLOOKUP(F186,gpCarac,2,FALSE))/4)</f>
        <v>62</v>
      </c>
      <c r="K186" s="1089">
        <v>10</v>
      </c>
      <c r="L186" s="1094" t="str">
        <f>"Bras Gauche: léger "&amp;ROUND(gpPDC/6,0)&amp;" - moyen "&amp;ROUND(gpPDC/3,0)&amp;" - grave "&amp;ROUND(gpPDC/3+gpRM,0)</f>
        <v>Bras Gauche: léger 5 - moyen 10 - grave 15</v>
      </c>
      <c r="N186" s="1086"/>
      <c r="O186" s="668">
        <v>50</v>
      </c>
      <c r="P186" s="1083" t="s">
        <v>1383</v>
      </c>
      <c r="Q186" s="1116">
        <f t="shared" si="33"/>
        <v>7</v>
      </c>
      <c r="R186" s="1091">
        <f t="shared" si="34"/>
        <v>12</v>
      </c>
      <c r="S186" s="1091">
        <f t="shared" si="35"/>
        <v>13.375</v>
      </c>
      <c r="T186" s="1091">
        <f t="shared" si="36"/>
        <v>26.75</v>
      </c>
    </row>
    <row r="187" spans="3:21" ht="12" customHeight="1" thickBot="1">
      <c r="C187" s="1043" t="s">
        <v>1395</v>
      </c>
      <c r="D187" s="1039" t="s">
        <v>5109</v>
      </c>
      <c r="E187" s="1029" t="s">
        <v>5115</v>
      </c>
      <c r="F187" s="1060" t="s">
        <v>5121</v>
      </c>
      <c r="G187" s="1063">
        <f t="shared" si="20"/>
        <v>0</v>
      </c>
      <c r="H187" s="1020">
        <f t="shared" si="37"/>
        <v>3.5</v>
      </c>
      <c r="I187" s="1020">
        <f t="shared" si="32"/>
        <v>8.625</v>
      </c>
      <c r="J187" s="1025">
        <f t="shared" si="38"/>
        <v>17.25</v>
      </c>
      <c r="K187" s="1089">
        <v>70</v>
      </c>
      <c r="L187" s="1094" t="str">
        <f>"Main Gauche: léger "&amp;ROUND(gpPDC/8,0)&amp;" - moyen "&amp;ROUND(gpPDC/4,0)&amp;" - grave "&amp;ROUND(gpPDC/4+gpRM,0)</f>
        <v>Main Gauche: léger 4 - moyen 7 - grave 12</v>
      </c>
      <c r="N187" s="1086"/>
      <c r="O187" s="668">
        <v>90</v>
      </c>
      <c r="P187" s="1083" t="s">
        <v>1354</v>
      </c>
      <c r="Q187" s="1116">
        <f t="shared" si="33"/>
        <v>3</v>
      </c>
      <c r="R187" s="1091">
        <f t="shared" si="34"/>
        <v>12</v>
      </c>
      <c r="S187" s="1091">
        <f t="shared" si="35"/>
        <v>14.625</v>
      </c>
      <c r="T187" s="1091">
        <f t="shared" si="36"/>
        <v>29.25</v>
      </c>
    </row>
    <row r="188" spans="3:21" ht="12" customHeight="1" thickBot="1">
      <c r="C188" s="1043" t="s">
        <v>1446</v>
      </c>
      <c r="D188" s="1039" t="s">
        <v>5105</v>
      </c>
      <c r="E188" s="1029" t="s">
        <v>5111</v>
      </c>
      <c r="F188" s="1060" t="s">
        <v>2456</v>
      </c>
      <c r="G188" s="1063">
        <f t="shared" si="20"/>
        <v>19</v>
      </c>
      <c r="H188" s="1020">
        <f t="shared" si="37"/>
        <v>20</v>
      </c>
      <c r="I188" s="1020">
        <f t="shared" si="32"/>
        <v>21</v>
      </c>
      <c r="J188" s="1025">
        <f t="shared" si="38"/>
        <v>42</v>
      </c>
      <c r="K188" s="1089">
        <v>10</v>
      </c>
      <c r="L188" s="1094" t="str">
        <f>"Jambe Gauche: léger "&amp;ROUND(gpPDC/6,0)&amp;" - moyen "&amp;ROUND(gpPDC/3,0)&amp;" - grave "&amp;ROUND(gpPDC/3+gpRM,0)</f>
        <v>Jambe Gauche: léger 5 - moyen 10 - grave 15</v>
      </c>
      <c r="N188" s="1086"/>
      <c r="O188" s="668">
        <v>70</v>
      </c>
      <c r="P188" s="1083" t="s">
        <v>1418</v>
      </c>
      <c r="Q188" s="1116">
        <f t="shared" si="33"/>
        <v>0</v>
      </c>
      <c r="R188" s="1091">
        <f t="shared" si="34"/>
        <v>4</v>
      </c>
      <c r="S188" s="1091">
        <f t="shared" si="35"/>
        <v>7.125</v>
      </c>
      <c r="T188" s="1091">
        <f t="shared" si="36"/>
        <v>14.25</v>
      </c>
    </row>
    <row r="189" spans="3:21" ht="12" customHeight="1" thickBot="1">
      <c r="C189" s="1043" t="s">
        <v>1356</v>
      </c>
      <c r="D189" s="1039" t="s">
        <v>5105</v>
      </c>
      <c r="E189" s="1029" t="s">
        <v>5120</v>
      </c>
      <c r="F189" s="1060" t="s">
        <v>5107</v>
      </c>
      <c r="G189" s="1063">
        <f t="shared" si="20"/>
        <v>17</v>
      </c>
      <c r="H189" s="1020">
        <f t="shared" si="37"/>
        <v>20</v>
      </c>
      <c r="I189" s="1020">
        <f t="shared" si="32"/>
        <v>30</v>
      </c>
      <c r="J189" s="1025">
        <f t="shared" si="38"/>
        <v>60</v>
      </c>
      <c r="K189" s="1089">
        <v>30</v>
      </c>
      <c r="L189" s="1094" t="str">
        <f>"Pied Gauche: léger "&amp;ROUND(gpPDC/8,0)&amp;" - moyen "&amp;ROUND(gpPDC/4,0)&amp;" - grave "&amp;ROUND(gpPDC/4+gpRM,0)</f>
        <v>Pied Gauche: léger 4 - moyen 7 - grave 12</v>
      </c>
      <c r="N189" s="1086"/>
      <c r="O189" s="668">
        <v>10</v>
      </c>
      <c r="P189" s="1083" t="s">
        <v>5150</v>
      </c>
      <c r="Q189" s="1116">
        <f t="shared" si="33"/>
        <v>2.5</v>
      </c>
      <c r="R189" s="1091">
        <f t="shared" si="34"/>
        <v>3.5</v>
      </c>
      <c r="S189" s="1091">
        <f t="shared" si="35"/>
        <v>5.25</v>
      </c>
      <c r="T189" s="1091">
        <f t="shared" si="36"/>
        <v>10.5</v>
      </c>
    </row>
    <row r="190" spans="3:21" ht="12" customHeight="1" thickBot="1">
      <c r="C190" s="1043" t="s">
        <v>1382</v>
      </c>
      <c r="D190" s="1039" t="s">
        <v>5110</v>
      </c>
      <c r="E190" s="1029" t="s">
        <v>5108</v>
      </c>
      <c r="F190" s="1060" t="s">
        <v>5115</v>
      </c>
      <c r="G190" s="1063">
        <f t="shared" si="20"/>
        <v>5</v>
      </c>
      <c r="H190" s="1020">
        <f t="shared" si="37"/>
        <v>12</v>
      </c>
      <c r="I190" s="1020">
        <f t="shared" si="32"/>
        <v>11.75</v>
      </c>
      <c r="J190" s="1025">
        <f t="shared" si="38"/>
        <v>23.5</v>
      </c>
      <c r="K190" s="1089">
        <v>70</v>
      </c>
      <c r="L190" s="1094" t="str">
        <f>"Bras Droit: léger "&amp;ROUND(gpPDC/6,0)&amp;" - moyen "&amp;ROUND(gpPDC/3,0)&amp;" - grave "&amp;ROUND(gpPDC/3+gpRM,0)</f>
        <v>Bras Droit: léger 5 - moyen 10 - grave 15</v>
      </c>
      <c r="N190" s="1086"/>
      <c r="O190" s="668">
        <v>20</v>
      </c>
      <c r="P190" s="1083" t="s">
        <v>1341</v>
      </c>
      <c r="Q190" s="1116">
        <f t="shared" ca="1" si="33"/>
        <v>22.5</v>
      </c>
      <c r="R190" s="1091">
        <f t="shared" ca="1" si="34"/>
        <v>24.5</v>
      </c>
      <c r="S190" s="1091">
        <f t="shared" ca="1" si="35"/>
        <v>21.25</v>
      </c>
      <c r="T190" s="1091">
        <f t="shared" ca="1" si="36"/>
        <v>42.5</v>
      </c>
    </row>
    <row r="191" spans="3:21" ht="12" customHeight="1" thickBot="1">
      <c r="C191" s="1043" t="s">
        <v>5131</v>
      </c>
      <c r="D191" s="1039" t="s">
        <v>5109</v>
      </c>
      <c r="E191" s="1029" t="s">
        <v>5108</v>
      </c>
      <c r="F191" s="1060" t="s">
        <v>2479</v>
      </c>
      <c r="G191" s="1063">
        <f t="shared" si="20"/>
        <v>0.5</v>
      </c>
      <c r="H191" s="1020">
        <f t="shared" si="37"/>
        <v>3.5</v>
      </c>
      <c r="I191" s="1020">
        <f t="shared" si="32"/>
        <v>5.375</v>
      </c>
      <c r="J191" s="1025">
        <f t="shared" si="38"/>
        <v>10.75</v>
      </c>
      <c r="K191" s="1089">
        <v>30</v>
      </c>
      <c r="L191" s="1094" t="str">
        <f>"Main Droite: léger "&amp;ROUND(gpPDC/8,0)&amp;" - moyen "&amp;ROUND(gpPDC/4,0)&amp;" - grave "&amp;ROUND(gpPDC/4+gpRM,0)</f>
        <v>Main Droite: léger 4 - moyen 7 - grave 12</v>
      </c>
      <c r="N191" s="1086"/>
      <c r="O191" s="668">
        <v>40</v>
      </c>
      <c r="P191" s="1083" t="s">
        <v>1503</v>
      </c>
      <c r="Q191" s="1116">
        <f t="shared" si="33"/>
        <v>0</v>
      </c>
      <c r="R191" s="1091">
        <f t="shared" si="34"/>
        <v>4</v>
      </c>
      <c r="S191" s="1091">
        <f t="shared" si="35"/>
        <v>10</v>
      </c>
      <c r="T191" s="1091">
        <f t="shared" si="36"/>
        <v>20</v>
      </c>
    </row>
    <row r="192" spans="3:21" ht="12" customHeight="1" thickBot="1">
      <c r="C192" s="1045" t="s">
        <v>1434</v>
      </c>
      <c r="D192" s="1039" t="s">
        <v>5116</v>
      </c>
      <c r="E192" s="1029" t="s">
        <v>5117</v>
      </c>
      <c r="F192" s="1060" t="s">
        <v>5120</v>
      </c>
      <c r="G192" s="1063">
        <f t="shared" si="20"/>
        <v>9.5</v>
      </c>
      <c r="H192" s="1054">
        <f t="shared" si="37"/>
        <v>10.5</v>
      </c>
      <c r="I192" s="1020">
        <f t="shared" si="32"/>
        <v>23.375</v>
      </c>
      <c r="J192" s="1025">
        <f t="shared" si="38"/>
        <v>46.75</v>
      </c>
      <c r="K192" s="1087">
        <v>10</v>
      </c>
      <c r="L192" s="1094" t="str">
        <f>"Jambe Droite: léger "&amp;ROUND(gpPDC/6,0)&amp;" - moyen "&amp;ROUND(gpPDC/3,0)&amp;" - grave "&amp;ROUND(gpPDC/3+gpRM,0)</f>
        <v>Jambe Droite: léger 5 - moyen 10 - grave 15</v>
      </c>
      <c r="N192" s="1086"/>
      <c r="O192" s="668">
        <v>80</v>
      </c>
      <c r="P192" s="1083" t="s">
        <v>4701</v>
      </c>
      <c r="Q192" s="1116">
        <f t="shared" si="33"/>
        <v>0</v>
      </c>
      <c r="R192" s="1091">
        <f t="shared" si="34"/>
        <v>3.5</v>
      </c>
      <c r="S192" s="1091">
        <f t="shared" si="35"/>
        <v>5.375</v>
      </c>
      <c r="T192" s="1091">
        <f t="shared" si="36"/>
        <v>10.75</v>
      </c>
    </row>
    <row r="193" spans="3:20" ht="12" customHeight="1" thickBot="1">
      <c r="C193" s="1046" t="s">
        <v>2306</v>
      </c>
      <c r="D193" s="1039" t="s">
        <v>5109</v>
      </c>
      <c r="E193" s="1029" t="s">
        <v>5108</v>
      </c>
      <c r="F193" s="1060" t="s">
        <v>5115</v>
      </c>
      <c r="G193" s="1063">
        <f t="shared" si="20"/>
        <v>0</v>
      </c>
      <c r="H193" s="1020">
        <f t="shared" si="37"/>
        <v>3.5</v>
      </c>
      <c r="I193" s="1020">
        <f t="shared" si="32"/>
        <v>5.375</v>
      </c>
      <c r="J193" s="1025">
        <f t="shared" si="38"/>
        <v>10.75</v>
      </c>
      <c r="K193" s="1087">
        <v>70</v>
      </c>
      <c r="L193" s="903" t="str">
        <f>"Pied Droit: léger "&amp;ROUND(gpPDC/8,0)&amp;" - moyen "&amp;ROUND(gpPDC/4,0)&amp;" - grave "&amp;ROUND(gpPDC/4+gpRM,0)</f>
        <v>Pied Droit: léger 4 - moyen 7 - grave 12</v>
      </c>
      <c r="M193" s="904"/>
      <c r="N193" s="905"/>
      <c r="O193" s="668">
        <v>80</v>
      </c>
      <c r="P193" s="1083" t="s">
        <v>1338</v>
      </c>
      <c r="Q193" s="1116">
        <f t="shared" si="33"/>
        <v>2.5</v>
      </c>
      <c r="R193" s="1091">
        <f t="shared" si="34"/>
        <v>10.5</v>
      </c>
      <c r="S193" s="1091">
        <f t="shared" si="35"/>
        <v>20.875</v>
      </c>
      <c r="T193" s="1091">
        <f t="shared" si="36"/>
        <v>41.75</v>
      </c>
    </row>
    <row r="194" spans="3:20" ht="12" customHeight="1" thickBot="1">
      <c r="C194" s="1046" t="s">
        <v>599</v>
      </c>
      <c r="D194" s="1039" t="s">
        <v>5109</v>
      </c>
      <c r="E194" s="1029" t="s">
        <v>5108</v>
      </c>
      <c r="F194" s="1060" t="s">
        <v>2479</v>
      </c>
      <c r="G194" s="1063">
        <f t="shared" si="20"/>
        <v>0.5</v>
      </c>
      <c r="H194" s="1020">
        <f t="shared" si="37"/>
        <v>3.5</v>
      </c>
      <c r="I194" s="1020">
        <f t="shared" si="32"/>
        <v>5.375</v>
      </c>
      <c r="J194" s="1025">
        <f t="shared" si="38"/>
        <v>10.75</v>
      </c>
      <c r="K194" s="1057">
        <v>30</v>
      </c>
      <c r="L194" s="1131" t="str">
        <f ca="1">"Carrière: "&amp;H42</f>
        <v>Carrière: terre</v>
      </c>
      <c r="M194" s="1130"/>
      <c r="O194" s="668">
        <v>30</v>
      </c>
      <c r="P194" s="1083" t="s">
        <v>1445</v>
      </c>
      <c r="Q194" s="1116">
        <f t="shared" si="33"/>
        <v>0.5</v>
      </c>
      <c r="R194" s="1091">
        <f t="shared" si="34"/>
        <v>3.5</v>
      </c>
      <c r="S194" s="1091">
        <f t="shared" si="35"/>
        <v>5.25</v>
      </c>
      <c r="T194" s="1091">
        <f t="shared" si="36"/>
        <v>10.5</v>
      </c>
    </row>
    <row r="195" spans="3:20" ht="12" customHeight="1" thickBot="1">
      <c r="C195" s="1045" t="s">
        <v>1421</v>
      </c>
      <c r="D195" s="1039" t="s">
        <v>5110</v>
      </c>
      <c r="E195" s="1029" t="s">
        <v>5109</v>
      </c>
      <c r="F195" s="1060" t="s">
        <v>5115</v>
      </c>
      <c r="G195" s="1063">
        <f t="shared" si="20"/>
        <v>11</v>
      </c>
      <c r="H195" s="1020">
        <f t="shared" si="37"/>
        <v>12</v>
      </c>
      <c r="I195" s="1020">
        <f t="shared" si="32"/>
        <v>11.75</v>
      </c>
      <c r="J195" s="1025">
        <f t="shared" si="38"/>
        <v>23.5</v>
      </c>
      <c r="K195" s="1057">
        <v>10</v>
      </c>
      <c r="L195" s="1069" t="str">
        <f ca="1">"Métier enseigné: "&amp;H41&amp;", reste "&amp;ROUND(I75,0)&amp;" points"</f>
        <v>Métier enseigné: Sellier , reste 188 points</v>
      </c>
      <c r="O195" s="668">
        <v>20</v>
      </c>
      <c r="P195" s="1083" t="s">
        <v>1330</v>
      </c>
      <c r="Q195" s="1116">
        <f t="shared" si="33"/>
        <v>20</v>
      </c>
      <c r="R195" s="1091">
        <f t="shared" si="34"/>
        <v>22</v>
      </c>
      <c r="S195" s="1091">
        <f t="shared" si="35"/>
        <v>26.25</v>
      </c>
      <c r="T195" s="1091">
        <f t="shared" si="36"/>
        <v>52.5</v>
      </c>
    </row>
    <row r="196" spans="3:20" ht="12" customHeight="1" thickBot="1">
      <c r="C196" s="1045" t="s">
        <v>1512</v>
      </c>
      <c r="D196" s="1039" t="s">
        <v>5120</v>
      </c>
      <c r="E196" s="1029" t="s">
        <v>5105</v>
      </c>
      <c r="F196" s="1060" t="s">
        <v>5111</v>
      </c>
      <c r="G196" s="1063">
        <f t="shared" si="20"/>
        <v>17</v>
      </c>
      <c r="H196" s="1020">
        <f t="shared" si="37"/>
        <v>22</v>
      </c>
      <c r="I196" s="1020">
        <f t="shared" si="32"/>
        <v>28.875</v>
      </c>
      <c r="J196" s="1025">
        <f t="shared" si="38"/>
        <v>57.75</v>
      </c>
      <c r="K196" s="1057">
        <v>50</v>
      </c>
      <c r="L196" s="668" t="str">
        <f ca="1">H88&amp;", "&amp;H89&amp;", "&amp;H90&amp;", ..."</f>
        <v>élevage, cbt cheval, transport, ...</v>
      </c>
      <c r="O196" s="668">
        <v>50</v>
      </c>
      <c r="P196" s="1083" t="s">
        <v>603</v>
      </c>
      <c r="Q196" s="1116">
        <f t="shared" si="33"/>
        <v>15</v>
      </c>
      <c r="R196" s="1091">
        <f t="shared" si="34"/>
        <v>20</v>
      </c>
      <c r="S196" s="1091">
        <f t="shared" si="35"/>
        <v>28.625</v>
      </c>
      <c r="T196" s="1091">
        <f t="shared" si="36"/>
        <v>57.25</v>
      </c>
    </row>
    <row r="197" spans="3:20" ht="12" customHeight="1" thickBot="1">
      <c r="C197" s="1045" t="s">
        <v>1410</v>
      </c>
      <c r="D197" s="1039" t="s">
        <v>5109</v>
      </c>
      <c r="E197" s="1029" t="s">
        <v>5108</v>
      </c>
      <c r="F197" s="1060" t="s">
        <v>2479</v>
      </c>
      <c r="G197" s="1063">
        <f t="shared" si="20"/>
        <v>2.5</v>
      </c>
      <c r="H197" s="1020">
        <f t="shared" si="37"/>
        <v>3.5</v>
      </c>
      <c r="I197" s="1020">
        <f t="shared" si="32"/>
        <v>5.375</v>
      </c>
      <c r="J197" s="1025">
        <f t="shared" si="38"/>
        <v>10.75</v>
      </c>
      <c r="K197" s="1057">
        <v>10</v>
      </c>
      <c r="L197" s="668" t="str">
        <f ca="1">H91&amp;", "&amp;H92&amp;", "&amp;H93</f>
        <v>cuir, forge, charge</v>
      </c>
      <c r="O197" s="668">
        <v>30</v>
      </c>
      <c r="P197" s="1083" t="s">
        <v>1433</v>
      </c>
      <c r="Q197" s="1116">
        <f t="shared" si="33"/>
        <v>6.5</v>
      </c>
      <c r="R197" s="1091">
        <f t="shared" si="34"/>
        <v>9.5</v>
      </c>
      <c r="S197" s="1091">
        <f t="shared" si="35"/>
        <v>11.875</v>
      </c>
      <c r="T197" s="1091">
        <f t="shared" si="36"/>
        <v>23.75</v>
      </c>
    </row>
    <row r="198" spans="3:20" ht="12" customHeight="1" thickBot="1">
      <c r="C198" s="1045" t="s">
        <v>1396</v>
      </c>
      <c r="D198" s="1039" t="s">
        <v>5122</v>
      </c>
      <c r="E198" s="1029" t="s">
        <v>2479</v>
      </c>
      <c r="F198" s="1060" t="s">
        <v>5109</v>
      </c>
      <c r="G198" s="1063">
        <f t="shared" si="20"/>
        <v>5.5</v>
      </c>
      <c r="H198" s="1020">
        <f t="shared" si="37"/>
        <v>9.5</v>
      </c>
      <c r="I198" s="1020">
        <f t="shared" si="32"/>
        <v>10</v>
      </c>
      <c r="J198" s="1025">
        <f t="shared" si="38"/>
        <v>20</v>
      </c>
      <c r="K198" s="1057">
        <v>40</v>
      </c>
      <c r="L198" s="1069" t="str">
        <f ca="1">"Autre métier possible : "&amp;H86&amp;" (coût ="&amp;I86&amp;")"</f>
        <v>Autre métier possible : Serviteur  (coût =230)</v>
      </c>
      <c r="O198" s="668">
        <v>40</v>
      </c>
      <c r="P198" s="1083" t="s">
        <v>1492</v>
      </c>
      <c r="Q198" s="1116">
        <f t="shared" si="33"/>
        <v>5.5</v>
      </c>
      <c r="R198" s="1091">
        <f t="shared" si="34"/>
        <v>9.5</v>
      </c>
      <c r="S198" s="1091">
        <f t="shared" si="35"/>
        <v>10.5</v>
      </c>
      <c r="T198" s="1091">
        <f t="shared" si="36"/>
        <v>21</v>
      </c>
    </row>
    <row r="199" spans="3:20" ht="12" customHeight="1" thickBot="1">
      <c r="C199" s="1045" t="s">
        <v>574</v>
      </c>
      <c r="D199" s="1039" t="s">
        <v>5110</v>
      </c>
      <c r="E199" s="1029" t="s">
        <v>5115</v>
      </c>
      <c r="F199" s="1060" t="s">
        <v>5109</v>
      </c>
      <c r="G199" s="1063">
        <f t="shared" ref="G199:G225" si="39">MAX(0,H199-K199/10)</f>
        <v>11</v>
      </c>
      <c r="H199" s="1020">
        <f t="shared" si="37"/>
        <v>12</v>
      </c>
      <c r="I199" s="1020">
        <f t="shared" si="32"/>
        <v>11.875</v>
      </c>
      <c r="J199" s="1025">
        <f t="shared" si="38"/>
        <v>23.75</v>
      </c>
      <c r="K199" s="1057">
        <v>10</v>
      </c>
      <c r="L199" s="668" t="str">
        <f ca="1">H94&amp;", "&amp;H95&amp;", "&amp;H96&amp;", ..."</f>
        <v>servage, gestion, TC, ...</v>
      </c>
      <c r="O199" s="668">
        <v>40</v>
      </c>
      <c r="P199" s="1083" t="s">
        <v>2296</v>
      </c>
      <c r="Q199" s="1116">
        <f t="shared" si="33"/>
        <v>18</v>
      </c>
      <c r="R199" s="1091">
        <f t="shared" si="34"/>
        <v>22</v>
      </c>
      <c r="S199" s="1091">
        <f t="shared" si="35"/>
        <v>23.25</v>
      </c>
      <c r="T199" s="1091">
        <f t="shared" si="36"/>
        <v>46.5</v>
      </c>
    </row>
    <row r="200" spans="3:20" ht="12" customHeight="1" thickBot="1">
      <c r="C200" s="1045" t="s">
        <v>5151</v>
      </c>
      <c r="D200" s="1039" t="s">
        <v>5109</v>
      </c>
      <c r="E200" s="1029" t="s">
        <v>2479</v>
      </c>
      <c r="F200" s="1060" t="s">
        <v>5108</v>
      </c>
      <c r="G200" s="1063">
        <f t="shared" si="39"/>
        <v>0</v>
      </c>
      <c r="H200" s="1020">
        <f t="shared" si="37"/>
        <v>3.5</v>
      </c>
      <c r="I200" s="1020">
        <f t="shared" si="32"/>
        <v>5.5</v>
      </c>
      <c r="J200" s="1025">
        <f t="shared" si="38"/>
        <v>11</v>
      </c>
      <c r="K200" s="113">
        <v>90</v>
      </c>
      <c r="L200" s="668" t="str">
        <f ca="1">H97&amp;", "&amp;H98&amp;", "&amp;H99</f>
        <v>cuisine, sexe, transport</v>
      </c>
      <c r="O200" s="668">
        <v>30</v>
      </c>
      <c r="P200" s="1083" t="s">
        <v>1420</v>
      </c>
      <c r="Q200" s="1116">
        <f t="shared" si="33"/>
        <v>0.5</v>
      </c>
      <c r="R200" s="1091">
        <f t="shared" si="34"/>
        <v>3.5</v>
      </c>
      <c r="S200" s="1091">
        <f t="shared" si="35"/>
        <v>9.625</v>
      </c>
      <c r="T200" s="1091">
        <f t="shared" si="36"/>
        <v>19.25</v>
      </c>
    </row>
    <row r="201" spans="3:20" ht="12" customHeight="1" thickBot="1">
      <c r="C201" s="1045" t="s">
        <v>613</v>
      </c>
      <c r="D201" s="1039" t="s">
        <v>5111</v>
      </c>
      <c r="E201" s="1029" t="s">
        <v>5108</v>
      </c>
      <c r="F201" s="1060" t="s">
        <v>2456</v>
      </c>
      <c r="G201" s="1063">
        <f t="shared" si="39"/>
        <v>3.5</v>
      </c>
      <c r="H201" s="1020">
        <f t="shared" si="37"/>
        <v>9.5</v>
      </c>
      <c r="I201" s="1020">
        <f t="shared" si="32"/>
        <v>10.125</v>
      </c>
      <c r="J201" s="1025">
        <f t="shared" si="38"/>
        <v>20.25</v>
      </c>
      <c r="K201" s="113">
        <v>60</v>
      </c>
      <c r="L201" s="1069" t="str">
        <f ca="1">"Autre  métier possible : "&amp;H87&amp;" (coût ="&amp;I87&amp;")"</f>
        <v>Autre  métier possible : Tanneur  (coût =320)</v>
      </c>
      <c r="O201" s="668">
        <v>30</v>
      </c>
      <c r="P201" s="1083" t="s">
        <v>1409</v>
      </c>
      <c r="Q201" s="1116">
        <f t="shared" si="33"/>
        <v>6.5</v>
      </c>
      <c r="R201" s="1091">
        <f t="shared" si="34"/>
        <v>9.5</v>
      </c>
      <c r="S201" s="1091">
        <f t="shared" si="35"/>
        <v>20.125</v>
      </c>
      <c r="T201" s="1091">
        <f t="shared" si="36"/>
        <v>40.25</v>
      </c>
    </row>
    <row r="202" spans="3:20" ht="12" customHeight="1" thickBot="1">
      <c r="C202" s="1045" t="s">
        <v>1502</v>
      </c>
      <c r="D202" s="1039" t="s">
        <v>5116</v>
      </c>
      <c r="E202" s="1029" t="s">
        <v>5117</v>
      </c>
      <c r="F202" s="1060" t="s">
        <v>2479</v>
      </c>
      <c r="G202" s="1063">
        <f t="shared" si="39"/>
        <v>5.5</v>
      </c>
      <c r="H202" s="1020">
        <f t="shared" si="37"/>
        <v>10.5</v>
      </c>
      <c r="I202" s="1020">
        <f t="shared" si="32"/>
        <v>18.875</v>
      </c>
      <c r="J202" s="1025">
        <f t="shared" si="38"/>
        <v>37.75</v>
      </c>
      <c r="K202" s="113">
        <v>50</v>
      </c>
      <c r="L202" s="668" t="str">
        <f ca="1">H100&amp;", "&amp;H101&amp;", "&amp;H102&amp;", ..."</f>
        <v>cuir, gestion, TC, ...</v>
      </c>
      <c r="O202" s="668">
        <v>10</v>
      </c>
      <c r="P202" s="1083" t="s">
        <v>1515</v>
      </c>
      <c r="Q202" s="1116">
        <f t="shared" si="33"/>
        <v>2.5</v>
      </c>
      <c r="R202" s="1091">
        <f t="shared" si="34"/>
        <v>3.5</v>
      </c>
      <c r="S202" s="1091">
        <f t="shared" si="35"/>
        <v>8.625</v>
      </c>
      <c r="T202" s="1091">
        <f t="shared" si="36"/>
        <v>17.25</v>
      </c>
    </row>
    <row r="203" spans="3:20" ht="12" customHeight="1" thickBot="1">
      <c r="C203" s="1045" t="s">
        <v>5152</v>
      </c>
      <c r="D203" s="1039" t="s">
        <v>5114</v>
      </c>
      <c r="E203" s="1029" t="s">
        <v>5108</v>
      </c>
      <c r="F203" s="1060" t="s">
        <v>5111</v>
      </c>
      <c r="G203" s="1063">
        <f t="shared" si="39"/>
        <v>1.5</v>
      </c>
      <c r="H203" s="1020">
        <f t="shared" si="37"/>
        <v>3.5</v>
      </c>
      <c r="I203" s="1020">
        <f t="shared" si="32"/>
        <v>6.75</v>
      </c>
      <c r="J203" s="1025">
        <f t="shared" si="38"/>
        <v>13.5</v>
      </c>
      <c r="K203" s="113">
        <v>20</v>
      </c>
      <c r="L203" s="668" t="str">
        <f ca="1">H103&amp;", "&amp;H104&amp;", "&amp;H105</f>
        <v>cuisine, sexe, transport</v>
      </c>
      <c r="O203" s="668">
        <v>40</v>
      </c>
      <c r="P203" s="1083" t="s">
        <v>1473</v>
      </c>
      <c r="Q203" s="1116">
        <f t="shared" si="33"/>
        <v>16</v>
      </c>
      <c r="R203" s="1091">
        <f t="shared" si="34"/>
        <v>20</v>
      </c>
      <c r="S203" s="1091">
        <f t="shared" si="35"/>
        <v>28.625</v>
      </c>
      <c r="T203" s="1091">
        <f t="shared" si="36"/>
        <v>57.25</v>
      </c>
    </row>
    <row r="204" spans="3:20" ht="12" customHeight="1" thickBot="1">
      <c r="C204" s="1045" t="s">
        <v>1491</v>
      </c>
      <c r="D204" s="1039" t="s">
        <v>5110</v>
      </c>
      <c r="E204" s="1029" t="s">
        <v>5115</v>
      </c>
      <c r="F204" s="1060" t="s">
        <v>5112</v>
      </c>
      <c r="G204" s="1063">
        <f t="shared" si="39"/>
        <v>7</v>
      </c>
      <c r="H204" s="1020">
        <f t="shared" si="37"/>
        <v>12</v>
      </c>
      <c r="I204" s="1020">
        <f t="shared" si="32"/>
        <v>14</v>
      </c>
      <c r="J204" s="1025">
        <f t="shared" si="38"/>
        <v>28</v>
      </c>
      <c r="K204" s="1057">
        <v>50</v>
      </c>
      <c r="L204" s="1069" t="str">
        <f>"Autre talents reçus :"</f>
        <v>Autre talents reçus :</v>
      </c>
      <c r="O204" s="668">
        <v>20</v>
      </c>
      <c r="P204" s="1083" t="s">
        <v>1536</v>
      </c>
      <c r="Q204" s="1116">
        <f t="shared" si="33"/>
        <v>10</v>
      </c>
      <c r="R204" s="1091">
        <f t="shared" si="34"/>
        <v>12</v>
      </c>
      <c r="S204" s="1091">
        <f t="shared" si="35"/>
        <v>13.125</v>
      </c>
      <c r="T204" s="1091">
        <f t="shared" si="36"/>
        <v>26.25</v>
      </c>
    </row>
    <row r="205" spans="3:20" ht="12" customHeight="1" thickBot="1">
      <c r="C205" s="1045" t="s">
        <v>2211</v>
      </c>
      <c r="D205" s="1039" t="s">
        <v>5105</v>
      </c>
      <c r="E205" s="1029" t="s">
        <v>5110</v>
      </c>
      <c r="F205" s="1060" t="s">
        <v>5109</v>
      </c>
      <c r="G205" s="1063">
        <f t="shared" si="39"/>
        <v>19</v>
      </c>
      <c r="H205" s="1020">
        <f t="shared" si="37"/>
        <v>20</v>
      </c>
      <c r="I205" s="1020">
        <f t="shared" si="32"/>
        <v>21.875</v>
      </c>
      <c r="J205" s="1025">
        <f t="shared" si="38"/>
        <v>43.75</v>
      </c>
      <c r="K205" s="1057">
        <v>10</v>
      </c>
      <c r="L205" s="668" t="str">
        <f>H106&amp;", "&amp;H107&amp;"(urbain), "&amp;H108&amp;"+"&amp;H109&amp;" (rural)"</f>
        <v>langue même race, S(ville) (urbain), S(terrain)+Piste (rural)</v>
      </c>
      <c r="O205" s="668">
        <v>40</v>
      </c>
      <c r="P205" s="1083" t="s">
        <v>1462</v>
      </c>
      <c r="Q205" s="1116">
        <f t="shared" ca="1" si="33"/>
        <v>1</v>
      </c>
      <c r="R205" s="1091">
        <f t="shared" ca="1" si="34"/>
        <v>5</v>
      </c>
      <c r="S205" s="1091">
        <f t="shared" ca="1" si="35"/>
        <v>8.75</v>
      </c>
      <c r="T205" s="1091">
        <f t="shared" ca="1" si="36"/>
        <v>17.5</v>
      </c>
    </row>
    <row r="206" spans="3:20" ht="12" customHeight="1" thickBot="1">
      <c r="C206" s="1045" t="s">
        <v>1463</v>
      </c>
      <c r="D206" s="1039" t="s">
        <v>5119</v>
      </c>
      <c r="E206" s="1029" t="s">
        <v>2456</v>
      </c>
      <c r="F206" s="1060" t="s">
        <v>5111</v>
      </c>
      <c r="G206" s="1063">
        <f t="shared" si="39"/>
        <v>3</v>
      </c>
      <c r="H206" s="1020">
        <f t="shared" si="37"/>
        <v>5</v>
      </c>
      <c r="I206" s="1020">
        <f t="shared" si="32"/>
        <v>8.625</v>
      </c>
      <c r="J206" s="1025">
        <f t="shared" si="38"/>
        <v>17.25</v>
      </c>
      <c r="K206" s="1057">
        <v>20</v>
      </c>
      <c r="L206" s="668" t="str">
        <f ca="1">H110/20&amp;" niveaux dans des talents au choix"</f>
        <v>1 niveaux dans des talents au choix</v>
      </c>
      <c r="O206" s="668">
        <v>80</v>
      </c>
      <c r="P206" s="1083" t="s">
        <v>2319</v>
      </c>
      <c r="Q206" s="1116">
        <f t="shared" si="33"/>
        <v>4</v>
      </c>
      <c r="R206" s="1091">
        <f t="shared" si="34"/>
        <v>12</v>
      </c>
      <c r="S206" s="1091">
        <f t="shared" si="35"/>
        <v>16.375</v>
      </c>
      <c r="T206" s="1091">
        <f t="shared" si="36"/>
        <v>32.75</v>
      </c>
    </row>
    <row r="207" spans="3:20" ht="12" customHeight="1" thickBot="1">
      <c r="C207" s="1045" t="s">
        <v>2332</v>
      </c>
      <c r="D207" s="1039" t="s">
        <v>5109</v>
      </c>
      <c r="E207" s="1029" t="s">
        <v>5115</v>
      </c>
      <c r="F207" s="1060" t="s">
        <v>5111</v>
      </c>
      <c r="G207" s="1063">
        <f t="shared" si="39"/>
        <v>0</v>
      </c>
      <c r="H207" s="1020">
        <f t="shared" si="37"/>
        <v>3.5</v>
      </c>
      <c r="I207" s="1020">
        <f t="shared" si="32"/>
        <v>7</v>
      </c>
      <c r="J207" s="1025">
        <f t="shared" si="38"/>
        <v>14</v>
      </c>
      <c r="K207" s="1057">
        <v>90</v>
      </c>
      <c r="O207" s="668">
        <v>10</v>
      </c>
      <c r="P207" s="1083" t="s">
        <v>566</v>
      </c>
      <c r="Q207" s="1116">
        <f t="shared" si="33"/>
        <v>19</v>
      </c>
      <c r="R207" s="1091">
        <f t="shared" si="34"/>
        <v>20</v>
      </c>
      <c r="S207" s="1091">
        <f t="shared" si="35"/>
        <v>20.75</v>
      </c>
      <c r="T207" s="1091">
        <f t="shared" si="36"/>
        <v>41.5</v>
      </c>
    </row>
    <row r="208" spans="3:20" ht="12" customHeight="1" thickBot="1">
      <c r="C208" s="1045" t="s">
        <v>5137</v>
      </c>
      <c r="D208" s="1039" t="s">
        <v>5117</v>
      </c>
      <c r="E208" s="1029" t="s">
        <v>5108</v>
      </c>
      <c r="F208" s="1060" t="s">
        <v>5116</v>
      </c>
      <c r="G208" s="1063">
        <f t="shared" si="39"/>
        <v>19</v>
      </c>
      <c r="H208" s="1054">
        <f t="shared" si="37"/>
        <v>20</v>
      </c>
      <c r="I208" s="1020">
        <f t="shared" si="32"/>
        <v>19.375</v>
      </c>
      <c r="J208" s="1025">
        <f t="shared" si="38"/>
        <v>38.75</v>
      </c>
      <c r="K208" s="1057">
        <v>10</v>
      </c>
      <c r="L208" s="1132" t="str">
        <f ca="1">"Talents de combats : "&amp;gpNEC&amp;"  reçus."</f>
        <v>Talents de combats : 3  reçus.</v>
      </c>
      <c r="M208" s="1133"/>
      <c r="N208" s="1133"/>
      <c r="O208" s="668">
        <v>30</v>
      </c>
      <c r="P208" s="1083" t="s">
        <v>1397</v>
      </c>
      <c r="Q208" s="1116">
        <f t="shared" si="33"/>
        <v>9</v>
      </c>
      <c r="R208" s="1091">
        <f t="shared" si="34"/>
        <v>12</v>
      </c>
      <c r="S208" s="1091">
        <f t="shared" si="35"/>
        <v>21.625</v>
      </c>
      <c r="T208" s="1091">
        <f t="shared" si="36"/>
        <v>43.25</v>
      </c>
    </row>
    <row r="209" spans="3:20" ht="12" customHeight="1" thickBot="1">
      <c r="C209" s="1045" t="s">
        <v>5138</v>
      </c>
      <c r="D209" s="1039" t="s">
        <v>5117</v>
      </c>
      <c r="E209" s="1029" t="s">
        <v>5108</v>
      </c>
      <c r="F209" s="1060" t="s">
        <v>5116</v>
      </c>
      <c r="G209" s="1063">
        <f t="shared" si="39"/>
        <v>19</v>
      </c>
      <c r="H209" s="1054">
        <f t="shared" si="37"/>
        <v>20</v>
      </c>
      <c r="I209" s="1020">
        <f t="shared" si="32"/>
        <v>19.375</v>
      </c>
      <c r="J209" s="1025">
        <f t="shared" si="38"/>
        <v>38.75</v>
      </c>
      <c r="K209" s="1057">
        <v>10</v>
      </c>
      <c r="L209" s="1133" t="str">
        <f>"Budget pour acheter niveaux Talents de combat = "&amp;N154*50</f>
        <v>Budget pour acheter niveaux Talents de combat = 250</v>
      </c>
      <c r="M209" s="1133"/>
      <c r="N209" s="1133"/>
      <c r="O209" s="668">
        <v>20</v>
      </c>
      <c r="P209" s="1083" t="s">
        <v>1525</v>
      </c>
      <c r="Q209" s="1116">
        <f t="shared" si="33"/>
        <v>1.5</v>
      </c>
      <c r="R209" s="1091">
        <f t="shared" si="34"/>
        <v>3.5</v>
      </c>
      <c r="S209" s="1091">
        <f t="shared" si="35"/>
        <v>9.625</v>
      </c>
      <c r="T209" s="1091">
        <f t="shared" si="36"/>
        <v>19.25</v>
      </c>
    </row>
    <row r="210" spans="3:20" ht="12" customHeight="1" thickBot="1">
      <c r="C210" s="1045" t="s">
        <v>5139</v>
      </c>
      <c r="D210" s="1039" t="s">
        <v>5117</v>
      </c>
      <c r="E210" s="1029" t="s">
        <v>5108</v>
      </c>
      <c r="F210" s="1060" t="s">
        <v>5116</v>
      </c>
      <c r="G210" s="1063">
        <f t="shared" si="39"/>
        <v>19</v>
      </c>
      <c r="H210" s="1054">
        <f t="shared" si="37"/>
        <v>20</v>
      </c>
      <c r="I210" s="1020">
        <f t="shared" si="32"/>
        <v>19.375</v>
      </c>
      <c r="J210" s="1025">
        <f t="shared" si="38"/>
        <v>38.75</v>
      </c>
      <c r="K210" s="1057">
        <v>10</v>
      </c>
      <c r="O210" s="668">
        <v>30</v>
      </c>
      <c r="P210" s="1083" t="s">
        <v>1384</v>
      </c>
      <c r="Q210" s="1116">
        <f t="shared" si="33"/>
        <v>7.5</v>
      </c>
      <c r="R210" s="1091">
        <f t="shared" si="34"/>
        <v>10.5</v>
      </c>
      <c r="S210" s="1091">
        <f t="shared" si="35"/>
        <v>13</v>
      </c>
      <c r="T210" s="1091">
        <f t="shared" si="36"/>
        <v>26</v>
      </c>
    </row>
    <row r="211" spans="3:20" ht="12" customHeight="1" thickBot="1">
      <c r="C211" s="1045" t="s">
        <v>5140</v>
      </c>
      <c r="D211" s="1039" t="s">
        <v>5117</v>
      </c>
      <c r="E211" s="1029" t="s">
        <v>5108</v>
      </c>
      <c r="F211" s="1060" t="s">
        <v>5116</v>
      </c>
      <c r="G211" s="1063">
        <f t="shared" si="39"/>
        <v>19</v>
      </c>
      <c r="H211" s="1054">
        <f t="shared" si="37"/>
        <v>20</v>
      </c>
      <c r="I211" s="1020">
        <f t="shared" si="32"/>
        <v>19.375</v>
      </c>
      <c r="J211" s="1025">
        <f t="shared" si="38"/>
        <v>38.75</v>
      </c>
      <c r="K211" s="1057">
        <v>10</v>
      </c>
      <c r="O211" s="668">
        <v>70</v>
      </c>
      <c r="P211" s="1083" t="s">
        <v>5132</v>
      </c>
      <c r="Q211" s="1116">
        <f t="shared" si="33"/>
        <v>0</v>
      </c>
      <c r="R211" s="1091">
        <f t="shared" si="34"/>
        <v>3.5</v>
      </c>
      <c r="S211" s="1091">
        <f t="shared" si="35"/>
        <v>8.25</v>
      </c>
      <c r="T211" s="1091">
        <f t="shared" si="36"/>
        <v>16.5</v>
      </c>
    </row>
    <row r="212" spans="3:20" ht="12" customHeight="1" thickBot="1">
      <c r="C212" s="1045" t="s">
        <v>5141</v>
      </c>
      <c r="D212" s="1039" t="s">
        <v>5117</v>
      </c>
      <c r="E212" s="1029" t="s">
        <v>5108</v>
      </c>
      <c r="F212" s="1060" t="s">
        <v>5116</v>
      </c>
      <c r="G212" s="1063">
        <f t="shared" si="39"/>
        <v>19</v>
      </c>
      <c r="H212" s="1054">
        <f t="shared" si="37"/>
        <v>20</v>
      </c>
      <c r="I212" s="1020">
        <f t="shared" si="32"/>
        <v>19.375</v>
      </c>
      <c r="J212" s="1025">
        <f t="shared" si="38"/>
        <v>38.75</v>
      </c>
      <c r="K212" s="1057">
        <v>10</v>
      </c>
      <c r="O212" s="668">
        <v>10</v>
      </c>
      <c r="P212" s="1083" t="s">
        <v>1494</v>
      </c>
      <c r="Q212" s="1116">
        <f t="shared" si="33"/>
        <v>9.5</v>
      </c>
      <c r="R212" s="1116">
        <f t="shared" si="34"/>
        <v>10.5</v>
      </c>
      <c r="S212" s="1091">
        <f t="shared" si="35"/>
        <v>10.75</v>
      </c>
      <c r="T212" s="1091">
        <f t="shared" si="36"/>
        <v>21.5</v>
      </c>
    </row>
    <row r="213" spans="3:20" ht="12" customHeight="1" thickBot="1">
      <c r="C213" s="1045" t="s">
        <v>5142</v>
      </c>
      <c r="D213" s="1039" t="s">
        <v>5117</v>
      </c>
      <c r="E213" s="1029" t="s">
        <v>5108</v>
      </c>
      <c r="F213" s="1060" t="s">
        <v>5116</v>
      </c>
      <c r="G213" s="1063">
        <f t="shared" si="39"/>
        <v>19</v>
      </c>
      <c r="H213" s="1054">
        <f t="shared" si="37"/>
        <v>20</v>
      </c>
      <c r="I213" s="1020">
        <f t="shared" si="32"/>
        <v>19.375</v>
      </c>
      <c r="J213" s="1025">
        <f t="shared" si="38"/>
        <v>38.75</v>
      </c>
      <c r="K213" s="1057">
        <v>10</v>
      </c>
      <c r="O213" s="668">
        <v>40</v>
      </c>
      <c r="P213" s="1083" t="s">
        <v>1455</v>
      </c>
      <c r="Q213" s="1116">
        <f t="shared" si="33"/>
        <v>8</v>
      </c>
      <c r="R213" s="1091">
        <f t="shared" si="34"/>
        <v>12</v>
      </c>
      <c r="S213" s="1091">
        <f t="shared" si="35"/>
        <v>22.375</v>
      </c>
      <c r="T213" s="1091">
        <f t="shared" si="36"/>
        <v>44.75</v>
      </c>
    </row>
    <row r="214" spans="3:20" ht="12" customHeight="1" thickBot="1">
      <c r="C214" s="1045" t="s">
        <v>5143</v>
      </c>
      <c r="D214" s="1039" t="s">
        <v>5117</v>
      </c>
      <c r="E214" s="1029" t="s">
        <v>5108</v>
      </c>
      <c r="F214" s="1060" t="s">
        <v>5116</v>
      </c>
      <c r="G214" s="1063">
        <f t="shared" si="39"/>
        <v>19</v>
      </c>
      <c r="H214" s="1054">
        <f t="shared" si="37"/>
        <v>20</v>
      </c>
      <c r="I214" s="1020">
        <f t="shared" si="32"/>
        <v>19.375</v>
      </c>
      <c r="J214" s="1025">
        <f t="shared" si="38"/>
        <v>38.75</v>
      </c>
      <c r="K214" s="1057">
        <v>10</v>
      </c>
      <c r="L214" s="1069" t="s">
        <v>810</v>
      </c>
      <c r="O214" s="668">
        <v>20</v>
      </c>
      <c r="P214" s="1083" t="s">
        <v>1514</v>
      </c>
      <c r="Q214" s="1116">
        <f t="shared" ref="Q214:Q245" si="40">G166</f>
        <v>7.5</v>
      </c>
      <c r="R214" s="1091">
        <f t="shared" ref="R214:R245" si="41">H166</f>
        <v>9.5</v>
      </c>
      <c r="S214" s="1091">
        <f t="shared" ref="S214:S245" si="42">I166</f>
        <v>10.125</v>
      </c>
      <c r="T214" s="1091">
        <f t="shared" ref="T214:T245" si="43">J166</f>
        <v>20.25</v>
      </c>
    </row>
    <row r="215" spans="3:20" ht="12" customHeight="1" thickBot="1">
      <c r="C215" s="1045" t="s">
        <v>5144</v>
      </c>
      <c r="D215" s="1039" t="s">
        <v>5117</v>
      </c>
      <c r="E215" s="1029" t="s">
        <v>5108</v>
      </c>
      <c r="F215" s="1060" t="s">
        <v>5116</v>
      </c>
      <c r="G215" s="1063">
        <f t="shared" si="39"/>
        <v>19</v>
      </c>
      <c r="H215" s="1054">
        <f t="shared" si="37"/>
        <v>20</v>
      </c>
      <c r="I215" s="1020">
        <f t="shared" si="32"/>
        <v>19.375</v>
      </c>
      <c r="J215" s="1025">
        <f t="shared" si="38"/>
        <v>38.75</v>
      </c>
      <c r="K215" s="1057">
        <v>10</v>
      </c>
      <c r="L215" s="1101">
        <v>1</v>
      </c>
      <c r="M215" s="1084"/>
      <c r="N215" s="1085"/>
      <c r="O215" s="668">
        <v>40</v>
      </c>
      <c r="P215" s="1083" t="s">
        <v>1444</v>
      </c>
      <c r="Q215" s="1116">
        <f t="shared" si="40"/>
        <v>0</v>
      </c>
      <c r="R215" s="1091">
        <f t="shared" si="41"/>
        <v>3.5</v>
      </c>
      <c r="S215" s="1091">
        <f t="shared" si="42"/>
        <v>7.625</v>
      </c>
      <c r="T215" s="1091">
        <f t="shared" si="43"/>
        <v>15.25</v>
      </c>
    </row>
    <row r="216" spans="3:20" ht="12" customHeight="1" thickBot="1">
      <c r="C216" s="1045" t="s">
        <v>5145</v>
      </c>
      <c r="D216" s="1039" t="s">
        <v>5117</v>
      </c>
      <c r="E216" s="1029" t="s">
        <v>5108</v>
      </c>
      <c r="F216" s="1060" t="s">
        <v>5116</v>
      </c>
      <c r="G216" s="1063">
        <f t="shared" si="39"/>
        <v>19</v>
      </c>
      <c r="H216" s="1054">
        <f t="shared" si="37"/>
        <v>20</v>
      </c>
      <c r="I216" s="1020">
        <f t="shared" si="32"/>
        <v>19.375</v>
      </c>
      <c r="J216" s="1025">
        <f t="shared" si="38"/>
        <v>38.75</v>
      </c>
      <c r="K216" s="1057">
        <v>10</v>
      </c>
      <c r="L216" s="1102">
        <v>2</v>
      </c>
      <c r="N216" s="1086"/>
      <c r="O216" s="668">
        <v>10</v>
      </c>
      <c r="P216" s="1083" t="s">
        <v>1484</v>
      </c>
      <c r="Q216" s="1116">
        <f t="shared" si="40"/>
        <v>9.5</v>
      </c>
      <c r="R216" s="1116">
        <f t="shared" si="41"/>
        <v>10.5</v>
      </c>
      <c r="S216" s="1091">
        <f t="shared" si="42"/>
        <v>19.375</v>
      </c>
      <c r="T216" s="1091">
        <f t="shared" si="43"/>
        <v>38.75</v>
      </c>
    </row>
    <row r="217" spans="3:20" ht="12" customHeight="1" thickBot="1">
      <c r="C217" s="1045" t="s">
        <v>5146</v>
      </c>
      <c r="D217" s="1039" t="s">
        <v>5117</v>
      </c>
      <c r="E217" s="1029" t="s">
        <v>5108</v>
      </c>
      <c r="F217" s="1060" t="s">
        <v>5116</v>
      </c>
      <c r="G217" s="1063">
        <f t="shared" si="39"/>
        <v>19</v>
      </c>
      <c r="H217" s="1054">
        <f t="shared" si="37"/>
        <v>20</v>
      </c>
      <c r="I217" s="1020">
        <f t="shared" si="32"/>
        <v>19.375</v>
      </c>
      <c r="J217" s="1025">
        <f t="shared" si="38"/>
        <v>38.75</v>
      </c>
      <c r="K217" s="1057">
        <v>10</v>
      </c>
      <c r="L217" s="1101">
        <v>3</v>
      </c>
      <c r="N217" s="1086"/>
      <c r="O217" s="668">
        <v>50</v>
      </c>
      <c r="P217" s="1083" t="s">
        <v>1355</v>
      </c>
      <c r="Q217" s="1116">
        <f t="shared" si="40"/>
        <v>7</v>
      </c>
      <c r="R217" s="1091">
        <f t="shared" si="41"/>
        <v>12</v>
      </c>
      <c r="S217" s="1091">
        <f t="shared" si="42"/>
        <v>20</v>
      </c>
      <c r="T217" s="1091">
        <f t="shared" si="43"/>
        <v>40</v>
      </c>
    </row>
    <row r="218" spans="3:20" ht="12" customHeight="1" thickBot="1">
      <c r="C218" s="1045" t="s">
        <v>5147</v>
      </c>
      <c r="D218" s="1039" t="s">
        <v>5117</v>
      </c>
      <c r="E218" s="1029" t="s">
        <v>5108</v>
      </c>
      <c r="F218" s="1060" t="s">
        <v>5116</v>
      </c>
      <c r="G218" s="1063">
        <f t="shared" si="39"/>
        <v>19</v>
      </c>
      <c r="H218" s="1054">
        <f t="shared" si="37"/>
        <v>20</v>
      </c>
      <c r="I218" s="1020">
        <f t="shared" si="32"/>
        <v>19.375</v>
      </c>
      <c r="J218" s="1025">
        <f t="shared" si="38"/>
        <v>38.75</v>
      </c>
      <c r="K218" s="1057">
        <v>10</v>
      </c>
      <c r="L218" s="1102">
        <v>4</v>
      </c>
      <c r="N218" s="1086"/>
      <c r="O218" s="668">
        <v>60</v>
      </c>
      <c r="P218" s="1083" t="s">
        <v>5123</v>
      </c>
      <c r="Q218" s="1116">
        <f t="shared" si="40"/>
        <v>0</v>
      </c>
      <c r="R218" s="1091">
        <f t="shared" si="41"/>
        <v>3.5</v>
      </c>
      <c r="S218" s="1091">
        <f t="shared" si="42"/>
        <v>8.375</v>
      </c>
      <c r="T218" s="1091">
        <f t="shared" si="43"/>
        <v>16.75</v>
      </c>
    </row>
    <row r="219" spans="3:20" ht="12" customHeight="1" thickBot="1">
      <c r="C219" s="1045" t="s">
        <v>5148</v>
      </c>
      <c r="D219" s="1039" t="s">
        <v>5117</v>
      </c>
      <c r="E219" s="1029" t="s">
        <v>5108</v>
      </c>
      <c r="F219" s="1060" t="s">
        <v>5116</v>
      </c>
      <c r="G219" s="1063">
        <f t="shared" si="39"/>
        <v>19</v>
      </c>
      <c r="H219" s="1054">
        <f t="shared" si="37"/>
        <v>20</v>
      </c>
      <c r="I219" s="1020">
        <f t="shared" si="32"/>
        <v>19.375</v>
      </c>
      <c r="J219" s="1025">
        <f t="shared" si="38"/>
        <v>38.75</v>
      </c>
      <c r="K219" s="1057">
        <v>10</v>
      </c>
      <c r="L219" s="1101">
        <v>5</v>
      </c>
      <c r="N219" s="1086"/>
      <c r="O219" s="668">
        <v>50</v>
      </c>
      <c r="P219" s="1083" t="s">
        <v>1339</v>
      </c>
      <c r="Q219" s="1116">
        <f t="shared" si="40"/>
        <v>0</v>
      </c>
      <c r="R219" s="1091">
        <f t="shared" si="41"/>
        <v>3.5</v>
      </c>
      <c r="S219" s="1091">
        <f t="shared" si="42"/>
        <v>5.5</v>
      </c>
      <c r="T219" s="1091">
        <f t="shared" si="43"/>
        <v>11</v>
      </c>
    </row>
    <row r="220" spans="3:20" ht="12" customHeight="1" thickBot="1">
      <c r="C220" s="1045" t="s">
        <v>5149</v>
      </c>
      <c r="D220" s="1039" t="s">
        <v>5117</v>
      </c>
      <c r="E220" s="1029" t="s">
        <v>5108</v>
      </c>
      <c r="F220" s="1060" t="s">
        <v>5116</v>
      </c>
      <c r="G220" s="1063">
        <f t="shared" si="39"/>
        <v>19</v>
      </c>
      <c r="H220" s="1054">
        <f t="shared" si="37"/>
        <v>20</v>
      </c>
      <c r="I220" s="1020">
        <f t="shared" si="32"/>
        <v>19.375</v>
      </c>
      <c r="J220" s="1025">
        <f t="shared" si="38"/>
        <v>38.75</v>
      </c>
      <c r="K220" s="1057">
        <v>10</v>
      </c>
      <c r="L220" s="1102">
        <v>6</v>
      </c>
      <c r="N220" s="1086"/>
      <c r="O220" s="668">
        <v>50</v>
      </c>
      <c r="P220" s="1083" t="s">
        <v>1329</v>
      </c>
      <c r="Q220" s="1116">
        <f t="shared" si="40"/>
        <v>0</v>
      </c>
      <c r="R220" s="1091">
        <f t="shared" si="41"/>
        <v>3.5</v>
      </c>
      <c r="S220" s="1091">
        <f t="shared" si="42"/>
        <v>5.375</v>
      </c>
      <c r="T220" s="1091">
        <f t="shared" si="43"/>
        <v>10.75</v>
      </c>
    </row>
    <row r="221" spans="3:20" ht="12" customHeight="1" thickBot="1">
      <c r="C221" s="1045" t="s">
        <v>1535</v>
      </c>
      <c r="D221" s="1039" t="s">
        <v>5111</v>
      </c>
      <c r="E221" s="1029" t="s">
        <v>5110</v>
      </c>
      <c r="F221" s="1060" t="s">
        <v>5106</v>
      </c>
      <c r="G221" s="1063">
        <f t="shared" si="39"/>
        <v>6.5</v>
      </c>
      <c r="H221" s="1020">
        <f t="shared" si="37"/>
        <v>9.5</v>
      </c>
      <c r="I221" s="1020">
        <f t="shared" si="32"/>
        <v>18.625</v>
      </c>
      <c r="J221" s="1025">
        <f t="shared" si="38"/>
        <v>37.25</v>
      </c>
      <c r="K221" s="1087">
        <v>30</v>
      </c>
      <c r="L221" s="1101">
        <v>7</v>
      </c>
      <c r="N221" s="1086"/>
      <c r="O221" s="668">
        <v>50</v>
      </c>
      <c r="P221" s="1083" t="s">
        <v>1534</v>
      </c>
      <c r="Q221" s="1116">
        <f t="shared" si="40"/>
        <v>0</v>
      </c>
      <c r="R221" s="1091">
        <f t="shared" si="41"/>
        <v>4</v>
      </c>
      <c r="S221" s="1091">
        <f t="shared" si="42"/>
        <v>5.75</v>
      </c>
      <c r="T221" s="1091">
        <f t="shared" si="43"/>
        <v>11.5</v>
      </c>
    </row>
    <row r="222" spans="3:20" ht="12" customHeight="1" thickBot="1">
      <c r="C222" s="1045" t="s">
        <v>1357</v>
      </c>
      <c r="D222" s="1039" t="s">
        <v>5120</v>
      </c>
      <c r="E222" s="1029" t="s">
        <v>5105</v>
      </c>
      <c r="F222" s="1060" t="s">
        <v>5110</v>
      </c>
      <c r="G222" s="1063">
        <f t="shared" si="39"/>
        <v>21</v>
      </c>
      <c r="H222" s="1054">
        <f t="shared" si="37"/>
        <v>22</v>
      </c>
      <c r="I222" s="1020">
        <f t="shared" si="32"/>
        <v>29.5</v>
      </c>
      <c r="J222" s="1025">
        <f t="shared" si="38"/>
        <v>59</v>
      </c>
      <c r="K222" s="1087">
        <v>10</v>
      </c>
      <c r="L222" s="1102">
        <v>8</v>
      </c>
      <c r="N222" s="1086"/>
      <c r="O222" s="668">
        <v>40</v>
      </c>
      <c r="P222" s="1083" t="s">
        <v>5124</v>
      </c>
      <c r="Q222" s="1116">
        <f t="shared" si="40"/>
        <v>0</v>
      </c>
      <c r="R222" s="1091">
        <f t="shared" si="41"/>
        <v>4</v>
      </c>
      <c r="S222" s="1091">
        <f t="shared" si="42"/>
        <v>5.625</v>
      </c>
      <c r="T222" s="1091">
        <f t="shared" si="43"/>
        <v>11.25</v>
      </c>
    </row>
    <row r="223" spans="3:20" ht="12" customHeight="1" thickBot="1">
      <c r="C223" s="1045" t="s">
        <v>1456</v>
      </c>
      <c r="D223" s="1039" t="s">
        <v>5115</v>
      </c>
      <c r="E223" s="1029" t="s">
        <v>5109</v>
      </c>
      <c r="F223" s="1061" t="s">
        <v>2255</v>
      </c>
      <c r="G223" s="1063">
        <f t="shared" si="39"/>
        <v>2</v>
      </c>
      <c r="H223" s="1020">
        <f t="shared" si="37"/>
        <v>4</v>
      </c>
      <c r="I223" s="1020">
        <f t="shared" ca="1" si="32"/>
        <v>12.125</v>
      </c>
      <c r="J223" s="1025">
        <f ca="1">MIN(80,(VLOOKUP(D223,gpCarac,2,FALSE)*3+VLOOKUP(E223,gpCarac,2,FALSE)*2+H83)/4)</f>
        <v>24.25</v>
      </c>
      <c r="K223" s="1087">
        <v>20</v>
      </c>
      <c r="L223" s="1101">
        <v>9</v>
      </c>
      <c r="N223" s="1086"/>
      <c r="O223" s="668">
        <v>40</v>
      </c>
      <c r="P223" s="1083" t="s">
        <v>1419</v>
      </c>
      <c r="Q223" s="1116">
        <f t="shared" si="40"/>
        <v>0</v>
      </c>
      <c r="R223" s="1091">
        <f t="shared" si="41"/>
        <v>3.5</v>
      </c>
      <c r="S223" s="1091">
        <f t="shared" si="42"/>
        <v>5.25</v>
      </c>
      <c r="T223" s="1091">
        <f t="shared" si="43"/>
        <v>10.5</v>
      </c>
    </row>
    <row r="224" spans="3:20" ht="12" customHeight="1" thickBot="1">
      <c r="C224" s="1045" t="s">
        <v>1524</v>
      </c>
      <c r="D224" s="1039" t="s">
        <v>5108</v>
      </c>
      <c r="E224" s="1029" t="s">
        <v>5111</v>
      </c>
      <c r="F224" s="1060" t="s">
        <v>5109</v>
      </c>
      <c r="G224" s="1063">
        <f t="shared" si="39"/>
        <v>0.5</v>
      </c>
      <c r="H224" s="1020">
        <f t="shared" si="37"/>
        <v>3.5</v>
      </c>
      <c r="I224" s="1020">
        <f t="shared" si="32"/>
        <v>8.25</v>
      </c>
      <c r="J224" s="1025">
        <f>MIN(80,(VLOOKUP(D224,gpCarac,2,FALSE)*3+VLOOKUP(E224,gpCarac,2,FALSE)*2+VLOOKUP(F224,gpCarac,2,FALSE))/4)</f>
        <v>16.5</v>
      </c>
      <c r="K224" s="1089">
        <v>30</v>
      </c>
      <c r="L224" s="1102">
        <v>10</v>
      </c>
      <c r="N224" s="1086"/>
      <c r="O224" s="668">
        <v>60</v>
      </c>
      <c r="P224" s="1083" t="s">
        <v>1472</v>
      </c>
      <c r="Q224" s="1116">
        <f t="shared" si="40"/>
        <v>6</v>
      </c>
      <c r="R224" s="1091">
        <f t="shared" si="41"/>
        <v>12</v>
      </c>
      <c r="S224" s="1091">
        <f t="shared" si="42"/>
        <v>14.625</v>
      </c>
      <c r="T224" s="1091">
        <f t="shared" si="43"/>
        <v>29.25</v>
      </c>
    </row>
    <row r="225" spans="3:21" ht="12" customHeight="1" thickBot="1">
      <c r="C225" s="1047" t="s">
        <v>2333</v>
      </c>
      <c r="D225" s="1041" t="s">
        <v>5110</v>
      </c>
      <c r="E225" s="1034" t="s">
        <v>5116</v>
      </c>
      <c r="F225" s="1062" t="s">
        <v>5111</v>
      </c>
      <c r="G225" s="1063">
        <f t="shared" si="39"/>
        <v>6</v>
      </c>
      <c r="H225" s="1027">
        <f t="shared" si="37"/>
        <v>12</v>
      </c>
      <c r="I225" s="1027">
        <f t="shared" si="32"/>
        <v>16.625</v>
      </c>
      <c r="J225" s="1028">
        <f>MIN(80,(VLOOKUP(D225,gpCarac,2,FALSE)*3+VLOOKUP(E225,gpCarac,2,FALSE)*2+VLOOKUP(F225,gpCarac,2,FALSE))/4)</f>
        <v>33.25</v>
      </c>
      <c r="K225" s="1087">
        <v>60</v>
      </c>
      <c r="L225" s="1101">
        <v>11</v>
      </c>
      <c r="N225" s="1086"/>
      <c r="O225" s="668">
        <v>50</v>
      </c>
      <c r="P225" s="1083" t="s">
        <v>5125</v>
      </c>
      <c r="Q225" s="1116">
        <f t="shared" si="40"/>
        <v>0</v>
      </c>
      <c r="R225" s="1091">
        <f t="shared" si="41"/>
        <v>4</v>
      </c>
      <c r="S225" s="1091">
        <f t="shared" si="42"/>
        <v>5.875</v>
      </c>
      <c r="T225" s="1091">
        <f t="shared" si="43"/>
        <v>11.75</v>
      </c>
    </row>
    <row r="226" spans="3:21" ht="12" customHeight="1" thickBot="1">
      <c r="C226" s="230"/>
      <c r="D226" s="231"/>
      <c r="E226" s="231"/>
      <c r="F226" s="231"/>
      <c r="G226" s="231"/>
      <c r="H226" s="1020"/>
      <c r="I226" s="1020"/>
      <c r="J226" s="1020"/>
      <c r="K226" s="1069" t="s">
        <v>5154</v>
      </c>
      <c r="L226" s="1102">
        <v>12</v>
      </c>
      <c r="N226" s="1086"/>
      <c r="O226" s="668">
        <v>30</v>
      </c>
      <c r="P226" s="1083" t="s">
        <v>5126</v>
      </c>
      <c r="Q226" s="1116">
        <f t="shared" si="40"/>
        <v>0.5</v>
      </c>
      <c r="R226" s="1091">
        <f t="shared" si="41"/>
        <v>3.5</v>
      </c>
      <c r="S226" s="1091">
        <f t="shared" si="42"/>
        <v>5.5</v>
      </c>
      <c r="T226" s="1091">
        <f t="shared" si="43"/>
        <v>11</v>
      </c>
    </row>
    <row r="227" spans="3:21" ht="12" customHeight="1" thickBot="1">
      <c r="C227" s="1049" t="s">
        <v>2282</v>
      </c>
      <c r="D227" s="1051" t="s">
        <v>5112</v>
      </c>
      <c r="E227" s="1052" t="s">
        <v>5120</v>
      </c>
      <c r="F227" s="1053" t="s">
        <v>5110</v>
      </c>
      <c r="G227" s="1022"/>
      <c r="H227" s="1055">
        <f ca="1">MIN(I227,VLOOKUP(D227,gpCarac,2,FALSE)/2)</f>
        <v>12</v>
      </c>
      <c r="I227" s="1023">
        <f t="shared" ca="1" si="32"/>
        <v>15</v>
      </c>
      <c r="J227" s="1024">
        <f ca="1">MIN(gpNEC*10,(VLOOKUP(D227,gpCarac,2,FALSE)*3+VLOOKUP(E227,gpCarac,2,FALSE)*2+VLOOKUP(F227,gpCarac,2,FALSE))/4)</f>
        <v>30</v>
      </c>
      <c r="K227" s="988">
        <v>20</v>
      </c>
      <c r="L227" s="1101">
        <v>13</v>
      </c>
      <c r="N227" s="1086"/>
      <c r="O227" s="668">
        <v>10</v>
      </c>
      <c r="P227" s="1083" t="s">
        <v>5127</v>
      </c>
      <c r="Q227" s="1116">
        <f t="shared" si="40"/>
        <v>2.5</v>
      </c>
      <c r="R227" s="1091">
        <f t="shared" si="41"/>
        <v>3.5</v>
      </c>
      <c r="S227" s="1091">
        <f t="shared" si="42"/>
        <v>7.375</v>
      </c>
      <c r="T227" s="1091">
        <f t="shared" si="43"/>
        <v>14.75</v>
      </c>
    </row>
    <row r="228" spans="3:21" ht="12" customHeight="1" thickBot="1">
      <c r="C228" s="1049" t="s">
        <v>2254</v>
      </c>
      <c r="D228" s="1031" t="s">
        <v>5120</v>
      </c>
      <c r="E228" s="1029" t="s">
        <v>5112</v>
      </c>
      <c r="F228" s="1032" t="s">
        <v>5110</v>
      </c>
      <c r="G228" s="231"/>
      <c r="H228" s="1055">
        <f ca="1">MIN(I228,VLOOKUP(D228,gpCarac,2,FALSE)/2)</f>
        <v>15</v>
      </c>
      <c r="I228" s="1020">
        <f t="shared" ca="1" si="32"/>
        <v>15</v>
      </c>
      <c r="J228" s="1025">
        <f ca="1">MIN(gpNEC*10,(VLOOKUP(D228,gpCarac,2,FALSE)*3+VLOOKUP(E228,gpCarac,2,FALSE)*2+VLOOKUP(F228,gpCarac,2,FALSE))/4)</f>
        <v>30</v>
      </c>
      <c r="K228" s="988">
        <v>40</v>
      </c>
      <c r="L228" s="1102">
        <v>14</v>
      </c>
      <c r="N228" s="1086"/>
      <c r="O228" s="668">
        <v>10</v>
      </c>
      <c r="P228" s="1083" t="s">
        <v>5128</v>
      </c>
      <c r="Q228" s="1116">
        <f t="shared" si="40"/>
        <v>2.5</v>
      </c>
      <c r="R228" s="1116">
        <f t="shared" si="41"/>
        <v>3.5</v>
      </c>
      <c r="S228" s="1091">
        <f t="shared" si="42"/>
        <v>5.375</v>
      </c>
      <c r="T228" s="1091">
        <f t="shared" si="43"/>
        <v>10.75</v>
      </c>
    </row>
    <row r="229" spans="3:21" ht="12" customHeight="1">
      <c r="C229" s="1066" t="s">
        <v>640</v>
      </c>
      <c r="D229" s="1067"/>
      <c r="E229" s="1067"/>
      <c r="F229" s="1067"/>
      <c r="G229" s="1070">
        <v>0</v>
      </c>
      <c r="H229" s="1068">
        <v>1</v>
      </c>
      <c r="I229" s="1068">
        <v>2</v>
      </c>
      <c r="J229" s="1068">
        <v>3</v>
      </c>
      <c r="K229" s="988">
        <v>10</v>
      </c>
      <c r="L229" s="1101">
        <v>15</v>
      </c>
      <c r="N229" s="1086"/>
      <c r="O229" s="668">
        <v>40</v>
      </c>
      <c r="P229" s="1083" t="s">
        <v>5129</v>
      </c>
      <c r="Q229" s="1116">
        <f t="shared" si="40"/>
        <v>0</v>
      </c>
      <c r="R229" s="1091">
        <f t="shared" si="41"/>
        <v>3.5</v>
      </c>
      <c r="S229" s="1091">
        <f t="shared" si="42"/>
        <v>7.625</v>
      </c>
      <c r="T229" s="1091">
        <f t="shared" si="43"/>
        <v>15.25</v>
      </c>
    </row>
    <row r="230" spans="3:21" ht="12" customHeight="1" thickBot="1">
      <c r="C230" s="1050" t="s">
        <v>2315</v>
      </c>
      <c r="D230" s="1031" t="s">
        <v>5112</v>
      </c>
      <c r="E230" s="1029" t="s">
        <v>5116</v>
      </c>
      <c r="F230" s="1032" t="s">
        <v>2479</v>
      </c>
      <c r="G230" s="231"/>
      <c r="H230" s="1054">
        <f t="shared" ref="H230:H253" ca="1" si="44">MIN(VLOOKUP(D230,gpCarac,2,FALSE)/2,I230)</f>
        <v>12</v>
      </c>
      <c r="I230" s="1020">
        <f t="shared" ref="I230:I242" ca="1" si="45">J230/2</f>
        <v>15</v>
      </c>
      <c r="J230" s="1025">
        <f t="shared" ref="J230:J253" ca="1" si="46">MIN(gpNEC*10,(VLOOKUP(D230,gpCarac,2,FALSE)*3+VLOOKUP(E230,gpCarac,2,FALSE)*2+VLOOKUP(F230,gpCarac,2,FALSE))/4)</f>
        <v>30</v>
      </c>
      <c r="K230" s="988">
        <v>60</v>
      </c>
      <c r="L230" s="1102">
        <v>16</v>
      </c>
      <c r="N230" s="1086"/>
      <c r="O230" s="668">
        <v>20</v>
      </c>
      <c r="P230" s="1083" t="s">
        <v>5130</v>
      </c>
      <c r="Q230" s="1116">
        <f t="shared" si="40"/>
        <v>2</v>
      </c>
      <c r="R230" s="1091">
        <f t="shared" si="41"/>
        <v>4</v>
      </c>
      <c r="S230" s="1091">
        <f t="shared" si="42"/>
        <v>5.625</v>
      </c>
      <c r="T230" s="1091">
        <f t="shared" si="43"/>
        <v>11.25</v>
      </c>
    </row>
    <row r="231" spans="3:21" ht="12" customHeight="1">
      <c r="C231" s="1050" t="s">
        <v>2257</v>
      </c>
      <c r="D231" s="1031" t="s">
        <v>5106</v>
      </c>
      <c r="E231" s="1029" t="s">
        <v>5112</v>
      </c>
      <c r="F231" s="1032" t="s">
        <v>5117</v>
      </c>
      <c r="G231" s="231"/>
      <c r="H231" s="1054">
        <f t="shared" ca="1" si="44"/>
        <v>15</v>
      </c>
      <c r="I231" s="1020">
        <f t="shared" ca="1" si="45"/>
        <v>15</v>
      </c>
      <c r="J231" s="1025">
        <f t="shared" ca="1" si="46"/>
        <v>30</v>
      </c>
      <c r="K231" s="988">
        <v>20</v>
      </c>
      <c r="L231" s="1101">
        <v>17</v>
      </c>
      <c r="N231" s="1086"/>
      <c r="O231" s="668">
        <v>20</v>
      </c>
      <c r="P231" s="1083" t="s">
        <v>1493</v>
      </c>
      <c r="Q231" s="1116">
        <f t="shared" si="40"/>
        <v>10</v>
      </c>
      <c r="R231" s="1091">
        <f t="shared" si="41"/>
        <v>12</v>
      </c>
      <c r="S231" s="1091">
        <f t="shared" si="42"/>
        <v>25</v>
      </c>
      <c r="T231" s="1091">
        <f t="shared" si="43"/>
        <v>50</v>
      </c>
    </row>
    <row r="232" spans="3:21" ht="12" customHeight="1" thickBot="1">
      <c r="C232" s="1049" t="s">
        <v>2285</v>
      </c>
      <c r="D232" s="1031" t="s">
        <v>5120</v>
      </c>
      <c r="E232" s="1029" t="s">
        <v>5112</v>
      </c>
      <c r="F232" s="1032" t="s">
        <v>5117</v>
      </c>
      <c r="G232" s="231"/>
      <c r="H232" s="1054">
        <f t="shared" ca="1" si="44"/>
        <v>15</v>
      </c>
      <c r="I232" s="1020">
        <f t="shared" ca="1" si="45"/>
        <v>15</v>
      </c>
      <c r="J232" s="1025">
        <f t="shared" ca="1" si="46"/>
        <v>30</v>
      </c>
      <c r="K232" s="988">
        <v>20</v>
      </c>
      <c r="L232" s="1102">
        <v>18</v>
      </c>
      <c r="N232" s="1086"/>
      <c r="O232" s="668">
        <v>90</v>
      </c>
      <c r="P232" s="1083" t="s">
        <v>579</v>
      </c>
      <c r="Q232" s="1116">
        <f t="shared" si="40"/>
        <v>0</v>
      </c>
      <c r="R232" s="1091">
        <f t="shared" si="41"/>
        <v>2.5625</v>
      </c>
      <c r="S232" s="1091">
        <f t="shared" si="42"/>
        <v>5.125</v>
      </c>
      <c r="T232" s="1091">
        <f t="shared" si="43"/>
        <v>10.25</v>
      </c>
      <c r="U232" s="1138">
        <f>T232</f>
        <v>10.25</v>
      </c>
    </row>
    <row r="233" spans="3:21" ht="12" customHeight="1">
      <c r="C233" s="1050" t="s">
        <v>1495</v>
      </c>
      <c r="D233" s="1031" t="s">
        <v>5117</v>
      </c>
      <c r="E233" s="1029" t="s">
        <v>5116</v>
      </c>
      <c r="F233" s="1032" t="s">
        <v>5111</v>
      </c>
      <c r="G233" s="231"/>
      <c r="H233" s="1054">
        <f t="shared" ca="1" si="44"/>
        <v>15</v>
      </c>
      <c r="I233" s="1020">
        <f t="shared" ca="1" si="45"/>
        <v>15</v>
      </c>
      <c r="J233" s="1025">
        <f t="shared" ca="1" si="46"/>
        <v>30</v>
      </c>
      <c r="K233" s="988">
        <v>10</v>
      </c>
      <c r="L233" s="1101">
        <v>19</v>
      </c>
      <c r="N233" s="1086"/>
      <c r="O233" s="668">
        <v>20</v>
      </c>
      <c r="P233" s="1083" t="s">
        <v>1483</v>
      </c>
      <c r="Q233" s="1116">
        <f t="shared" si="40"/>
        <v>10</v>
      </c>
      <c r="R233" s="1091">
        <f t="shared" si="41"/>
        <v>12</v>
      </c>
      <c r="S233" s="1091">
        <f t="shared" ca="1" si="42"/>
        <v>12.5</v>
      </c>
      <c r="T233" s="1091">
        <f t="shared" ca="1" si="43"/>
        <v>25</v>
      </c>
    </row>
    <row r="234" spans="3:21" ht="12" customHeight="1" thickBot="1">
      <c r="C234" s="1050" t="s">
        <v>2317</v>
      </c>
      <c r="D234" s="1031" t="s">
        <v>5112</v>
      </c>
      <c r="E234" s="1029" t="s">
        <v>5103</v>
      </c>
      <c r="F234" s="1032" t="s">
        <v>5117</v>
      </c>
      <c r="G234" s="231"/>
      <c r="H234" s="1054">
        <f t="shared" ca="1" si="44"/>
        <v>12</v>
      </c>
      <c r="I234" s="1020">
        <f t="shared" ca="1" si="45"/>
        <v>15</v>
      </c>
      <c r="J234" s="1025">
        <f t="shared" ca="1" si="46"/>
        <v>30</v>
      </c>
      <c r="K234" s="988">
        <v>40</v>
      </c>
      <c r="L234" s="1103">
        <v>20</v>
      </c>
      <c r="M234" s="904"/>
      <c r="N234" s="905"/>
      <c r="O234" s="668">
        <v>10</v>
      </c>
      <c r="P234" s="1083" t="s">
        <v>1457</v>
      </c>
      <c r="Q234" s="1116">
        <f t="shared" si="40"/>
        <v>19</v>
      </c>
      <c r="R234" s="1091">
        <f t="shared" si="41"/>
        <v>20</v>
      </c>
      <c r="S234" s="1091">
        <f t="shared" si="42"/>
        <v>31</v>
      </c>
      <c r="T234" s="1091">
        <f t="shared" si="43"/>
        <v>62</v>
      </c>
    </row>
    <row r="235" spans="3:21" ht="12" customHeight="1" thickBot="1">
      <c r="C235" s="1050" t="s">
        <v>2287</v>
      </c>
      <c r="D235" s="1031" t="s">
        <v>5110</v>
      </c>
      <c r="E235" s="1029" t="s">
        <v>5116</v>
      </c>
      <c r="F235" s="1032" t="s">
        <v>5112</v>
      </c>
      <c r="G235" s="231"/>
      <c r="H235" s="1054">
        <f t="shared" ca="1" si="44"/>
        <v>12</v>
      </c>
      <c r="I235" s="1020">
        <f t="shared" ca="1" si="45"/>
        <v>15</v>
      </c>
      <c r="J235" s="1025">
        <f t="shared" ca="1" si="46"/>
        <v>30</v>
      </c>
      <c r="K235" s="988">
        <v>20</v>
      </c>
      <c r="L235" s="1069" t="s">
        <v>1858</v>
      </c>
      <c r="O235" s="668">
        <v>70</v>
      </c>
      <c r="P235" s="1083" t="s">
        <v>1395</v>
      </c>
      <c r="Q235" s="1116">
        <f t="shared" si="40"/>
        <v>0</v>
      </c>
      <c r="R235" s="1091">
        <f t="shared" si="41"/>
        <v>3.5</v>
      </c>
      <c r="S235" s="1091">
        <f t="shared" si="42"/>
        <v>8.625</v>
      </c>
      <c r="T235" s="1091">
        <f t="shared" si="43"/>
        <v>17.25</v>
      </c>
    </row>
    <row r="236" spans="3:21" ht="12" customHeight="1">
      <c r="C236" s="1049" t="s">
        <v>1756</v>
      </c>
      <c r="D236" s="1031" t="s">
        <v>5112</v>
      </c>
      <c r="E236" s="1029" t="s">
        <v>5116</v>
      </c>
      <c r="F236" s="1032" t="s">
        <v>5110</v>
      </c>
      <c r="G236" s="231"/>
      <c r="H236" s="1054">
        <f t="shared" ca="1" si="44"/>
        <v>12</v>
      </c>
      <c r="I236" s="1020">
        <f t="shared" ca="1" si="45"/>
        <v>15</v>
      </c>
      <c r="J236" s="1025">
        <f t="shared" ca="1" si="46"/>
        <v>30</v>
      </c>
      <c r="K236" s="988">
        <v>20</v>
      </c>
      <c r="L236" s="1101">
        <v>1</v>
      </c>
      <c r="M236" s="1084"/>
      <c r="N236" s="1085"/>
      <c r="O236" s="668">
        <v>10</v>
      </c>
      <c r="P236" s="1083" t="s">
        <v>1446</v>
      </c>
      <c r="Q236" s="1116">
        <f t="shared" si="40"/>
        <v>19</v>
      </c>
      <c r="R236" s="1091">
        <f t="shared" si="41"/>
        <v>20</v>
      </c>
      <c r="S236" s="1091">
        <f t="shared" si="42"/>
        <v>21</v>
      </c>
      <c r="T236" s="1091">
        <f t="shared" si="43"/>
        <v>42</v>
      </c>
    </row>
    <row r="237" spans="3:21" ht="12" customHeight="1" thickBot="1">
      <c r="C237" s="1050" t="s">
        <v>2240</v>
      </c>
      <c r="D237" s="1031" t="s">
        <v>5116</v>
      </c>
      <c r="E237" s="1029" t="s">
        <v>5112</v>
      </c>
      <c r="F237" s="1032" t="s">
        <v>5117</v>
      </c>
      <c r="G237" s="231"/>
      <c r="H237" s="1054">
        <f t="shared" ca="1" si="44"/>
        <v>10.5</v>
      </c>
      <c r="I237" s="1020">
        <f t="shared" ca="1" si="45"/>
        <v>15</v>
      </c>
      <c r="J237" s="1025">
        <f t="shared" ca="1" si="46"/>
        <v>30</v>
      </c>
      <c r="K237" s="988">
        <v>20</v>
      </c>
      <c r="L237" s="1102">
        <v>2</v>
      </c>
      <c r="N237" s="1086"/>
      <c r="O237" s="668">
        <v>30</v>
      </c>
      <c r="P237" s="1083" t="s">
        <v>1356</v>
      </c>
      <c r="Q237" s="1116">
        <f t="shared" si="40"/>
        <v>17</v>
      </c>
      <c r="R237" s="1091">
        <f t="shared" si="41"/>
        <v>20</v>
      </c>
      <c r="S237" s="1091">
        <f t="shared" si="42"/>
        <v>30</v>
      </c>
      <c r="T237" s="1091">
        <f t="shared" si="43"/>
        <v>60</v>
      </c>
    </row>
    <row r="238" spans="3:21" ht="12" customHeight="1">
      <c r="C238" s="1050" t="s">
        <v>653</v>
      </c>
      <c r="D238" s="1031" t="s">
        <v>5112</v>
      </c>
      <c r="E238" s="1029" t="s">
        <v>5120</v>
      </c>
      <c r="F238" s="1032" t="s">
        <v>2479</v>
      </c>
      <c r="G238" s="231"/>
      <c r="H238" s="1054">
        <f t="shared" ca="1" si="44"/>
        <v>12</v>
      </c>
      <c r="I238" s="1020">
        <f t="shared" ca="1" si="45"/>
        <v>15</v>
      </c>
      <c r="J238" s="1025">
        <f t="shared" ca="1" si="46"/>
        <v>30</v>
      </c>
      <c r="K238" s="988">
        <v>40</v>
      </c>
      <c r="L238" s="1101">
        <v>3</v>
      </c>
      <c r="N238" s="1086"/>
      <c r="O238" s="668">
        <v>70</v>
      </c>
      <c r="P238" s="1083" t="s">
        <v>1382</v>
      </c>
      <c r="Q238" s="1116">
        <f t="shared" si="40"/>
        <v>5</v>
      </c>
      <c r="R238" s="1091">
        <f t="shared" si="41"/>
        <v>12</v>
      </c>
      <c r="S238" s="1091">
        <f t="shared" si="42"/>
        <v>11.75</v>
      </c>
      <c r="T238" s="1091">
        <f t="shared" si="43"/>
        <v>23.5</v>
      </c>
    </row>
    <row r="239" spans="3:21" ht="12" customHeight="1" thickBot="1">
      <c r="C239" s="1050" t="s">
        <v>2264</v>
      </c>
      <c r="D239" s="1031" t="s">
        <v>5115</v>
      </c>
      <c r="E239" s="1029" t="s">
        <v>5116</v>
      </c>
      <c r="F239" s="1032" t="s">
        <v>5109</v>
      </c>
      <c r="G239" s="231"/>
      <c r="H239" s="1054">
        <f t="shared" ca="1" si="44"/>
        <v>4</v>
      </c>
      <c r="I239" s="1020">
        <f t="shared" ca="1" si="45"/>
        <v>9.125</v>
      </c>
      <c r="J239" s="1025">
        <f t="shared" ca="1" si="46"/>
        <v>18.25</v>
      </c>
      <c r="K239" s="988">
        <v>20</v>
      </c>
      <c r="L239" s="1102">
        <v>4</v>
      </c>
      <c r="N239" s="1086"/>
      <c r="O239" s="668">
        <v>30</v>
      </c>
      <c r="P239" s="1083" t="s">
        <v>5131</v>
      </c>
      <c r="Q239" s="1116">
        <f t="shared" si="40"/>
        <v>0.5</v>
      </c>
      <c r="R239" s="1091">
        <f t="shared" si="41"/>
        <v>3.5</v>
      </c>
      <c r="S239" s="1091">
        <f t="shared" si="42"/>
        <v>5.375</v>
      </c>
      <c r="T239" s="1091">
        <f t="shared" si="43"/>
        <v>10.75</v>
      </c>
    </row>
    <row r="240" spans="3:21" ht="12" customHeight="1">
      <c r="C240" s="1049" t="s">
        <v>1759</v>
      </c>
      <c r="D240" s="1031" t="s">
        <v>5120</v>
      </c>
      <c r="E240" s="1029" t="s">
        <v>5110</v>
      </c>
      <c r="F240" s="1032" t="s">
        <v>5116</v>
      </c>
      <c r="G240" s="231"/>
      <c r="H240" s="1054">
        <f t="shared" ca="1" si="44"/>
        <v>15</v>
      </c>
      <c r="I240" s="1020">
        <f t="shared" ca="1" si="45"/>
        <v>15</v>
      </c>
      <c r="J240" s="1025">
        <f t="shared" ca="1" si="46"/>
        <v>30</v>
      </c>
      <c r="K240" s="988">
        <v>30</v>
      </c>
      <c r="L240" s="1101">
        <v>5</v>
      </c>
      <c r="N240" s="1086"/>
      <c r="O240" s="668">
        <v>10</v>
      </c>
      <c r="P240" s="1083" t="s">
        <v>1434</v>
      </c>
      <c r="Q240" s="1116">
        <f t="shared" si="40"/>
        <v>9.5</v>
      </c>
      <c r="R240" s="1116">
        <f t="shared" si="41"/>
        <v>10.5</v>
      </c>
      <c r="S240" s="1091">
        <f t="shared" si="42"/>
        <v>23.375</v>
      </c>
      <c r="T240" s="1091">
        <f t="shared" si="43"/>
        <v>46.75</v>
      </c>
    </row>
    <row r="241" spans="3:20" ht="12" customHeight="1" thickBot="1">
      <c r="C241" s="1050" t="s">
        <v>693</v>
      </c>
      <c r="D241" s="1031" t="s">
        <v>5110</v>
      </c>
      <c r="E241" s="1029" t="s">
        <v>5120</v>
      </c>
      <c r="F241" s="1032" t="s">
        <v>5112</v>
      </c>
      <c r="G241" s="231"/>
      <c r="H241" s="1054">
        <f t="shared" ca="1" si="44"/>
        <v>12</v>
      </c>
      <c r="I241" s="1020">
        <f t="shared" ca="1" si="45"/>
        <v>15</v>
      </c>
      <c r="J241" s="1025">
        <f t="shared" ca="1" si="46"/>
        <v>30</v>
      </c>
      <c r="K241" s="988">
        <v>10</v>
      </c>
      <c r="L241" s="1102">
        <v>6</v>
      </c>
      <c r="N241" s="1086"/>
      <c r="O241" s="668">
        <v>70</v>
      </c>
      <c r="P241" s="1083" t="s">
        <v>2306</v>
      </c>
      <c r="Q241" s="1116">
        <f t="shared" si="40"/>
        <v>0</v>
      </c>
      <c r="R241" s="1091">
        <f t="shared" si="41"/>
        <v>3.5</v>
      </c>
      <c r="S241" s="1091">
        <f t="shared" si="42"/>
        <v>5.375</v>
      </c>
      <c r="T241" s="1091">
        <f t="shared" si="43"/>
        <v>10.75</v>
      </c>
    </row>
    <row r="242" spans="3:20" ht="12" customHeight="1">
      <c r="C242" s="1049" t="s">
        <v>2269</v>
      </c>
      <c r="D242" s="1031" t="s">
        <v>5112</v>
      </c>
      <c r="E242" s="1029" t="s">
        <v>5103</v>
      </c>
      <c r="F242" s="1032" t="s">
        <v>5120</v>
      </c>
      <c r="G242" s="231"/>
      <c r="H242" s="1054">
        <f t="shared" ca="1" si="44"/>
        <v>12</v>
      </c>
      <c r="I242" s="1020">
        <f t="shared" ca="1" si="45"/>
        <v>15</v>
      </c>
      <c r="J242" s="1025">
        <f t="shared" ca="1" si="46"/>
        <v>30</v>
      </c>
      <c r="K242" s="988">
        <v>20</v>
      </c>
      <c r="L242" s="1101">
        <v>7</v>
      </c>
      <c r="N242" s="1086"/>
      <c r="O242" s="668">
        <v>30</v>
      </c>
      <c r="P242" s="1083" t="s">
        <v>599</v>
      </c>
      <c r="Q242" s="1116">
        <f t="shared" si="40"/>
        <v>0.5</v>
      </c>
      <c r="R242" s="1091">
        <f t="shared" si="41"/>
        <v>3.5</v>
      </c>
      <c r="S242" s="1091">
        <f t="shared" si="42"/>
        <v>5.375</v>
      </c>
      <c r="T242" s="1091">
        <f t="shared" si="43"/>
        <v>10.75</v>
      </c>
    </row>
    <row r="243" spans="3:20" ht="12" customHeight="1" thickBot="1">
      <c r="C243" s="1050" t="s">
        <v>1505</v>
      </c>
      <c r="D243" s="1031" t="s">
        <v>5116</v>
      </c>
      <c r="E243" s="1029" t="s">
        <v>5117</v>
      </c>
      <c r="F243" s="1032" t="s">
        <v>5116</v>
      </c>
      <c r="G243" s="231"/>
      <c r="H243" s="1054">
        <f t="shared" ca="1" si="44"/>
        <v>10.5</v>
      </c>
      <c r="I243" s="1020">
        <f t="shared" ref="I243:I253" ca="1" si="47">J243/2</f>
        <v>15</v>
      </c>
      <c r="J243" s="1025">
        <f t="shared" ca="1" si="46"/>
        <v>30</v>
      </c>
      <c r="K243" s="988">
        <v>10</v>
      </c>
      <c r="L243" s="1103">
        <v>8</v>
      </c>
      <c r="M243" s="904"/>
      <c r="N243" s="905"/>
      <c r="O243" s="668">
        <v>10</v>
      </c>
      <c r="P243" s="1083" t="s">
        <v>1421</v>
      </c>
      <c r="Q243" s="1116">
        <f t="shared" si="40"/>
        <v>11</v>
      </c>
      <c r="R243" s="1091">
        <f t="shared" si="41"/>
        <v>12</v>
      </c>
      <c r="S243" s="1091">
        <f t="shared" si="42"/>
        <v>11.75</v>
      </c>
      <c r="T243" s="1091">
        <f t="shared" si="43"/>
        <v>23.5</v>
      </c>
    </row>
    <row r="244" spans="3:20" ht="12" customHeight="1" thickBot="1">
      <c r="C244" s="1049" t="s">
        <v>1762</v>
      </c>
      <c r="D244" s="1031" t="s">
        <v>5120</v>
      </c>
      <c r="E244" s="1029" t="s">
        <v>5106</v>
      </c>
      <c r="F244" s="1032" t="s">
        <v>5117</v>
      </c>
      <c r="G244" s="231"/>
      <c r="H244" s="1054">
        <f t="shared" ca="1" si="44"/>
        <v>15</v>
      </c>
      <c r="I244" s="1020">
        <f t="shared" ca="1" si="47"/>
        <v>15</v>
      </c>
      <c r="J244" s="1025">
        <f t="shared" ca="1" si="46"/>
        <v>30</v>
      </c>
      <c r="K244" s="988">
        <v>30</v>
      </c>
      <c r="L244" s="1069" t="s">
        <v>5200</v>
      </c>
      <c r="O244" s="668">
        <v>50</v>
      </c>
      <c r="P244" s="1083" t="s">
        <v>1512</v>
      </c>
      <c r="Q244" s="1116">
        <f t="shared" si="40"/>
        <v>17</v>
      </c>
      <c r="R244" s="1091">
        <f t="shared" si="41"/>
        <v>22</v>
      </c>
      <c r="S244" s="1091">
        <f t="shared" si="42"/>
        <v>28.875</v>
      </c>
      <c r="T244" s="1091">
        <f t="shared" si="43"/>
        <v>57.75</v>
      </c>
    </row>
    <row r="245" spans="3:20" ht="12" customHeight="1">
      <c r="C245" s="1049" t="s">
        <v>2320</v>
      </c>
      <c r="D245" s="1031" t="s">
        <v>5120</v>
      </c>
      <c r="E245" s="1029" t="s">
        <v>5120</v>
      </c>
      <c r="F245" s="1032" t="s">
        <v>5105</v>
      </c>
      <c r="G245" s="231"/>
      <c r="H245" s="1054">
        <f t="shared" ca="1" si="44"/>
        <v>15</v>
      </c>
      <c r="I245" s="1020">
        <f t="shared" ca="1" si="47"/>
        <v>15</v>
      </c>
      <c r="J245" s="1025">
        <f t="shared" ca="1" si="46"/>
        <v>30</v>
      </c>
      <c r="K245" s="988">
        <v>40</v>
      </c>
      <c r="L245" s="1101">
        <v>1</v>
      </c>
      <c r="M245" s="1084"/>
      <c r="N245" s="1085"/>
      <c r="O245" s="668">
        <v>10</v>
      </c>
      <c r="P245" s="1083" t="s">
        <v>1410</v>
      </c>
      <c r="Q245" s="1116">
        <f t="shared" si="40"/>
        <v>2.5</v>
      </c>
      <c r="R245" s="1091">
        <f t="shared" si="41"/>
        <v>3.5</v>
      </c>
      <c r="S245" s="1091">
        <f t="shared" si="42"/>
        <v>5.375</v>
      </c>
      <c r="T245" s="1091">
        <f t="shared" si="43"/>
        <v>10.75</v>
      </c>
    </row>
    <row r="246" spans="3:20" ht="12" customHeight="1" thickBot="1">
      <c r="C246" s="1049" t="s">
        <v>2294</v>
      </c>
      <c r="D246" s="1031" t="s">
        <v>5106</v>
      </c>
      <c r="E246" s="1029" t="s">
        <v>5120</v>
      </c>
      <c r="F246" s="1032" t="s">
        <v>5105</v>
      </c>
      <c r="G246" s="231"/>
      <c r="H246" s="1054">
        <f t="shared" ca="1" si="44"/>
        <v>15</v>
      </c>
      <c r="I246" s="1020">
        <f t="shared" ca="1" si="47"/>
        <v>15</v>
      </c>
      <c r="J246" s="1025">
        <f t="shared" ca="1" si="46"/>
        <v>30</v>
      </c>
      <c r="K246" s="988">
        <v>30</v>
      </c>
      <c r="L246" s="1102">
        <v>2</v>
      </c>
      <c r="N246" s="1086"/>
      <c r="O246" s="668">
        <v>40</v>
      </c>
      <c r="P246" s="1083" t="s">
        <v>1396</v>
      </c>
      <c r="Q246" s="1116">
        <f t="shared" ref="Q246:Q273" si="48">G198</f>
        <v>5.5</v>
      </c>
      <c r="R246" s="1091">
        <f t="shared" ref="R246:R273" si="49">H198</f>
        <v>9.5</v>
      </c>
      <c r="S246" s="1091">
        <f t="shared" ref="S246:S273" si="50">I198</f>
        <v>10</v>
      </c>
      <c r="T246" s="1091">
        <f t="shared" ref="T246:T273" si="51">J198</f>
        <v>20</v>
      </c>
    </row>
    <row r="247" spans="3:20" ht="12" customHeight="1">
      <c r="C247" s="1050" t="s">
        <v>2272</v>
      </c>
      <c r="D247" s="1031" t="s">
        <v>5120</v>
      </c>
      <c r="E247" s="1029" t="s">
        <v>5117</v>
      </c>
      <c r="F247" s="1032" t="s">
        <v>5116</v>
      </c>
      <c r="G247" s="231"/>
      <c r="H247" s="1054">
        <f t="shared" ca="1" si="44"/>
        <v>15</v>
      </c>
      <c r="I247" s="1020">
        <f t="shared" ca="1" si="47"/>
        <v>15</v>
      </c>
      <c r="J247" s="1025">
        <f t="shared" ca="1" si="46"/>
        <v>30</v>
      </c>
      <c r="K247" s="988">
        <v>10</v>
      </c>
      <c r="L247" s="1101">
        <v>3</v>
      </c>
      <c r="N247" s="1086"/>
      <c r="O247" s="668">
        <v>10</v>
      </c>
      <c r="P247" s="1083" t="s">
        <v>574</v>
      </c>
      <c r="Q247" s="1116">
        <f t="shared" si="48"/>
        <v>11</v>
      </c>
      <c r="R247" s="1091">
        <f t="shared" si="49"/>
        <v>12</v>
      </c>
      <c r="S247" s="1091">
        <f t="shared" si="50"/>
        <v>11.875</v>
      </c>
      <c r="T247" s="1091">
        <f t="shared" si="51"/>
        <v>23.75</v>
      </c>
    </row>
    <row r="248" spans="3:20" ht="12" customHeight="1" thickBot="1">
      <c r="C248" s="1050" t="s">
        <v>2275</v>
      </c>
      <c r="D248" s="1031" t="s">
        <v>2456</v>
      </c>
      <c r="E248" s="1029" t="s">
        <v>5111</v>
      </c>
      <c r="F248" s="1032" t="s">
        <v>5109</v>
      </c>
      <c r="G248" s="231"/>
      <c r="H248" s="1054">
        <f t="shared" ca="1" si="44"/>
        <v>5</v>
      </c>
      <c r="I248" s="1020">
        <f t="shared" ca="1" si="47"/>
        <v>9.375</v>
      </c>
      <c r="J248" s="1025">
        <f t="shared" ca="1" si="46"/>
        <v>18.75</v>
      </c>
      <c r="K248" s="988">
        <v>10</v>
      </c>
      <c r="L248" s="1102">
        <v>4</v>
      </c>
      <c r="N248" s="1086"/>
      <c r="O248" s="668">
        <v>90</v>
      </c>
      <c r="P248" s="1083" t="s">
        <v>5151</v>
      </c>
      <c r="Q248" s="1116">
        <f t="shared" si="48"/>
        <v>0</v>
      </c>
      <c r="R248" s="1091">
        <f t="shared" si="49"/>
        <v>3.5</v>
      </c>
      <c r="S248" s="1091">
        <f t="shared" si="50"/>
        <v>5.5</v>
      </c>
      <c r="T248" s="1091">
        <f t="shared" si="51"/>
        <v>11</v>
      </c>
    </row>
    <row r="249" spans="3:20" ht="12" customHeight="1">
      <c r="C249" s="1049" t="s">
        <v>2277</v>
      </c>
      <c r="D249" s="1031" t="s">
        <v>5120</v>
      </c>
      <c r="E249" s="1029" t="s">
        <v>5116</v>
      </c>
      <c r="F249" s="1032" t="s">
        <v>5110</v>
      </c>
      <c r="G249" s="231"/>
      <c r="H249" s="1054">
        <f t="shared" ca="1" si="44"/>
        <v>15</v>
      </c>
      <c r="I249" s="1020">
        <f t="shared" ca="1" si="47"/>
        <v>15</v>
      </c>
      <c r="J249" s="1025">
        <f t="shared" ca="1" si="46"/>
        <v>30</v>
      </c>
      <c r="K249" s="988">
        <v>10</v>
      </c>
      <c r="L249" s="1101">
        <v>5</v>
      </c>
      <c r="N249" s="1086"/>
      <c r="O249" s="668">
        <v>60</v>
      </c>
      <c r="P249" s="1083" t="s">
        <v>613</v>
      </c>
      <c r="Q249" s="1116">
        <f t="shared" si="48"/>
        <v>3.5</v>
      </c>
      <c r="R249" s="1091">
        <f t="shared" si="49"/>
        <v>9.5</v>
      </c>
      <c r="S249" s="1091">
        <f t="shared" si="50"/>
        <v>10.125</v>
      </c>
      <c r="T249" s="1091">
        <f t="shared" si="51"/>
        <v>20.25</v>
      </c>
    </row>
    <row r="250" spans="3:20" ht="12" customHeight="1" thickBot="1">
      <c r="C250" s="1050" t="s">
        <v>2280</v>
      </c>
      <c r="D250" s="1031" t="s">
        <v>5113</v>
      </c>
      <c r="E250" s="1029" t="s">
        <v>5109</v>
      </c>
      <c r="F250" s="1032" t="s">
        <v>2479</v>
      </c>
      <c r="G250" s="231"/>
      <c r="H250" s="1054">
        <f t="shared" ca="1" si="44"/>
        <v>3.5</v>
      </c>
      <c r="I250" s="1020">
        <f t="shared" ca="1" si="47"/>
        <v>5.375</v>
      </c>
      <c r="J250" s="1025">
        <f t="shared" ca="1" si="46"/>
        <v>10.75</v>
      </c>
      <c r="K250" s="988">
        <v>20</v>
      </c>
      <c r="L250" s="1102">
        <v>6</v>
      </c>
      <c r="N250" s="1086"/>
      <c r="O250" s="668">
        <v>50</v>
      </c>
      <c r="P250" s="1083" t="s">
        <v>1502</v>
      </c>
      <c r="Q250" s="1116">
        <f t="shared" si="48"/>
        <v>5.5</v>
      </c>
      <c r="R250" s="1091">
        <f t="shared" si="49"/>
        <v>10.5</v>
      </c>
      <c r="S250" s="1091">
        <f t="shared" si="50"/>
        <v>18.875</v>
      </c>
      <c r="T250" s="1091">
        <f t="shared" si="51"/>
        <v>37.75</v>
      </c>
    </row>
    <row r="251" spans="3:20" ht="12" customHeight="1">
      <c r="C251" s="1050" t="s">
        <v>2301</v>
      </c>
      <c r="D251" s="1031" t="s">
        <v>5107</v>
      </c>
      <c r="E251" s="1029" t="s">
        <v>5111</v>
      </c>
      <c r="F251" s="1032" t="s">
        <v>5121</v>
      </c>
      <c r="G251" s="231"/>
      <c r="H251" s="1054">
        <f t="shared" ca="1" si="44"/>
        <v>15</v>
      </c>
      <c r="I251" s="1020">
        <f t="shared" ca="1" si="47"/>
        <v>15</v>
      </c>
      <c r="J251" s="1025">
        <f t="shared" ca="1" si="46"/>
        <v>30</v>
      </c>
      <c r="K251" s="988">
        <v>10</v>
      </c>
      <c r="L251" s="1101">
        <v>7</v>
      </c>
      <c r="N251" s="1086"/>
      <c r="O251" s="668">
        <v>20</v>
      </c>
      <c r="P251" s="1083" t="s">
        <v>5152</v>
      </c>
      <c r="Q251" s="1116">
        <f t="shared" si="48"/>
        <v>1.5</v>
      </c>
      <c r="R251" s="1091">
        <f t="shared" si="49"/>
        <v>3.5</v>
      </c>
      <c r="S251" s="1091">
        <f t="shared" si="50"/>
        <v>6.75</v>
      </c>
      <c r="T251" s="1091">
        <f t="shared" si="51"/>
        <v>13.5</v>
      </c>
    </row>
    <row r="252" spans="3:20" ht="12" customHeight="1" thickBot="1">
      <c r="C252" s="1049" t="s">
        <v>2325</v>
      </c>
      <c r="D252" s="1031" t="s">
        <v>5109</v>
      </c>
      <c r="E252" s="1029" t="s">
        <v>5112</v>
      </c>
      <c r="F252" s="1032" t="s">
        <v>5110</v>
      </c>
      <c r="G252" s="231"/>
      <c r="H252" s="1054">
        <f t="shared" ca="1" si="44"/>
        <v>3.5</v>
      </c>
      <c r="I252" s="1020">
        <f t="shared" ca="1" si="47"/>
        <v>11.625</v>
      </c>
      <c r="J252" s="1025">
        <f t="shared" ca="1" si="46"/>
        <v>23.25</v>
      </c>
      <c r="K252" s="988">
        <v>20</v>
      </c>
      <c r="L252" s="1103">
        <v>8</v>
      </c>
      <c r="M252" s="904"/>
      <c r="N252" s="905"/>
      <c r="O252" s="668">
        <v>50</v>
      </c>
      <c r="P252" s="1083" t="s">
        <v>1491</v>
      </c>
      <c r="Q252" s="1116">
        <f t="shared" si="48"/>
        <v>7</v>
      </c>
      <c r="R252" s="1091">
        <f t="shared" si="49"/>
        <v>12</v>
      </c>
      <c r="S252" s="1091">
        <f t="shared" si="50"/>
        <v>14</v>
      </c>
      <c r="T252" s="1091">
        <f t="shared" si="51"/>
        <v>28</v>
      </c>
    </row>
    <row r="253" spans="3:20" ht="12" customHeight="1" thickBot="1">
      <c r="C253" s="1050" t="s">
        <v>688</v>
      </c>
      <c r="D253" s="1033" t="s">
        <v>5113</v>
      </c>
      <c r="E253" s="1034" t="s">
        <v>5112</v>
      </c>
      <c r="F253" s="1035" t="s">
        <v>5106</v>
      </c>
      <c r="G253" s="1026"/>
      <c r="H253" s="1054">
        <f t="shared" ca="1" si="44"/>
        <v>3.5</v>
      </c>
      <c r="I253" s="1027">
        <f t="shared" ca="1" si="47"/>
        <v>14.125</v>
      </c>
      <c r="J253" s="1028">
        <f t="shared" ca="1" si="46"/>
        <v>28.25</v>
      </c>
      <c r="K253" s="988">
        <v>10</v>
      </c>
      <c r="L253" s="1069" t="s">
        <v>5209</v>
      </c>
      <c r="O253" s="668">
        <v>10</v>
      </c>
      <c r="P253" s="1083" t="s">
        <v>2211</v>
      </c>
      <c r="Q253" s="1116">
        <f t="shared" si="48"/>
        <v>19</v>
      </c>
      <c r="R253" s="1091">
        <f t="shared" si="49"/>
        <v>20</v>
      </c>
      <c r="S253" s="1091">
        <f t="shared" si="50"/>
        <v>21.875</v>
      </c>
      <c r="T253" s="1091">
        <f t="shared" si="51"/>
        <v>43.75</v>
      </c>
    </row>
    <row r="254" spans="3:20" ht="12" customHeight="1">
      <c r="L254" s="1100" t="s">
        <v>5201</v>
      </c>
      <c r="M254" s="1084"/>
      <c r="N254" s="1085"/>
      <c r="O254" s="668">
        <v>20</v>
      </c>
      <c r="P254" s="1083" t="s">
        <v>1463</v>
      </c>
      <c r="Q254" s="1116">
        <f t="shared" si="48"/>
        <v>3</v>
      </c>
      <c r="R254" s="1091">
        <f t="shared" si="49"/>
        <v>5</v>
      </c>
      <c r="S254" s="1091">
        <f t="shared" si="50"/>
        <v>8.625</v>
      </c>
      <c r="T254" s="1091">
        <f t="shared" si="51"/>
        <v>17.25</v>
      </c>
    </row>
    <row r="255" spans="3:20" ht="12" customHeight="1" thickBot="1">
      <c r="L255" s="903"/>
      <c r="M255" s="904"/>
      <c r="N255" s="905"/>
      <c r="O255" s="668">
        <v>90</v>
      </c>
      <c r="P255" s="1104" t="s">
        <v>2332</v>
      </c>
      <c r="Q255" s="1117">
        <f t="shared" si="48"/>
        <v>0</v>
      </c>
      <c r="R255" s="1105">
        <f t="shared" si="49"/>
        <v>3.5</v>
      </c>
      <c r="S255" s="1105">
        <f t="shared" si="50"/>
        <v>7</v>
      </c>
      <c r="T255" s="1105">
        <f t="shared" si="51"/>
        <v>14</v>
      </c>
    </row>
    <row r="256" spans="3:20" ht="12" customHeight="1">
      <c r="L256" s="1100" t="s">
        <v>5202</v>
      </c>
      <c r="M256" s="1084"/>
      <c r="N256" s="1085"/>
      <c r="O256" s="668">
        <v>10</v>
      </c>
      <c r="P256" s="1108" t="s">
        <v>5137</v>
      </c>
      <c r="Q256" s="1118">
        <f t="shared" si="48"/>
        <v>19</v>
      </c>
      <c r="R256" s="1118">
        <f t="shared" si="49"/>
        <v>20</v>
      </c>
      <c r="S256" s="1109">
        <f t="shared" si="50"/>
        <v>19.375</v>
      </c>
      <c r="T256" s="1110">
        <f t="shared" si="51"/>
        <v>38.75</v>
      </c>
    </row>
    <row r="257" spans="12:20" ht="12" customHeight="1" thickBot="1">
      <c r="L257" s="903"/>
      <c r="M257" s="904"/>
      <c r="N257" s="905"/>
      <c r="O257" s="668">
        <v>10</v>
      </c>
      <c r="P257" s="1111" t="s">
        <v>5138</v>
      </c>
      <c r="Q257" s="1116">
        <f t="shared" si="48"/>
        <v>19</v>
      </c>
      <c r="R257" s="1116">
        <f t="shared" si="49"/>
        <v>20</v>
      </c>
      <c r="S257" s="1091">
        <f t="shared" si="50"/>
        <v>19.375</v>
      </c>
      <c r="T257" s="1112">
        <f t="shared" si="51"/>
        <v>38.75</v>
      </c>
    </row>
    <row r="258" spans="12:20" ht="12" customHeight="1">
      <c r="L258" s="1100" t="s">
        <v>811</v>
      </c>
      <c r="M258" s="1084"/>
      <c r="N258" s="1085"/>
      <c r="O258" s="668">
        <v>10</v>
      </c>
      <c r="P258" s="1111" t="s">
        <v>5139</v>
      </c>
      <c r="Q258" s="1116">
        <f t="shared" si="48"/>
        <v>19</v>
      </c>
      <c r="R258" s="1116">
        <f t="shared" si="49"/>
        <v>20</v>
      </c>
      <c r="S258" s="1091">
        <f t="shared" si="50"/>
        <v>19.375</v>
      </c>
      <c r="T258" s="1112">
        <f t="shared" si="51"/>
        <v>38.75</v>
      </c>
    </row>
    <row r="259" spans="12:20" ht="12" customHeight="1" thickBot="1">
      <c r="L259" s="903"/>
      <c r="M259" s="904"/>
      <c r="N259" s="905"/>
      <c r="O259" s="668">
        <v>10</v>
      </c>
      <c r="P259" s="1111" t="s">
        <v>5140</v>
      </c>
      <c r="Q259" s="1116">
        <f t="shared" si="48"/>
        <v>19</v>
      </c>
      <c r="R259" s="1116">
        <f t="shared" si="49"/>
        <v>20</v>
      </c>
      <c r="S259" s="1091">
        <f t="shared" si="50"/>
        <v>19.375</v>
      </c>
      <c r="T259" s="1112">
        <f t="shared" si="51"/>
        <v>38.75</v>
      </c>
    </row>
    <row r="260" spans="12:20" ht="12" customHeight="1">
      <c r="L260" s="1100" t="s">
        <v>5204</v>
      </c>
      <c r="M260" s="1084"/>
      <c r="N260" s="1085"/>
      <c r="O260" s="668">
        <v>10</v>
      </c>
      <c r="P260" s="1111" t="s">
        <v>5141</v>
      </c>
      <c r="Q260" s="1116">
        <f t="shared" si="48"/>
        <v>19</v>
      </c>
      <c r="R260" s="1116">
        <f t="shared" si="49"/>
        <v>20</v>
      </c>
      <c r="S260" s="1091">
        <f t="shared" si="50"/>
        <v>19.375</v>
      </c>
      <c r="T260" s="1112">
        <f t="shared" si="51"/>
        <v>38.75</v>
      </c>
    </row>
    <row r="261" spans="12:20" ht="12" customHeight="1" thickBot="1">
      <c r="L261" s="903"/>
      <c r="M261" s="904"/>
      <c r="N261" s="905"/>
      <c r="O261" s="668">
        <v>10</v>
      </c>
      <c r="P261" s="1111" t="s">
        <v>5142</v>
      </c>
      <c r="Q261" s="1116">
        <f t="shared" si="48"/>
        <v>19</v>
      </c>
      <c r="R261" s="1116">
        <f t="shared" si="49"/>
        <v>20</v>
      </c>
      <c r="S261" s="1091">
        <f t="shared" si="50"/>
        <v>19.375</v>
      </c>
      <c r="T261" s="1112">
        <f t="shared" si="51"/>
        <v>38.75</v>
      </c>
    </row>
    <row r="262" spans="12:20" ht="12" customHeight="1">
      <c r="L262" s="1100" t="s">
        <v>5203</v>
      </c>
      <c r="M262" s="1084"/>
      <c r="N262" s="1085"/>
      <c r="O262" s="668">
        <v>10</v>
      </c>
      <c r="P262" s="1111" t="s">
        <v>5143</v>
      </c>
      <c r="Q262" s="1116">
        <f t="shared" si="48"/>
        <v>19</v>
      </c>
      <c r="R262" s="1116">
        <f t="shared" si="49"/>
        <v>20</v>
      </c>
      <c r="S262" s="1091">
        <f t="shared" si="50"/>
        <v>19.375</v>
      </c>
      <c r="T262" s="1112">
        <f t="shared" si="51"/>
        <v>38.75</v>
      </c>
    </row>
    <row r="263" spans="12:20" ht="12" customHeight="1" thickBot="1">
      <c r="L263" s="903"/>
      <c r="M263" s="904"/>
      <c r="N263" s="905"/>
      <c r="O263" s="668">
        <v>10</v>
      </c>
      <c r="P263" s="1111" t="s">
        <v>5144</v>
      </c>
      <c r="Q263" s="1116">
        <f t="shared" si="48"/>
        <v>19</v>
      </c>
      <c r="R263" s="1116">
        <f t="shared" si="49"/>
        <v>20</v>
      </c>
      <c r="S263" s="1091">
        <f t="shared" si="50"/>
        <v>19.375</v>
      </c>
      <c r="T263" s="1112">
        <f t="shared" si="51"/>
        <v>38.75</v>
      </c>
    </row>
    <row r="264" spans="12:20" ht="12" customHeight="1">
      <c r="L264" s="1100" t="s">
        <v>5205</v>
      </c>
      <c r="M264" s="1084"/>
      <c r="N264" s="1085"/>
      <c r="O264" s="668">
        <v>10</v>
      </c>
      <c r="P264" s="1111" t="s">
        <v>5145</v>
      </c>
      <c r="Q264" s="1116">
        <f t="shared" si="48"/>
        <v>19</v>
      </c>
      <c r="R264" s="1116">
        <f t="shared" si="49"/>
        <v>20</v>
      </c>
      <c r="S264" s="1091">
        <f t="shared" si="50"/>
        <v>19.375</v>
      </c>
      <c r="T264" s="1112">
        <f t="shared" si="51"/>
        <v>38.75</v>
      </c>
    </row>
    <row r="265" spans="12:20" ht="12" customHeight="1" thickBot="1">
      <c r="L265" s="903"/>
      <c r="M265" s="904"/>
      <c r="N265" s="905"/>
      <c r="O265" s="668">
        <v>10</v>
      </c>
      <c r="P265" s="1111" t="s">
        <v>5146</v>
      </c>
      <c r="Q265" s="1116">
        <f t="shared" si="48"/>
        <v>19</v>
      </c>
      <c r="R265" s="1116">
        <f t="shared" si="49"/>
        <v>20</v>
      </c>
      <c r="S265" s="1091">
        <f t="shared" si="50"/>
        <v>19.375</v>
      </c>
      <c r="T265" s="1112">
        <f t="shared" si="51"/>
        <v>38.75</v>
      </c>
    </row>
    <row r="266" spans="12:20" ht="12" customHeight="1">
      <c r="L266" s="1100" t="s">
        <v>5206</v>
      </c>
      <c r="M266" s="1084"/>
      <c r="N266" s="1085"/>
      <c r="O266" s="668">
        <v>10</v>
      </c>
      <c r="P266" s="1111" t="s">
        <v>5147</v>
      </c>
      <c r="Q266" s="1116">
        <f t="shared" si="48"/>
        <v>19</v>
      </c>
      <c r="R266" s="1116">
        <f t="shared" si="49"/>
        <v>20</v>
      </c>
      <c r="S266" s="1091">
        <f t="shared" si="50"/>
        <v>19.375</v>
      </c>
      <c r="T266" s="1112">
        <f t="shared" si="51"/>
        <v>38.75</v>
      </c>
    </row>
    <row r="267" spans="12:20" ht="12" customHeight="1" thickBot="1">
      <c r="L267" s="903"/>
      <c r="M267" s="904"/>
      <c r="N267" s="905"/>
      <c r="O267" s="668">
        <v>10</v>
      </c>
      <c r="P267" s="1111" t="s">
        <v>5148</v>
      </c>
      <c r="Q267" s="1116">
        <f t="shared" si="48"/>
        <v>19</v>
      </c>
      <c r="R267" s="1116">
        <f t="shared" si="49"/>
        <v>20</v>
      </c>
      <c r="S267" s="1091">
        <f t="shared" si="50"/>
        <v>19.375</v>
      </c>
      <c r="T267" s="1112">
        <f t="shared" si="51"/>
        <v>38.75</v>
      </c>
    </row>
    <row r="268" spans="12:20" ht="12" customHeight="1" thickBot="1">
      <c r="L268" s="1100" t="s">
        <v>5217</v>
      </c>
      <c r="M268" s="1084"/>
      <c r="N268" s="1085"/>
      <c r="O268" s="668">
        <v>10</v>
      </c>
      <c r="P268" s="1113" t="s">
        <v>5149</v>
      </c>
      <c r="Q268" s="1119">
        <f t="shared" si="48"/>
        <v>19</v>
      </c>
      <c r="R268" s="1119">
        <f t="shared" si="49"/>
        <v>20</v>
      </c>
      <c r="S268" s="1114">
        <f t="shared" si="50"/>
        <v>19.375</v>
      </c>
      <c r="T268" s="1115">
        <f t="shared" si="51"/>
        <v>38.75</v>
      </c>
    </row>
    <row r="269" spans="12:20" ht="12" customHeight="1" thickBot="1">
      <c r="L269" s="903"/>
      <c r="M269" s="904"/>
      <c r="N269" s="905"/>
      <c r="O269" s="668">
        <v>30</v>
      </c>
      <c r="P269" s="1106" t="s">
        <v>1535</v>
      </c>
      <c r="Q269" s="1120">
        <f t="shared" si="48"/>
        <v>6.5</v>
      </c>
      <c r="R269" s="1107">
        <f t="shared" si="49"/>
        <v>9.5</v>
      </c>
      <c r="S269" s="1107">
        <f t="shared" si="50"/>
        <v>18.625</v>
      </c>
      <c r="T269" s="1107">
        <f t="shared" si="51"/>
        <v>37.25</v>
      </c>
    </row>
    <row r="270" spans="12:20" ht="12" customHeight="1">
      <c r="L270" s="1100" t="s">
        <v>5207</v>
      </c>
      <c r="M270" s="1084"/>
      <c r="N270" s="1085"/>
      <c r="O270" s="668">
        <v>10</v>
      </c>
      <c r="P270" s="1083" t="s">
        <v>1357</v>
      </c>
      <c r="Q270" s="1116">
        <f t="shared" si="48"/>
        <v>21</v>
      </c>
      <c r="R270" s="1116">
        <f t="shared" si="49"/>
        <v>22</v>
      </c>
      <c r="S270" s="1091">
        <f t="shared" si="50"/>
        <v>29.5</v>
      </c>
      <c r="T270" s="1091">
        <f t="shared" si="51"/>
        <v>59</v>
      </c>
    </row>
    <row r="271" spans="12:20" ht="12" customHeight="1" thickBot="1">
      <c r="L271" s="1094"/>
      <c r="N271" s="1086"/>
      <c r="O271" s="668">
        <v>20</v>
      </c>
      <c r="P271" s="1083" t="s">
        <v>1456</v>
      </c>
      <c r="Q271" s="1116">
        <f t="shared" si="48"/>
        <v>2</v>
      </c>
      <c r="R271" s="1091">
        <f t="shared" si="49"/>
        <v>4</v>
      </c>
      <c r="S271" s="1091">
        <f t="shared" ca="1" si="50"/>
        <v>12.125</v>
      </c>
      <c r="T271" s="1091">
        <f t="shared" ca="1" si="51"/>
        <v>24.25</v>
      </c>
    </row>
    <row r="272" spans="12:20" ht="12" customHeight="1">
      <c r="L272" s="1100" t="s">
        <v>5180</v>
      </c>
      <c r="M272" s="1084"/>
      <c r="N272" s="1085"/>
      <c r="O272" s="668">
        <v>30</v>
      </c>
      <c r="P272" s="1083" t="s">
        <v>1524</v>
      </c>
      <c r="Q272" s="1116">
        <f t="shared" si="48"/>
        <v>0.5</v>
      </c>
      <c r="R272" s="1091">
        <f t="shared" si="49"/>
        <v>3.5</v>
      </c>
      <c r="S272" s="1091">
        <f t="shared" si="50"/>
        <v>8.25</v>
      </c>
      <c r="T272" s="1091">
        <f t="shared" si="51"/>
        <v>16.5</v>
      </c>
    </row>
    <row r="273" spans="12:20" ht="12" customHeight="1" thickBot="1">
      <c r="L273" s="1094"/>
      <c r="N273" s="1086"/>
      <c r="O273" s="668">
        <v>60</v>
      </c>
      <c r="P273" s="1083" t="s">
        <v>2333</v>
      </c>
      <c r="Q273" s="1116">
        <f t="shared" si="48"/>
        <v>6</v>
      </c>
      <c r="R273" s="1091">
        <f t="shared" si="49"/>
        <v>12</v>
      </c>
      <c r="S273" s="1091">
        <f t="shared" si="50"/>
        <v>16.625</v>
      </c>
      <c r="T273" s="1091">
        <f t="shared" si="51"/>
        <v>33.25</v>
      </c>
    </row>
    <row r="274" spans="12:20" ht="12" customHeight="1">
      <c r="L274" s="1100" t="s">
        <v>5208</v>
      </c>
      <c r="M274" s="1084"/>
      <c r="N274" s="1085"/>
    </row>
    <row r="275" spans="12:20" ht="12" customHeight="1" thickBot="1">
      <c r="L275" s="903"/>
      <c r="M275" s="904"/>
      <c r="N275" s="905"/>
    </row>
  </sheetData>
  <sortState ref="X142:X151">
    <sortCondition ref="X142"/>
  </sortState>
  <mergeCells count="11">
    <mergeCell ref="L133:U133"/>
    <mergeCell ref="L126:U126"/>
    <mergeCell ref="L127:U127"/>
    <mergeCell ref="L108:U108"/>
    <mergeCell ref="L109:U109"/>
    <mergeCell ref="L122:U122"/>
    <mergeCell ref="L121:U121"/>
    <mergeCell ref="L131:U131"/>
    <mergeCell ref="L132:U132"/>
    <mergeCell ref="L124:U124"/>
    <mergeCell ref="L125:U125"/>
  </mergeCells>
  <conditionalFormatting sqref="C134">
    <cfRule type="cellIs" dxfId="33" priority="23" stopIfTrue="1" operator="greaterThan">
      <formula>#REF!&gt;0</formula>
    </cfRule>
  </conditionalFormatting>
  <conditionalFormatting sqref="T182:T273">
    <cfRule type="colorScale" priority="1">
      <colorScale>
        <cfvo type="min"/>
        <cfvo type="percentile" val="50"/>
        <cfvo type="max"/>
        <color rgb="FFF8696B"/>
        <color rgb="FFFFEB84"/>
        <color rgb="FF63BE7B"/>
      </colorScale>
    </cfRule>
    <cfRule type="cellIs" dxfId="32" priority="2" operator="greaterThan">
      <formula>60</formula>
    </cfRule>
  </conditionalFormatting>
  <pageMargins left="0.25" right="0.25" top="0.75" bottom="0.75" header="0.3" footer="0.3"/>
  <pageSetup paperSize="9" orientation="portrait" r:id="rId1"/>
  <headerFooter>
    <oddFooter>&amp;C_x000D_&amp;1#&amp;"Arial"&amp;9&amp;K000000 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workbookViewId="0">
      <selection activeCell="A14" sqref="A14"/>
    </sheetView>
  </sheetViews>
  <sheetFormatPr baseColWidth="10" defaultColWidth="8.77734375" defaultRowHeight="14.4"/>
  <cols>
    <col min="2" max="2" width="10.5546875" bestFit="1" customWidth="1"/>
  </cols>
  <sheetData>
    <row r="1" spans="1:2" ht="15" thickBot="1">
      <c r="A1" s="1139" t="s">
        <v>5218</v>
      </c>
      <c r="B1" s="1140">
        <f ca="1">TODAY()</f>
        <v>45929</v>
      </c>
    </row>
    <row r="2" spans="1:2">
      <c r="A2" t="str">
        <f ca="1">"____________  ____________  Taille: "&amp;GenPerso!H78&amp;"cm -- Poids: "&amp;GenPerso!H79&amp;"kg -- Carrure "&amp;GenPerso!H80</f>
        <v>____________  ____________  Taille: 180cm -- Poids: 71kg -- Carrure normale</v>
      </c>
    </row>
    <row r="3" spans="1:2">
      <c r="A3" t="str">
        <f ca="1">"Cheveux: "&amp;GenPerso!H9&amp;"  "&amp;GenPerso!H11&amp;" -- Yeux: "&amp;GenPerso!G14&amp;" -- Poils: "&amp;GenPerso!H12&amp;"/"&amp;GenPerso!H13</f>
        <v>Cheveux: Noir -Ap  Très longs -- Yeux: Noisette -- Poils: Grosse moustache/Épaisse toison</v>
      </c>
    </row>
    <row r="4" spans="1:2">
      <c r="A4" t="str">
        <f ca="1">"Âge: "&amp;persoAge&amp;" -- Naissance: "&amp;LEFT(GenPerso!H3,20)&amp;" -- Peau : "&amp;GenPerso!I15&amp;"/"&amp;GenPerso!H15&amp;" -- Odeur: "&amp;LEFT(GenPerso!H16,12)</f>
        <v>Âge: 21 -- Naissance: Bâtard non reconnu : -- Peau : 0/0 -- Odeur: Aucun, cou A</v>
      </c>
    </row>
    <row r="5" spans="1:2">
      <c r="A5" t="str">
        <f ca="1">"Art graphique: "&amp;LEFT(GenPerso!H17,10)&amp;" NE"&amp;GenPerso!I17&amp; " -- Humour: "&amp;LEFT(GenPerso!H18,25)&amp;" -- Croyance: "&amp;LEFT(GenPerso!H19,30)</f>
        <v xml:space="preserve">Art graphique: Médiocre,  NE10 -- Humour: Sombre, ne sourit que rar -- Croyance: Croyance liée à son histoire, </v>
      </c>
    </row>
    <row r="6" spans="1:2">
      <c r="A6" t="str">
        <f ca="1">"Médical: "&amp;LEFT(GenPerso!H38,25)&amp;"("&amp;LEFT(GenPerso!J38,10)&amp;") -- Psycho: "&amp;LEFT(GenPerso!H39,25)&amp;"("&amp;LEFT(GenPerso!J39,10)&amp;") -- Tics: "&amp;GenPerso!H45</f>
        <v xml:space="preserve">Médical: Rien mais CS-2(Moyenne) -- Psycho:  ( ) -- Tics:  </v>
      </c>
    </row>
    <row r="7" spans="1:2">
      <c r="A7" t="str">
        <f ca="1">"Père "&amp;GenPerso!H26&amp;" "&amp;GenPerso!H29&amp;" ans, "&amp;GenPerso!H31&amp;" -- Mère "&amp;GenPerso!H30&amp;", "&amp;GenPerso!I31&amp;" -- "&amp;persoFreSoe&amp;" frères et sœurs"&amp;" -- Marié ? "&amp;GenPerso!D35</f>
        <v>Père Mendiant  43 ans, vivant -- Mère 47, vivante -- 9 frères et sœurs -- Marié ? non</v>
      </c>
    </row>
    <row r="8" spans="1:2">
      <c r="A8" t="str">
        <f ca="1">"Relation: "&amp;LEFT(GenPerso!H36,12)&amp;" -- Origine "&amp;LEFT(GenPerso!H20,10)&amp;", près de "&amp;LEFT(GenPerso!H21,10)&amp;", terrain ="&amp;LEFT(GenPerso!H22,10)</f>
        <v>Relation: Rejeté : ign -- Origine Montagneus, près de Village, N, terrain =Marais/Sou</v>
      </c>
    </row>
    <row r="9" spans="1:2">
      <c r="A9" t="str">
        <f ca="1">"Traits : "&amp;LEFT(GenPerso!H47,30)&amp;" -- "&amp;LEFT(GenPerso!H48,30)&amp;" -- "&amp;LEFT(GenPerso!H49,30)</f>
        <v xml:space="preserve">Traits : Pilosité, nat Ap+d6-d6. D10* : -- Passion spéciale (objet de la  --  </v>
      </c>
    </row>
    <row r="10" spans="1:2">
      <c r="A10" t="str">
        <f ca="1">"Histoires : "&amp;LEFT(GenPerso!H51,30)&amp;" -- "&amp;LEFT(GenPerso!H52,30)&amp;" -- "&amp;LEFT(GenPerso!H53,30)</f>
        <v xml:space="preserve">Histoires :   --   --  </v>
      </c>
    </row>
    <row r="11" spans="1:2">
      <c r="A11" t="str">
        <f ca="1">"Spécialité : "&amp;MID(GenPerso!H54,12,30)&amp;" -- "&amp;MID(GenPerso!H55,12,30)&amp;" -- "&amp;MID(GenPerso!H56,12,30)</f>
        <v xml:space="preserve">Spécialité : - vue magique : voit les sourc --  -- </v>
      </c>
    </row>
    <row r="13" spans="1:2">
      <c r="A13" t="str">
        <f>"F "&amp;GenPerso!D113&amp;" --En "&amp;GenPerso!D115&amp;" -- D "&amp;GenPerso!D117&amp;" -- A "&amp;GenPerso!D119&amp;" --C "&amp;GenPerso!D129&amp;" -- I "&amp;GenPerso!D121&amp;" -- V "&amp;GenPerso!D123&amp;" -- E "&amp;GenPerso!D125&amp;" -- Em "&amp;GenPerso!D127&amp;" -- Ap "&amp;GenPerso!D131</f>
        <v>F 44 --En 40 -- D 24 -- A 21 --C 32 -- I 7 -- V 19 -- E 7 -- Em 8 -- Ap 10</v>
      </c>
    </row>
  </sheetData>
  <pageMargins left="0.25" right="0.25" top="0.75" bottom="0.75" header="0.3" footer="0.3"/>
  <pageSetup paperSize="9" orientation="portrait" r:id="rId1"/>
  <headerFooter>
    <oddFooter>&amp;C_x000D_&amp;1#&amp;"Arial"&amp;9&amp;K000000 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271"/>
  <sheetViews>
    <sheetView topLeftCell="A103" zoomScaleNormal="100" workbookViewId="0">
      <selection activeCell="D105" sqref="D105"/>
    </sheetView>
  </sheetViews>
  <sheetFormatPr baseColWidth="10" defaultColWidth="9.109375" defaultRowHeight="10.199999999999999"/>
  <cols>
    <col min="1" max="1" width="3.33203125" style="78" customWidth="1"/>
    <col min="2" max="2" width="3.44140625" style="78" customWidth="1"/>
    <col min="3" max="3" width="3.5546875" style="78" customWidth="1"/>
    <col min="4" max="4" width="9.33203125" style="78" customWidth="1"/>
    <col min="5" max="5" width="6.33203125" style="78" customWidth="1"/>
    <col min="6" max="6" width="5.109375" style="78" customWidth="1"/>
    <col min="7" max="7" width="11.5546875" style="78" customWidth="1"/>
    <col min="8" max="8" width="11.33203125" style="78" bestFit="1" customWidth="1"/>
    <col min="9" max="9" width="9.5546875" style="78" bestFit="1" customWidth="1"/>
    <col min="10" max="10" width="11.5546875" style="78" customWidth="1"/>
    <col min="11" max="11" width="12" style="78" customWidth="1"/>
    <col min="12" max="12" width="11.6640625" style="78" customWidth="1"/>
    <col min="13" max="13" width="10.6640625" style="78" customWidth="1"/>
    <col min="14" max="14" width="10.6640625" style="187" customWidth="1"/>
    <col min="15" max="15" width="8" style="187" customWidth="1"/>
    <col min="16" max="16" width="10.6640625" style="187" customWidth="1"/>
    <col min="17" max="17" width="10.6640625" style="186" customWidth="1"/>
    <col min="18" max="19" width="10.6640625" style="78" customWidth="1"/>
    <col min="20" max="20" width="6" style="186" customWidth="1"/>
    <col min="21" max="21" width="6.44140625" style="78" bestFit="1" customWidth="1"/>
    <col min="22" max="22" width="11" style="78" bestFit="1" customWidth="1"/>
    <col min="23" max="23" width="4.5546875" style="78" customWidth="1"/>
    <col min="24" max="24" width="4.6640625" style="78" customWidth="1"/>
    <col min="25" max="26" width="8.6640625" style="78" customWidth="1"/>
    <col min="27" max="27" width="5.6640625" style="187" customWidth="1"/>
    <col min="28" max="28" width="9.109375" style="78" hidden="1" customWidth="1"/>
    <col min="29" max="29" width="6" style="78" hidden="1" customWidth="1"/>
    <col min="30" max="30" width="4.6640625" style="78" hidden="1" customWidth="1"/>
    <col min="31" max="31" width="4.33203125" style="78" hidden="1" customWidth="1"/>
    <col min="32" max="32" width="7.33203125" style="78" hidden="1" customWidth="1"/>
    <col min="33" max="33" width="3.5546875" style="78" hidden="1" customWidth="1"/>
    <col min="34" max="35" width="9.109375" style="78" hidden="1" customWidth="1"/>
    <col min="36" max="36" width="8.109375" style="78" hidden="1" customWidth="1"/>
    <col min="37" max="37" width="7.88671875" style="78" hidden="1" customWidth="1"/>
    <col min="38" max="38" width="7.33203125" style="78" hidden="1" customWidth="1"/>
    <col min="39" max="39" width="8" style="78" hidden="1" customWidth="1"/>
    <col min="40" max="40" width="7.109375" style="78" hidden="1" customWidth="1"/>
    <col min="41" max="54" width="9.109375" style="78" hidden="1" customWidth="1"/>
    <col min="55" max="55" width="15.88671875" style="78" hidden="1" customWidth="1"/>
    <col min="56" max="56" width="9.109375" style="78" hidden="1" customWidth="1"/>
    <col min="57" max="57" width="15.33203125" style="78" hidden="1" customWidth="1"/>
    <col min="58" max="58" width="9.109375" style="78" hidden="1" customWidth="1"/>
    <col min="59" max="59" width="15.88671875" style="78" hidden="1" customWidth="1"/>
    <col min="60" max="60" width="9.109375" style="78" customWidth="1"/>
    <col min="61" max="256" width="9.109375" style="78"/>
    <col min="257" max="257" width="3.33203125" style="78" customWidth="1"/>
    <col min="258" max="258" width="3.44140625" style="78" customWidth="1"/>
    <col min="259" max="259" width="3.5546875" style="78" customWidth="1"/>
    <col min="260" max="260" width="9.33203125" style="78" customWidth="1"/>
    <col min="261" max="261" width="6.33203125" style="78" customWidth="1"/>
    <col min="262" max="262" width="5.109375" style="78" customWidth="1"/>
    <col min="263" max="263" width="11.5546875" style="78" customWidth="1"/>
    <col min="264" max="264" width="11.33203125" style="78" bestFit="1" customWidth="1"/>
    <col min="265" max="265" width="9.5546875" style="78" bestFit="1" customWidth="1"/>
    <col min="266" max="266" width="11.5546875" style="78" customWidth="1"/>
    <col min="267" max="267" width="12" style="78" customWidth="1"/>
    <col min="268" max="268" width="11.6640625" style="78" customWidth="1"/>
    <col min="269" max="270" width="10.6640625" style="78" customWidth="1"/>
    <col min="271" max="271" width="8" style="78" customWidth="1"/>
    <col min="272" max="275" width="10.6640625" style="78" customWidth="1"/>
    <col min="276" max="276" width="6" style="78" customWidth="1"/>
    <col min="277" max="277" width="6.44140625" style="78" bestFit="1" customWidth="1"/>
    <col min="278" max="278" width="11" style="78" bestFit="1" customWidth="1"/>
    <col min="279" max="279" width="4.5546875" style="78" customWidth="1"/>
    <col min="280" max="280" width="4.6640625" style="78" customWidth="1"/>
    <col min="281" max="282" width="8.6640625" style="78" customWidth="1"/>
    <col min="283" max="283" width="5.6640625" style="78" customWidth="1"/>
    <col min="284" max="315" width="0" style="78" hidden="1" customWidth="1"/>
    <col min="316" max="316" width="9.109375" style="78" customWidth="1"/>
    <col min="317" max="512" width="9.109375" style="78"/>
    <col min="513" max="513" width="3.33203125" style="78" customWidth="1"/>
    <col min="514" max="514" width="3.44140625" style="78" customWidth="1"/>
    <col min="515" max="515" width="3.5546875" style="78" customWidth="1"/>
    <col min="516" max="516" width="9.33203125" style="78" customWidth="1"/>
    <col min="517" max="517" width="6.33203125" style="78" customWidth="1"/>
    <col min="518" max="518" width="5.109375" style="78" customWidth="1"/>
    <col min="519" max="519" width="11.5546875" style="78" customWidth="1"/>
    <col min="520" max="520" width="11.33203125" style="78" bestFit="1" customWidth="1"/>
    <col min="521" max="521" width="9.5546875" style="78" bestFit="1" customWidth="1"/>
    <col min="522" max="522" width="11.5546875" style="78" customWidth="1"/>
    <col min="523" max="523" width="12" style="78" customWidth="1"/>
    <col min="524" max="524" width="11.6640625" style="78" customWidth="1"/>
    <col min="525" max="526" width="10.6640625" style="78" customWidth="1"/>
    <col min="527" max="527" width="8" style="78" customWidth="1"/>
    <col min="528" max="531" width="10.6640625" style="78" customWidth="1"/>
    <col min="532" max="532" width="6" style="78" customWidth="1"/>
    <col min="533" max="533" width="6.44140625" style="78" bestFit="1" customWidth="1"/>
    <col min="534" max="534" width="11" style="78" bestFit="1" customWidth="1"/>
    <col min="535" max="535" width="4.5546875" style="78" customWidth="1"/>
    <col min="536" max="536" width="4.6640625" style="78" customWidth="1"/>
    <col min="537" max="538" width="8.6640625" style="78" customWidth="1"/>
    <col min="539" max="539" width="5.6640625" style="78" customWidth="1"/>
    <col min="540" max="571" width="0" style="78" hidden="1" customWidth="1"/>
    <col min="572" max="572" width="9.109375" style="78" customWidth="1"/>
    <col min="573" max="768" width="9.109375" style="78"/>
    <col min="769" max="769" width="3.33203125" style="78" customWidth="1"/>
    <col min="770" max="770" width="3.44140625" style="78" customWidth="1"/>
    <col min="771" max="771" width="3.5546875" style="78" customWidth="1"/>
    <col min="772" max="772" width="9.33203125" style="78" customWidth="1"/>
    <col min="773" max="773" width="6.33203125" style="78" customWidth="1"/>
    <col min="774" max="774" width="5.109375" style="78" customWidth="1"/>
    <col min="775" max="775" width="11.5546875" style="78" customWidth="1"/>
    <col min="776" max="776" width="11.33203125" style="78" bestFit="1" customWidth="1"/>
    <col min="777" max="777" width="9.5546875" style="78" bestFit="1" customWidth="1"/>
    <col min="778" max="778" width="11.5546875" style="78" customWidth="1"/>
    <col min="779" max="779" width="12" style="78" customWidth="1"/>
    <col min="780" max="780" width="11.6640625" style="78" customWidth="1"/>
    <col min="781" max="782" width="10.6640625" style="78" customWidth="1"/>
    <col min="783" max="783" width="8" style="78" customWidth="1"/>
    <col min="784" max="787" width="10.6640625" style="78" customWidth="1"/>
    <col min="788" max="788" width="6" style="78" customWidth="1"/>
    <col min="789" max="789" width="6.44140625" style="78" bestFit="1" customWidth="1"/>
    <col min="790" max="790" width="11" style="78" bestFit="1" customWidth="1"/>
    <col min="791" max="791" width="4.5546875" style="78" customWidth="1"/>
    <col min="792" max="792" width="4.6640625" style="78" customWidth="1"/>
    <col min="793" max="794" width="8.6640625" style="78" customWidth="1"/>
    <col min="795" max="795" width="5.6640625" style="78" customWidth="1"/>
    <col min="796" max="827" width="0" style="78" hidden="1" customWidth="1"/>
    <col min="828" max="828" width="9.109375" style="78" customWidth="1"/>
    <col min="829" max="1024" width="9.109375" style="78"/>
    <col min="1025" max="1025" width="3.33203125" style="78" customWidth="1"/>
    <col min="1026" max="1026" width="3.44140625" style="78" customWidth="1"/>
    <col min="1027" max="1027" width="3.5546875" style="78" customWidth="1"/>
    <col min="1028" max="1028" width="9.33203125" style="78" customWidth="1"/>
    <col min="1029" max="1029" width="6.33203125" style="78" customWidth="1"/>
    <col min="1030" max="1030" width="5.109375" style="78" customWidth="1"/>
    <col min="1031" max="1031" width="11.5546875" style="78" customWidth="1"/>
    <col min="1032" max="1032" width="11.33203125" style="78" bestFit="1" customWidth="1"/>
    <col min="1033" max="1033" width="9.5546875" style="78" bestFit="1" customWidth="1"/>
    <col min="1034" max="1034" width="11.5546875" style="78" customWidth="1"/>
    <col min="1035" max="1035" width="12" style="78" customWidth="1"/>
    <col min="1036" max="1036" width="11.6640625" style="78" customWidth="1"/>
    <col min="1037" max="1038" width="10.6640625" style="78" customWidth="1"/>
    <col min="1039" max="1039" width="8" style="78" customWidth="1"/>
    <col min="1040" max="1043" width="10.6640625" style="78" customWidth="1"/>
    <col min="1044" max="1044" width="6" style="78" customWidth="1"/>
    <col min="1045" max="1045" width="6.44140625" style="78" bestFit="1" customWidth="1"/>
    <col min="1046" max="1046" width="11" style="78" bestFit="1" customWidth="1"/>
    <col min="1047" max="1047" width="4.5546875" style="78" customWidth="1"/>
    <col min="1048" max="1048" width="4.6640625" style="78" customWidth="1"/>
    <col min="1049" max="1050" width="8.6640625" style="78" customWidth="1"/>
    <col min="1051" max="1051" width="5.6640625" style="78" customWidth="1"/>
    <col min="1052" max="1083" width="0" style="78" hidden="1" customWidth="1"/>
    <col min="1084" max="1084" width="9.109375" style="78" customWidth="1"/>
    <col min="1085" max="1280" width="9.109375" style="78"/>
    <col min="1281" max="1281" width="3.33203125" style="78" customWidth="1"/>
    <col min="1282" max="1282" width="3.44140625" style="78" customWidth="1"/>
    <col min="1283" max="1283" width="3.5546875" style="78" customWidth="1"/>
    <col min="1284" max="1284" width="9.33203125" style="78" customWidth="1"/>
    <col min="1285" max="1285" width="6.33203125" style="78" customWidth="1"/>
    <col min="1286" max="1286" width="5.109375" style="78" customWidth="1"/>
    <col min="1287" max="1287" width="11.5546875" style="78" customWidth="1"/>
    <col min="1288" max="1288" width="11.33203125" style="78" bestFit="1" customWidth="1"/>
    <col min="1289" max="1289" width="9.5546875" style="78" bestFit="1" customWidth="1"/>
    <col min="1290" max="1290" width="11.5546875" style="78" customWidth="1"/>
    <col min="1291" max="1291" width="12" style="78" customWidth="1"/>
    <col min="1292" max="1292" width="11.6640625" style="78" customWidth="1"/>
    <col min="1293" max="1294" width="10.6640625" style="78" customWidth="1"/>
    <col min="1295" max="1295" width="8" style="78" customWidth="1"/>
    <col min="1296" max="1299" width="10.6640625" style="78" customWidth="1"/>
    <col min="1300" max="1300" width="6" style="78" customWidth="1"/>
    <col min="1301" max="1301" width="6.44140625" style="78" bestFit="1" customWidth="1"/>
    <col min="1302" max="1302" width="11" style="78" bestFit="1" customWidth="1"/>
    <col min="1303" max="1303" width="4.5546875" style="78" customWidth="1"/>
    <col min="1304" max="1304" width="4.6640625" style="78" customWidth="1"/>
    <col min="1305" max="1306" width="8.6640625" style="78" customWidth="1"/>
    <col min="1307" max="1307" width="5.6640625" style="78" customWidth="1"/>
    <col min="1308" max="1339" width="0" style="78" hidden="1" customWidth="1"/>
    <col min="1340" max="1340" width="9.109375" style="78" customWidth="1"/>
    <col min="1341" max="1536" width="9.109375" style="78"/>
    <col min="1537" max="1537" width="3.33203125" style="78" customWidth="1"/>
    <col min="1538" max="1538" width="3.44140625" style="78" customWidth="1"/>
    <col min="1539" max="1539" width="3.5546875" style="78" customWidth="1"/>
    <col min="1540" max="1540" width="9.33203125" style="78" customWidth="1"/>
    <col min="1541" max="1541" width="6.33203125" style="78" customWidth="1"/>
    <col min="1542" max="1542" width="5.109375" style="78" customWidth="1"/>
    <col min="1543" max="1543" width="11.5546875" style="78" customWidth="1"/>
    <col min="1544" max="1544" width="11.33203125" style="78" bestFit="1" customWidth="1"/>
    <col min="1545" max="1545" width="9.5546875" style="78" bestFit="1" customWidth="1"/>
    <col min="1546" max="1546" width="11.5546875" style="78" customWidth="1"/>
    <col min="1547" max="1547" width="12" style="78" customWidth="1"/>
    <col min="1548" max="1548" width="11.6640625" style="78" customWidth="1"/>
    <col min="1549" max="1550" width="10.6640625" style="78" customWidth="1"/>
    <col min="1551" max="1551" width="8" style="78" customWidth="1"/>
    <col min="1552" max="1555" width="10.6640625" style="78" customWidth="1"/>
    <col min="1556" max="1556" width="6" style="78" customWidth="1"/>
    <col min="1557" max="1557" width="6.44140625" style="78" bestFit="1" customWidth="1"/>
    <col min="1558" max="1558" width="11" style="78" bestFit="1" customWidth="1"/>
    <col min="1559" max="1559" width="4.5546875" style="78" customWidth="1"/>
    <col min="1560" max="1560" width="4.6640625" style="78" customWidth="1"/>
    <col min="1561" max="1562" width="8.6640625" style="78" customWidth="1"/>
    <col min="1563" max="1563" width="5.6640625" style="78" customWidth="1"/>
    <col min="1564" max="1595" width="0" style="78" hidden="1" customWidth="1"/>
    <col min="1596" max="1596" width="9.109375" style="78" customWidth="1"/>
    <col min="1597" max="1792" width="9.109375" style="78"/>
    <col min="1793" max="1793" width="3.33203125" style="78" customWidth="1"/>
    <col min="1794" max="1794" width="3.44140625" style="78" customWidth="1"/>
    <col min="1795" max="1795" width="3.5546875" style="78" customWidth="1"/>
    <col min="1796" max="1796" width="9.33203125" style="78" customWidth="1"/>
    <col min="1797" max="1797" width="6.33203125" style="78" customWidth="1"/>
    <col min="1798" max="1798" width="5.109375" style="78" customWidth="1"/>
    <col min="1799" max="1799" width="11.5546875" style="78" customWidth="1"/>
    <col min="1800" max="1800" width="11.33203125" style="78" bestFit="1" customWidth="1"/>
    <col min="1801" max="1801" width="9.5546875" style="78" bestFit="1" customWidth="1"/>
    <col min="1802" max="1802" width="11.5546875" style="78" customWidth="1"/>
    <col min="1803" max="1803" width="12" style="78" customWidth="1"/>
    <col min="1804" max="1804" width="11.6640625" style="78" customWidth="1"/>
    <col min="1805" max="1806" width="10.6640625" style="78" customWidth="1"/>
    <col min="1807" max="1807" width="8" style="78" customWidth="1"/>
    <col min="1808" max="1811" width="10.6640625" style="78" customWidth="1"/>
    <col min="1812" max="1812" width="6" style="78" customWidth="1"/>
    <col min="1813" max="1813" width="6.44140625" style="78" bestFit="1" customWidth="1"/>
    <col min="1814" max="1814" width="11" style="78" bestFit="1" customWidth="1"/>
    <col min="1815" max="1815" width="4.5546875" style="78" customWidth="1"/>
    <col min="1816" max="1816" width="4.6640625" style="78" customWidth="1"/>
    <col min="1817" max="1818" width="8.6640625" style="78" customWidth="1"/>
    <col min="1819" max="1819" width="5.6640625" style="78" customWidth="1"/>
    <col min="1820" max="1851" width="0" style="78" hidden="1" customWidth="1"/>
    <col min="1852" max="1852" width="9.109375" style="78" customWidth="1"/>
    <col min="1853" max="2048" width="9.109375" style="78"/>
    <col min="2049" max="2049" width="3.33203125" style="78" customWidth="1"/>
    <col min="2050" max="2050" width="3.44140625" style="78" customWidth="1"/>
    <col min="2051" max="2051" width="3.5546875" style="78" customWidth="1"/>
    <col min="2052" max="2052" width="9.33203125" style="78" customWidth="1"/>
    <col min="2053" max="2053" width="6.33203125" style="78" customWidth="1"/>
    <col min="2054" max="2054" width="5.109375" style="78" customWidth="1"/>
    <col min="2055" max="2055" width="11.5546875" style="78" customWidth="1"/>
    <col min="2056" max="2056" width="11.33203125" style="78" bestFit="1" customWidth="1"/>
    <col min="2057" max="2057" width="9.5546875" style="78" bestFit="1" customWidth="1"/>
    <col min="2058" max="2058" width="11.5546875" style="78" customWidth="1"/>
    <col min="2059" max="2059" width="12" style="78" customWidth="1"/>
    <col min="2060" max="2060" width="11.6640625" style="78" customWidth="1"/>
    <col min="2061" max="2062" width="10.6640625" style="78" customWidth="1"/>
    <col min="2063" max="2063" width="8" style="78" customWidth="1"/>
    <col min="2064" max="2067" width="10.6640625" style="78" customWidth="1"/>
    <col min="2068" max="2068" width="6" style="78" customWidth="1"/>
    <col min="2069" max="2069" width="6.44140625" style="78" bestFit="1" customWidth="1"/>
    <col min="2070" max="2070" width="11" style="78" bestFit="1" customWidth="1"/>
    <col min="2071" max="2071" width="4.5546875" style="78" customWidth="1"/>
    <col min="2072" max="2072" width="4.6640625" style="78" customWidth="1"/>
    <col min="2073" max="2074" width="8.6640625" style="78" customWidth="1"/>
    <col min="2075" max="2075" width="5.6640625" style="78" customWidth="1"/>
    <col min="2076" max="2107" width="0" style="78" hidden="1" customWidth="1"/>
    <col min="2108" max="2108" width="9.109375" style="78" customWidth="1"/>
    <col min="2109" max="2304" width="9.109375" style="78"/>
    <col min="2305" max="2305" width="3.33203125" style="78" customWidth="1"/>
    <col min="2306" max="2306" width="3.44140625" style="78" customWidth="1"/>
    <col min="2307" max="2307" width="3.5546875" style="78" customWidth="1"/>
    <col min="2308" max="2308" width="9.33203125" style="78" customWidth="1"/>
    <col min="2309" max="2309" width="6.33203125" style="78" customWidth="1"/>
    <col min="2310" max="2310" width="5.109375" style="78" customWidth="1"/>
    <col min="2311" max="2311" width="11.5546875" style="78" customWidth="1"/>
    <col min="2312" max="2312" width="11.33203125" style="78" bestFit="1" customWidth="1"/>
    <col min="2313" max="2313" width="9.5546875" style="78" bestFit="1" customWidth="1"/>
    <col min="2314" max="2314" width="11.5546875" style="78" customWidth="1"/>
    <col min="2315" max="2315" width="12" style="78" customWidth="1"/>
    <col min="2316" max="2316" width="11.6640625" style="78" customWidth="1"/>
    <col min="2317" max="2318" width="10.6640625" style="78" customWidth="1"/>
    <col min="2319" max="2319" width="8" style="78" customWidth="1"/>
    <col min="2320" max="2323" width="10.6640625" style="78" customWidth="1"/>
    <col min="2324" max="2324" width="6" style="78" customWidth="1"/>
    <col min="2325" max="2325" width="6.44140625" style="78" bestFit="1" customWidth="1"/>
    <col min="2326" max="2326" width="11" style="78" bestFit="1" customWidth="1"/>
    <col min="2327" max="2327" width="4.5546875" style="78" customWidth="1"/>
    <col min="2328" max="2328" width="4.6640625" style="78" customWidth="1"/>
    <col min="2329" max="2330" width="8.6640625" style="78" customWidth="1"/>
    <col min="2331" max="2331" width="5.6640625" style="78" customWidth="1"/>
    <col min="2332" max="2363" width="0" style="78" hidden="1" customWidth="1"/>
    <col min="2364" max="2364" width="9.109375" style="78" customWidth="1"/>
    <col min="2365" max="2560" width="9.109375" style="78"/>
    <col min="2561" max="2561" width="3.33203125" style="78" customWidth="1"/>
    <col min="2562" max="2562" width="3.44140625" style="78" customWidth="1"/>
    <col min="2563" max="2563" width="3.5546875" style="78" customWidth="1"/>
    <col min="2564" max="2564" width="9.33203125" style="78" customWidth="1"/>
    <col min="2565" max="2565" width="6.33203125" style="78" customWidth="1"/>
    <col min="2566" max="2566" width="5.109375" style="78" customWidth="1"/>
    <col min="2567" max="2567" width="11.5546875" style="78" customWidth="1"/>
    <col min="2568" max="2568" width="11.33203125" style="78" bestFit="1" customWidth="1"/>
    <col min="2569" max="2569" width="9.5546875" style="78" bestFit="1" customWidth="1"/>
    <col min="2570" max="2570" width="11.5546875" style="78" customWidth="1"/>
    <col min="2571" max="2571" width="12" style="78" customWidth="1"/>
    <col min="2572" max="2572" width="11.6640625" style="78" customWidth="1"/>
    <col min="2573" max="2574" width="10.6640625" style="78" customWidth="1"/>
    <col min="2575" max="2575" width="8" style="78" customWidth="1"/>
    <col min="2576" max="2579" width="10.6640625" style="78" customWidth="1"/>
    <col min="2580" max="2580" width="6" style="78" customWidth="1"/>
    <col min="2581" max="2581" width="6.44140625" style="78" bestFit="1" customWidth="1"/>
    <col min="2582" max="2582" width="11" style="78" bestFit="1" customWidth="1"/>
    <col min="2583" max="2583" width="4.5546875" style="78" customWidth="1"/>
    <col min="2584" max="2584" width="4.6640625" style="78" customWidth="1"/>
    <col min="2585" max="2586" width="8.6640625" style="78" customWidth="1"/>
    <col min="2587" max="2587" width="5.6640625" style="78" customWidth="1"/>
    <col min="2588" max="2619" width="0" style="78" hidden="1" customWidth="1"/>
    <col min="2620" max="2620" width="9.109375" style="78" customWidth="1"/>
    <col min="2621" max="2816" width="9.109375" style="78"/>
    <col min="2817" max="2817" width="3.33203125" style="78" customWidth="1"/>
    <col min="2818" max="2818" width="3.44140625" style="78" customWidth="1"/>
    <col min="2819" max="2819" width="3.5546875" style="78" customWidth="1"/>
    <col min="2820" max="2820" width="9.33203125" style="78" customWidth="1"/>
    <col min="2821" max="2821" width="6.33203125" style="78" customWidth="1"/>
    <col min="2822" max="2822" width="5.109375" style="78" customWidth="1"/>
    <col min="2823" max="2823" width="11.5546875" style="78" customWidth="1"/>
    <col min="2824" max="2824" width="11.33203125" style="78" bestFit="1" customWidth="1"/>
    <col min="2825" max="2825" width="9.5546875" style="78" bestFit="1" customWidth="1"/>
    <col min="2826" max="2826" width="11.5546875" style="78" customWidth="1"/>
    <col min="2827" max="2827" width="12" style="78" customWidth="1"/>
    <col min="2828" max="2828" width="11.6640625" style="78" customWidth="1"/>
    <col min="2829" max="2830" width="10.6640625" style="78" customWidth="1"/>
    <col min="2831" max="2831" width="8" style="78" customWidth="1"/>
    <col min="2832" max="2835" width="10.6640625" style="78" customWidth="1"/>
    <col min="2836" max="2836" width="6" style="78" customWidth="1"/>
    <col min="2837" max="2837" width="6.44140625" style="78" bestFit="1" customWidth="1"/>
    <col min="2838" max="2838" width="11" style="78" bestFit="1" customWidth="1"/>
    <col min="2839" max="2839" width="4.5546875" style="78" customWidth="1"/>
    <col min="2840" max="2840" width="4.6640625" style="78" customWidth="1"/>
    <col min="2841" max="2842" width="8.6640625" style="78" customWidth="1"/>
    <col min="2843" max="2843" width="5.6640625" style="78" customWidth="1"/>
    <col min="2844" max="2875" width="0" style="78" hidden="1" customWidth="1"/>
    <col min="2876" max="2876" width="9.109375" style="78" customWidth="1"/>
    <col min="2877" max="3072" width="9.109375" style="78"/>
    <col min="3073" max="3073" width="3.33203125" style="78" customWidth="1"/>
    <col min="3074" max="3074" width="3.44140625" style="78" customWidth="1"/>
    <col min="3075" max="3075" width="3.5546875" style="78" customWidth="1"/>
    <col min="3076" max="3076" width="9.33203125" style="78" customWidth="1"/>
    <col min="3077" max="3077" width="6.33203125" style="78" customWidth="1"/>
    <col min="3078" max="3078" width="5.109375" style="78" customWidth="1"/>
    <col min="3079" max="3079" width="11.5546875" style="78" customWidth="1"/>
    <col min="3080" max="3080" width="11.33203125" style="78" bestFit="1" customWidth="1"/>
    <col min="3081" max="3081" width="9.5546875" style="78" bestFit="1" customWidth="1"/>
    <col min="3082" max="3082" width="11.5546875" style="78" customWidth="1"/>
    <col min="3083" max="3083" width="12" style="78" customWidth="1"/>
    <col min="3084" max="3084" width="11.6640625" style="78" customWidth="1"/>
    <col min="3085" max="3086" width="10.6640625" style="78" customWidth="1"/>
    <col min="3087" max="3087" width="8" style="78" customWidth="1"/>
    <col min="3088" max="3091" width="10.6640625" style="78" customWidth="1"/>
    <col min="3092" max="3092" width="6" style="78" customWidth="1"/>
    <col min="3093" max="3093" width="6.44140625" style="78" bestFit="1" customWidth="1"/>
    <col min="3094" max="3094" width="11" style="78" bestFit="1" customWidth="1"/>
    <col min="3095" max="3095" width="4.5546875" style="78" customWidth="1"/>
    <col min="3096" max="3096" width="4.6640625" style="78" customWidth="1"/>
    <col min="3097" max="3098" width="8.6640625" style="78" customWidth="1"/>
    <col min="3099" max="3099" width="5.6640625" style="78" customWidth="1"/>
    <col min="3100" max="3131" width="0" style="78" hidden="1" customWidth="1"/>
    <col min="3132" max="3132" width="9.109375" style="78" customWidth="1"/>
    <col min="3133" max="3328" width="9.109375" style="78"/>
    <col min="3329" max="3329" width="3.33203125" style="78" customWidth="1"/>
    <col min="3330" max="3330" width="3.44140625" style="78" customWidth="1"/>
    <col min="3331" max="3331" width="3.5546875" style="78" customWidth="1"/>
    <col min="3332" max="3332" width="9.33203125" style="78" customWidth="1"/>
    <col min="3333" max="3333" width="6.33203125" style="78" customWidth="1"/>
    <col min="3334" max="3334" width="5.109375" style="78" customWidth="1"/>
    <col min="3335" max="3335" width="11.5546875" style="78" customWidth="1"/>
    <col min="3336" max="3336" width="11.33203125" style="78" bestFit="1" customWidth="1"/>
    <col min="3337" max="3337" width="9.5546875" style="78" bestFit="1" customWidth="1"/>
    <col min="3338" max="3338" width="11.5546875" style="78" customWidth="1"/>
    <col min="3339" max="3339" width="12" style="78" customWidth="1"/>
    <col min="3340" max="3340" width="11.6640625" style="78" customWidth="1"/>
    <col min="3341" max="3342" width="10.6640625" style="78" customWidth="1"/>
    <col min="3343" max="3343" width="8" style="78" customWidth="1"/>
    <col min="3344" max="3347" width="10.6640625" style="78" customWidth="1"/>
    <col min="3348" max="3348" width="6" style="78" customWidth="1"/>
    <col min="3349" max="3349" width="6.44140625" style="78" bestFit="1" customWidth="1"/>
    <col min="3350" max="3350" width="11" style="78" bestFit="1" customWidth="1"/>
    <col min="3351" max="3351" width="4.5546875" style="78" customWidth="1"/>
    <col min="3352" max="3352" width="4.6640625" style="78" customWidth="1"/>
    <col min="3353" max="3354" width="8.6640625" style="78" customWidth="1"/>
    <col min="3355" max="3355" width="5.6640625" style="78" customWidth="1"/>
    <col min="3356" max="3387" width="0" style="78" hidden="1" customWidth="1"/>
    <col min="3388" max="3388" width="9.109375" style="78" customWidth="1"/>
    <col min="3389" max="3584" width="9.109375" style="78"/>
    <col min="3585" max="3585" width="3.33203125" style="78" customWidth="1"/>
    <col min="3586" max="3586" width="3.44140625" style="78" customWidth="1"/>
    <col min="3587" max="3587" width="3.5546875" style="78" customWidth="1"/>
    <col min="3588" max="3588" width="9.33203125" style="78" customWidth="1"/>
    <col min="3589" max="3589" width="6.33203125" style="78" customWidth="1"/>
    <col min="3590" max="3590" width="5.109375" style="78" customWidth="1"/>
    <col min="3591" max="3591" width="11.5546875" style="78" customWidth="1"/>
    <col min="3592" max="3592" width="11.33203125" style="78" bestFit="1" customWidth="1"/>
    <col min="3593" max="3593" width="9.5546875" style="78" bestFit="1" customWidth="1"/>
    <col min="3594" max="3594" width="11.5546875" style="78" customWidth="1"/>
    <col min="3595" max="3595" width="12" style="78" customWidth="1"/>
    <col min="3596" max="3596" width="11.6640625" style="78" customWidth="1"/>
    <col min="3597" max="3598" width="10.6640625" style="78" customWidth="1"/>
    <col min="3599" max="3599" width="8" style="78" customWidth="1"/>
    <col min="3600" max="3603" width="10.6640625" style="78" customWidth="1"/>
    <col min="3604" max="3604" width="6" style="78" customWidth="1"/>
    <col min="3605" max="3605" width="6.44140625" style="78" bestFit="1" customWidth="1"/>
    <col min="3606" max="3606" width="11" style="78" bestFit="1" customWidth="1"/>
    <col min="3607" max="3607" width="4.5546875" style="78" customWidth="1"/>
    <col min="3608" max="3608" width="4.6640625" style="78" customWidth="1"/>
    <col min="3609" max="3610" width="8.6640625" style="78" customWidth="1"/>
    <col min="3611" max="3611" width="5.6640625" style="78" customWidth="1"/>
    <col min="3612" max="3643" width="0" style="78" hidden="1" customWidth="1"/>
    <col min="3644" max="3644" width="9.109375" style="78" customWidth="1"/>
    <col min="3645" max="3840" width="9.109375" style="78"/>
    <col min="3841" max="3841" width="3.33203125" style="78" customWidth="1"/>
    <col min="3842" max="3842" width="3.44140625" style="78" customWidth="1"/>
    <col min="3843" max="3843" width="3.5546875" style="78" customWidth="1"/>
    <col min="3844" max="3844" width="9.33203125" style="78" customWidth="1"/>
    <col min="3845" max="3845" width="6.33203125" style="78" customWidth="1"/>
    <col min="3846" max="3846" width="5.109375" style="78" customWidth="1"/>
    <col min="3847" max="3847" width="11.5546875" style="78" customWidth="1"/>
    <col min="3848" max="3848" width="11.33203125" style="78" bestFit="1" customWidth="1"/>
    <col min="3849" max="3849" width="9.5546875" style="78" bestFit="1" customWidth="1"/>
    <col min="3850" max="3850" width="11.5546875" style="78" customWidth="1"/>
    <col min="3851" max="3851" width="12" style="78" customWidth="1"/>
    <col min="3852" max="3852" width="11.6640625" style="78" customWidth="1"/>
    <col min="3853" max="3854" width="10.6640625" style="78" customWidth="1"/>
    <col min="3855" max="3855" width="8" style="78" customWidth="1"/>
    <col min="3856" max="3859" width="10.6640625" style="78" customWidth="1"/>
    <col min="3860" max="3860" width="6" style="78" customWidth="1"/>
    <col min="3861" max="3861" width="6.44140625" style="78" bestFit="1" customWidth="1"/>
    <col min="3862" max="3862" width="11" style="78" bestFit="1" customWidth="1"/>
    <col min="3863" max="3863" width="4.5546875" style="78" customWidth="1"/>
    <col min="3864" max="3864" width="4.6640625" style="78" customWidth="1"/>
    <col min="3865" max="3866" width="8.6640625" style="78" customWidth="1"/>
    <col min="3867" max="3867" width="5.6640625" style="78" customWidth="1"/>
    <col min="3868" max="3899" width="0" style="78" hidden="1" customWidth="1"/>
    <col min="3900" max="3900" width="9.109375" style="78" customWidth="1"/>
    <col min="3901" max="4096" width="9.109375" style="78"/>
    <col min="4097" max="4097" width="3.33203125" style="78" customWidth="1"/>
    <col min="4098" max="4098" width="3.44140625" style="78" customWidth="1"/>
    <col min="4099" max="4099" width="3.5546875" style="78" customWidth="1"/>
    <col min="4100" max="4100" width="9.33203125" style="78" customWidth="1"/>
    <col min="4101" max="4101" width="6.33203125" style="78" customWidth="1"/>
    <col min="4102" max="4102" width="5.109375" style="78" customWidth="1"/>
    <col min="4103" max="4103" width="11.5546875" style="78" customWidth="1"/>
    <col min="4104" max="4104" width="11.33203125" style="78" bestFit="1" customWidth="1"/>
    <col min="4105" max="4105" width="9.5546875" style="78" bestFit="1" customWidth="1"/>
    <col min="4106" max="4106" width="11.5546875" style="78" customWidth="1"/>
    <col min="4107" max="4107" width="12" style="78" customWidth="1"/>
    <col min="4108" max="4108" width="11.6640625" style="78" customWidth="1"/>
    <col min="4109" max="4110" width="10.6640625" style="78" customWidth="1"/>
    <col min="4111" max="4111" width="8" style="78" customWidth="1"/>
    <col min="4112" max="4115" width="10.6640625" style="78" customWidth="1"/>
    <col min="4116" max="4116" width="6" style="78" customWidth="1"/>
    <col min="4117" max="4117" width="6.44140625" style="78" bestFit="1" customWidth="1"/>
    <col min="4118" max="4118" width="11" style="78" bestFit="1" customWidth="1"/>
    <col min="4119" max="4119" width="4.5546875" style="78" customWidth="1"/>
    <col min="4120" max="4120" width="4.6640625" style="78" customWidth="1"/>
    <col min="4121" max="4122" width="8.6640625" style="78" customWidth="1"/>
    <col min="4123" max="4123" width="5.6640625" style="78" customWidth="1"/>
    <col min="4124" max="4155" width="0" style="78" hidden="1" customWidth="1"/>
    <col min="4156" max="4156" width="9.109375" style="78" customWidth="1"/>
    <col min="4157" max="4352" width="9.109375" style="78"/>
    <col min="4353" max="4353" width="3.33203125" style="78" customWidth="1"/>
    <col min="4354" max="4354" width="3.44140625" style="78" customWidth="1"/>
    <col min="4355" max="4355" width="3.5546875" style="78" customWidth="1"/>
    <col min="4356" max="4356" width="9.33203125" style="78" customWidth="1"/>
    <col min="4357" max="4357" width="6.33203125" style="78" customWidth="1"/>
    <col min="4358" max="4358" width="5.109375" style="78" customWidth="1"/>
    <col min="4359" max="4359" width="11.5546875" style="78" customWidth="1"/>
    <col min="4360" max="4360" width="11.33203125" style="78" bestFit="1" customWidth="1"/>
    <col min="4361" max="4361" width="9.5546875" style="78" bestFit="1" customWidth="1"/>
    <col min="4362" max="4362" width="11.5546875" style="78" customWidth="1"/>
    <col min="4363" max="4363" width="12" style="78" customWidth="1"/>
    <col min="4364" max="4364" width="11.6640625" style="78" customWidth="1"/>
    <col min="4365" max="4366" width="10.6640625" style="78" customWidth="1"/>
    <col min="4367" max="4367" width="8" style="78" customWidth="1"/>
    <col min="4368" max="4371" width="10.6640625" style="78" customWidth="1"/>
    <col min="4372" max="4372" width="6" style="78" customWidth="1"/>
    <col min="4373" max="4373" width="6.44140625" style="78" bestFit="1" customWidth="1"/>
    <col min="4374" max="4374" width="11" style="78" bestFit="1" customWidth="1"/>
    <col min="4375" max="4375" width="4.5546875" style="78" customWidth="1"/>
    <col min="4376" max="4376" width="4.6640625" style="78" customWidth="1"/>
    <col min="4377" max="4378" width="8.6640625" style="78" customWidth="1"/>
    <col min="4379" max="4379" width="5.6640625" style="78" customWidth="1"/>
    <col min="4380" max="4411" width="0" style="78" hidden="1" customWidth="1"/>
    <col min="4412" max="4412" width="9.109375" style="78" customWidth="1"/>
    <col min="4413" max="4608" width="9.109375" style="78"/>
    <col min="4609" max="4609" width="3.33203125" style="78" customWidth="1"/>
    <col min="4610" max="4610" width="3.44140625" style="78" customWidth="1"/>
    <col min="4611" max="4611" width="3.5546875" style="78" customWidth="1"/>
    <col min="4612" max="4612" width="9.33203125" style="78" customWidth="1"/>
    <col min="4613" max="4613" width="6.33203125" style="78" customWidth="1"/>
    <col min="4614" max="4614" width="5.109375" style="78" customWidth="1"/>
    <col min="4615" max="4615" width="11.5546875" style="78" customWidth="1"/>
    <col min="4616" max="4616" width="11.33203125" style="78" bestFit="1" customWidth="1"/>
    <col min="4617" max="4617" width="9.5546875" style="78" bestFit="1" customWidth="1"/>
    <col min="4618" max="4618" width="11.5546875" style="78" customWidth="1"/>
    <col min="4619" max="4619" width="12" style="78" customWidth="1"/>
    <col min="4620" max="4620" width="11.6640625" style="78" customWidth="1"/>
    <col min="4621" max="4622" width="10.6640625" style="78" customWidth="1"/>
    <col min="4623" max="4623" width="8" style="78" customWidth="1"/>
    <col min="4624" max="4627" width="10.6640625" style="78" customWidth="1"/>
    <col min="4628" max="4628" width="6" style="78" customWidth="1"/>
    <col min="4629" max="4629" width="6.44140625" style="78" bestFit="1" customWidth="1"/>
    <col min="4630" max="4630" width="11" style="78" bestFit="1" customWidth="1"/>
    <col min="4631" max="4631" width="4.5546875" style="78" customWidth="1"/>
    <col min="4632" max="4632" width="4.6640625" style="78" customWidth="1"/>
    <col min="4633" max="4634" width="8.6640625" style="78" customWidth="1"/>
    <col min="4635" max="4635" width="5.6640625" style="78" customWidth="1"/>
    <col min="4636" max="4667" width="0" style="78" hidden="1" customWidth="1"/>
    <col min="4668" max="4668" width="9.109375" style="78" customWidth="1"/>
    <col min="4669" max="4864" width="9.109375" style="78"/>
    <col min="4865" max="4865" width="3.33203125" style="78" customWidth="1"/>
    <col min="4866" max="4866" width="3.44140625" style="78" customWidth="1"/>
    <col min="4867" max="4867" width="3.5546875" style="78" customWidth="1"/>
    <col min="4868" max="4868" width="9.33203125" style="78" customWidth="1"/>
    <col min="4869" max="4869" width="6.33203125" style="78" customWidth="1"/>
    <col min="4870" max="4870" width="5.109375" style="78" customWidth="1"/>
    <col min="4871" max="4871" width="11.5546875" style="78" customWidth="1"/>
    <col min="4872" max="4872" width="11.33203125" style="78" bestFit="1" customWidth="1"/>
    <col min="4873" max="4873" width="9.5546875" style="78" bestFit="1" customWidth="1"/>
    <col min="4874" max="4874" width="11.5546875" style="78" customWidth="1"/>
    <col min="4875" max="4875" width="12" style="78" customWidth="1"/>
    <col min="4876" max="4876" width="11.6640625" style="78" customWidth="1"/>
    <col min="4877" max="4878" width="10.6640625" style="78" customWidth="1"/>
    <col min="4879" max="4879" width="8" style="78" customWidth="1"/>
    <col min="4880" max="4883" width="10.6640625" style="78" customWidth="1"/>
    <col min="4884" max="4884" width="6" style="78" customWidth="1"/>
    <col min="4885" max="4885" width="6.44140625" style="78" bestFit="1" customWidth="1"/>
    <col min="4886" max="4886" width="11" style="78" bestFit="1" customWidth="1"/>
    <col min="4887" max="4887" width="4.5546875" style="78" customWidth="1"/>
    <col min="4888" max="4888" width="4.6640625" style="78" customWidth="1"/>
    <col min="4889" max="4890" width="8.6640625" style="78" customWidth="1"/>
    <col min="4891" max="4891" width="5.6640625" style="78" customWidth="1"/>
    <col min="4892" max="4923" width="0" style="78" hidden="1" customWidth="1"/>
    <col min="4924" max="4924" width="9.109375" style="78" customWidth="1"/>
    <col min="4925" max="5120" width="9.109375" style="78"/>
    <col min="5121" max="5121" width="3.33203125" style="78" customWidth="1"/>
    <col min="5122" max="5122" width="3.44140625" style="78" customWidth="1"/>
    <col min="5123" max="5123" width="3.5546875" style="78" customWidth="1"/>
    <col min="5124" max="5124" width="9.33203125" style="78" customWidth="1"/>
    <col min="5125" max="5125" width="6.33203125" style="78" customWidth="1"/>
    <col min="5126" max="5126" width="5.109375" style="78" customWidth="1"/>
    <col min="5127" max="5127" width="11.5546875" style="78" customWidth="1"/>
    <col min="5128" max="5128" width="11.33203125" style="78" bestFit="1" customWidth="1"/>
    <col min="5129" max="5129" width="9.5546875" style="78" bestFit="1" customWidth="1"/>
    <col min="5130" max="5130" width="11.5546875" style="78" customWidth="1"/>
    <col min="5131" max="5131" width="12" style="78" customWidth="1"/>
    <col min="5132" max="5132" width="11.6640625" style="78" customWidth="1"/>
    <col min="5133" max="5134" width="10.6640625" style="78" customWidth="1"/>
    <col min="5135" max="5135" width="8" style="78" customWidth="1"/>
    <col min="5136" max="5139" width="10.6640625" style="78" customWidth="1"/>
    <col min="5140" max="5140" width="6" style="78" customWidth="1"/>
    <col min="5141" max="5141" width="6.44140625" style="78" bestFit="1" customWidth="1"/>
    <col min="5142" max="5142" width="11" style="78" bestFit="1" customWidth="1"/>
    <col min="5143" max="5143" width="4.5546875" style="78" customWidth="1"/>
    <col min="5144" max="5144" width="4.6640625" style="78" customWidth="1"/>
    <col min="5145" max="5146" width="8.6640625" style="78" customWidth="1"/>
    <col min="5147" max="5147" width="5.6640625" style="78" customWidth="1"/>
    <col min="5148" max="5179" width="0" style="78" hidden="1" customWidth="1"/>
    <col min="5180" max="5180" width="9.109375" style="78" customWidth="1"/>
    <col min="5181" max="5376" width="9.109375" style="78"/>
    <col min="5377" max="5377" width="3.33203125" style="78" customWidth="1"/>
    <col min="5378" max="5378" width="3.44140625" style="78" customWidth="1"/>
    <col min="5379" max="5379" width="3.5546875" style="78" customWidth="1"/>
    <col min="5380" max="5380" width="9.33203125" style="78" customWidth="1"/>
    <col min="5381" max="5381" width="6.33203125" style="78" customWidth="1"/>
    <col min="5382" max="5382" width="5.109375" style="78" customWidth="1"/>
    <col min="5383" max="5383" width="11.5546875" style="78" customWidth="1"/>
    <col min="5384" max="5384" width="11.33203125" style="78" bestFit="1" customWidth="1"/>
    <col min="5385" max="5385" width="9.5546875" style="78" bestFit="1" customWidth="1"/>
    <col min="5386" max="5386" width="11.5546875" style="78" customWidth="1"/>
    <col min="5387" max="5387" width="12" style="78" customWidth="1"/>
    <col min="5388" max="5388" width="11.6640625" style="78" customWidth="1"/>
    <col min="5389" max="5390" width="10.6640625" style="78" customWidth="1"/>
    <col min="5391" max="5391" width="8" style="78" customWidth="1"/>
    <col min="5392" max="5395" width="10.6640625" style="78" customWidth="1"/>
    <col min="5396" max="5396" width="6" style="78" customWidth="1"/>
    <col min="5397" max="5397" width="6.44140625" style="78" bestFit="1" customWidth="1"/>
    <col min="5398" max="5398" width="11" style="78" bestFit="1" customWidth="1"/>
    <col min="5399" max="5399" width="4.5546875" style="78" customWidth="1"/>
    <col min="5400" max="5400" width="4.6640625" style="78" customWidth="1"/>
    <col min="5401" max="5402" width="8.6640625" style="78" customWidth="1"/>
    <col min="5403" max="5403" width="5.6640625" style="78" customWidth="1"/>
    <col min="5404" max="5435" width="0" style="78" hidden="1" customWidth="1"/>
    <col min="5436" max="5436" width="9.109375" style="78" customWidth="1"/>
    <col min="5437" max="5632" width="9.109375" style="78"/>
    <col min="5633" max="5633" width="3.33203125" style="78" customWidth="1"/>
    <col min="5634" max="5634" width="3.44140625" style="78" customWidth="1"/>
    <col min="5635" max="5635" width="3.5546875" style="78" customWidth="1"/>
    <col min="5636" max="5636" width="9.33203125" style="78" customWidth="1"/>
    <col min="5637" max="5637" width="6.33203125" style="78" customWidth="1"/>
    <col min="5638" max="5638" width="5.109375" style="78" customWidth="1"/>
    <col min="5639" max="5639" width="11.5546875" style="78" customWidth="1"/>
    <col min="5640" max="5640" width="11.33203125" style="78" bestFit="1" customWidth="1"/>
    <col min="5641" max="5641" width="9.5546875" style="78" bestFit="1" customWidth="1"/>
    <col min="5642" max="5642" width="11.5546875" style="78" customWidth="1"/>
    <col min="5643" max="5643" width="12" style="78" customWidth="1"/>
    <col min="5644" max="5644" width="11.6640625" style="78" customWidth="1"/>
    <col min="5645" max="5646" width="10.6640625" style="78" customWidth="1"/>
    <col min="5647" max="5647" width="8" style="78" customWidth="1"/>
    <col min="5648" max="5651" width="10.6640625" style="78" customWidth="1"/>
    <col min="5652" max="5652" width="6" style="78" customWidth="1"/>
    <col min="5653" max="5653" width="6.44140625" style="78" bestFit="1" customWidth="1"/>
    <col min="5654" max="5654" width="11" style="78" bestFit="1" customWidth="1"/>
    <col min="5655" max="5655" width="4.5546875" style="78" customWidth="1"/>
    <col min="5656" max="5656" width="4.6640625" style="78" customWidth="1"/>
    <col min="5657" max="5658" width="8.6640625" style="78" customWidth="1"/>
    <col min="5659" max="5659" width="5.6640625" style="78" customWidth="1"/>
    <col min="5660" max="5691" width="0" style="78" hidden="1" customWidth="1"/>
    <col min="5692" max="5692" width="9.109375" style="78" customWidth="1"/>
    <col min="5693" max="5888" width="9.109375" style="78"/>
    <col min="5889" max="5889" width="3.33203125" style="78" customWidth="1"/>
    <col min="5890" max="5890" width="3.44140625" style="78" customWidth="1"/>
    <col min="5891" max="5891" width="3.5546875" style="78" customWidth="1"/>
    <col min="5892" max="5892" width="9.33203125" style="78" customWidth="1"/>
    <col min="5893" max="5893" width="6.33203125" style="78" customWidth="1"/>
    <col min="5894" max="5894" width="5.109375" style="78" customWidth="1"/>
    <col min="5895" max="5895" width="11.5546875" style="78" customWidth="1"/>
    <col min="5896" max="5896" width="11.33203125" style="78" bestFit="1" customWidth="1"/>
    <col min="5897" max="5897" width="9.5546875" style="78" bestFit="1" customWidth="1"/>
    <col min="5898" max="5898" width="11.5546875" style="78" customWidth="1"/>
    <col min="5899" max="5899" width="12" style="78" customWidth="1"/>
    <col min="5900" max="5900" width="11.6640625" style="78" customWidth="1"/>
    <col min="5901" max="5902" width="10.6640625" style="78" customWidth="1"/>
    <col min="5903" max="5903" width="8" style="78" customWidth="1"/>
    <col min="5904" max="5907" width="10.6640625" style="78" customWidth="1"/>
    <col min="5908" max="5908" width="6" style="78" customWidth="1"/>
    <col min="5909" max="5909" width="6.44140625" style="78" bestFit="1" customWidth="1"/>
    <col min="5910" max="5910" width="11" style="78" bestFit="1" customWidth="1"/>
    <col min="5911" max="5911" width="4.5546875" style="78" customWidth="1"/>
    <col min="5912" max="5912" width="4.6640625" style="78" customWidth="1"/>
    <col min="5913" max="5914" width="8.6640625" style="78" customWidth="1"/>
    <col min="5915" max="5915" width="5.6640625" style="78" customWidth="1"/>
    <col min="5916" max="5947" width="0" style="78" hidden="1" customWidth="1"/>
    <col min="5948" max="5948" width="9.109375" style="78" customWidth="1"/>
    <col min="5949" max="6144" width="9.109375" style="78"/>
    <col min="6145" max="6145" width="3.33203125" style="78" customWidth="1"/>
    <col min="6146" max="6146" width="3.44140625" style="78" customWidth="1"/>
    <col min="6147" max="6147" width="3.5546875" style="78" customWidth="1"/>
    <col min="6148" max="6148" width="9.33203125" style="78" customWidth="1"/>
    <col min="6149" max="6149" width="6.33203125" style="78" customWidth="1"/>
    <col min="6150" max="6150" width="5.109375" style="78" customWidth="1"/>
    <col min="6151" max="6151" width="11.5546875" style="78" customWidth="1"/>
    <col min="6152" max="6152" width="11.33203125" style="78" bestFit="1" customWidth="1"/>
    <col min="6153" max="6153" width="9.5546875" style="78" bestFit="1" customWidth="1"/>
    <col min="6154" max="6154" width="11.5546875" style="78" customWidth="1"/>
    <col min="6155" max="6155" width="12" style="78" customWidth="1"/>
    <col min="6156" max="6156" width="11.6640625" style="78" customWidth="1"/>
    <col min="6157" max="6158" width="10.6640625" style="78" customWidth="1"/>
    <col min="6159" max="6159" width="8" style="78" customWidth="1"/>
    <col min="6160" max="6163" width="10.6640625" style="78" customWidth="1"/>
    <col min="6164" max="6164" width="6" style="78" customWidth="1"/>
    <col min="6165" max="6165" width="6.44140625" style="78" bestFit="1" customWidth="1"/>
    <col min="6166" max="6166" width="11" style="78" bestFit="1" customWidth="1"/>
    <col min="6167" max="6167" width="4.5546875" style="78" customWidth="1"/>
    <col min="6168" max="6168" width="4.6640625" style="78" customWidth="1"/>
    <col min="6169" max="6170" width="8.6640625" style="78" customWidth="1"/>
    <col min="6171" max="6171" width="5.6640625" style="78" customWidth="1"/>
    <col min="6172" max="6203" width="0" style="78" hidden="1" customWidth="1"/>
    <col min="6204" max="6204" width="9.109375" style="78" customWidth="1"/>
    <col min="6205" max="6400" width="9.109375" style="78"/>
    <col min="6401" max="6401" width="3.33203125" style="78" customWidth="1"/>
    <col min="6402" max="6402" width="3.44140625" style="78" customWidth="1"/>
    <col min="6403" max="6403" width="3.5546875" style="78" customWidth="1"/>
    <col min="6404" max="6404" width="9.33203125" style="78" customWidth="1"/>
    <col min="6405" max="6405" width="6.33203125" style="78" customWidth="1"/>
    <col min="6406" max="6406" width="5.109375" style="78" customWidth="1"/>
    <col min="6407" max="6407" width="11.5546875" style="78" customWidth="1"/>
    <col min="6408" max="6408" width="11.33203125" style="78" bestFit="1" customWidth="1"/>
    <col min="6409" max="6409" width="9.5546875" style="78" bestFit="1" customWidth="1"/>
    <col min="6410" max="6410" width="11.5546875" style="78" customWidth="1"/>
    <col min="6411" max="6411" width="12" style="78" customWidth="1"/>
    <col min="6412" max="6412" width="11.6640625" style="78" customWidth="1"/>
    <col min="6413" max="6414" width="10.6640625" style="78" customWidth="1"/>
    <col min="6415" max="6415" width="8" style="78" customWidth="1"/>
    <col min="6416" max="6419" width="10.6640625" style="78" customWidth="1"/>
    <col min="6420" max="6420" width="6" style="78" customWidth="1"/>
    <col min="6421" max="6421" width="6.44140625" style="78" bestFit="1" customWidth="1"/>
    <col min="6422" max="6422" width="11" style="78" bestFit="1" customWidth="1"/>
    <col min="6423" max="6423" width="4.5546875" style="78" customWidth="1"/>
    <col min="6424" max="6424" width="4.6640625" style="78" customWidth="1"/>
    <col min="6425" max="6426" width="8.6640625" style="78" customWidth="1"/>
    <col min="6427" max="6427" width="5.6640625" style="78" customWidth="1"/>
    <col min="6428" max="6459" width="0" style="78" hidden="1" customWidth="1"/>
    <col min="6460" max="6460" width="9.109375" style="78" customWidth="1"/>
    <col min="6461" max="6656" width="9.109375" style="78"/>
    <col min="6657" max="6657" width="3.33203125" style="78" customWidth="1"/>
    <col min="6658" max="6658" width="3.44140625" style="78" customWidth="1"/>
    <col min="6659" max="6659" width="3.5546875" style="78" customWidth="1"/>
    <col min="6660" max="6660" width="9.33203125" style="78" customWidth="1"/>
    <col min="6661" max="6661" width="6.33203125" style="78" customWidth="1"/>
    <col min="6662" max="6662" width="5.109375" style="78" customWidth="1"/>
    <col min="6663" max="6663" width="11.5546875" style="78" customWidth="1"/>
    <col min="6664" max="6664" width="11.33203125" style="78" bestFit="1" customWidth="1"/>
    <col min="6665" max="6665" width="9.5546875" style="78" bestFit="1" customWidth="1"/>
    <col min="6666" max="6666" width="11.5546875" style="78" customWidth="1"/>
    <col min="6667" max="6667" width="12" style="78" customWidth="1"/>
    <col min="6668" max="6668" width="11.6640625" style="78" customWidth="1"/>
    <col min="6669" max="6670" width="10.6640625" style="78" customWidth="1"/>
    <col min="6671" max="6671" width="8" style="78" customWidth="1"/>
    <col min="6672" max="6675" width="10.6640625" style="78" customWidth="1"/>
    <col min="6676" max="6676" width="6" style="78" customWidth="1"/>
    <col min="6677" max="6677" width="6.44140625" style="78" bestFit="1" customWidth="1"/>
    <col min="6678" max="6678" width="11" style="78" bestFit="1" customWidth="1"/>
    <col min="6679" max="6679" width="4.5546875" style="78" customWidth="1"/>
    <col min="6680" max="6680" width="4.6640625" style="78" customWidth="1"/>
    <col min="6681" max="6682" width="8.6640625" style="78" customWidth="1"/>
    <col min="6683" max="6683" width="5.6640625" style="78" customWidth="1"/>
    <col min="6684" max="6715" width="0" style="78" hidden="1" customWidth="1"/>
    <col min="6716" max="6716" width="9.109375" style="78" customWidth="1"/>
    <col min="6717" max="6912" width="9.109375" style="78"/>
    <col min="6913" max="6913" width="3.33203125" style="78" customWidth="1"/>
    <col min="6914" max="6914" width="3.44140625" style="78" customWidth="1"/>
    <col min="6915" max="6915" width="3.5546875" style="78" customWidth="1"/>
    <col min="6916" max="6916" width="9.33203125" style="78" customWidth="1"/>
    <col min="6917" max="6917" width="6.33203125" style="78" customWidth="1"/>
    <col min="6918" max="6918" width="5.109375" style="78" customWidth="1"/>
    <col min="6919" max="6919" width="11.5546875" style="78" customWidth="1"/>
    <col min="6920" max="6920" width="11.33203125" style="78" bestFit="1" customWidth="1"/>
    <col min="6921" max="6921" width="9.5546875" style="78" bestFit="1" customWidth="1"/>
    <col min="6922" max="6922" width="11.5546875" style="78" customWidth="1"/>
    <col min="6923" max="6923" width="12" style="78" customWidth="1"/>
    <col min="6924" max="6924" width="11.6640625" style="78" customWidth="1"/>
    <col min="6925" max="6926" width="10.6640625" style="78" customWidth="1"/>
    <col min="6927" max="6927" width="8" style="78" customWidth="1"/>
    <col min="6928" max="6931" width="10.6640625" style="78" customWidth="1"/>
    <col min="6932" max="6932" width="6" style="78" customWidth="1"/>
    <col min="6933" max="6933" width="6.44140625" style="78" bestFit="1" customWidth="1"/>
    <col min="6934" max="6934" width="11" style="78" bestFit="1" customWidth="1"/>
    <col min="6935" max="6935" width="4.5546875" style="78" customWidth="1"/>
    <col min="6936" max="6936" width="4.6640625" style="78" customWidth="1"/>
    <col min="6937" max="6938" width="8.6640625" style="78" customWidth="1"/>
    <col min="6939" max="6939" width="5.6640625" style="78" customWidth="1"/>
    <col min="6940" max="6971" width="0" style="78" hidden="1" customWidth="1"/>
    <col min="6972" max="6972" width="9.109375" style="78" customWidth="1"/>
    <col min="6973" max="7168" width="9.109375" style="78"/>
    <col min="7169" max="7169" width="3.33203125" style="78" customWidth="1"/>
    <col min="7170" max="7170" width="3.44140625" style="78" customWidth="1"/>
    <col min="7171" max="7171" width="3.5546875" style="78" customWidth="1"/>
    <col min="7172" max="7172" width="9.33203125" style="78" customWidth="1"/>
    <col min="7173" max="7173" width="6.33203125" style="78" customWidth="1"/>
    <col min="7174" max="7174" width="5.109375" style="78" customWidth="1"/>
    <col min="7175" max="7175" width="11.5546875" style="78" customWidth="1"/>
    <col min="7176" max="7176" width="11.33203125" style="78" bestFit="1" customWidth="1"/>
    <col min="7177" max="7177" width="9.5546875" style="78" bestFit="1" customWidth="1"/>
    <col min="7178" max="7178" width="11.5546875" style="78" customWidth="1"/>
    <col min="7179" max="7179" width="12" style="78" customWidth="1"/>
    <col min="7180" max="7180" width="11.6640625" style="78" customWidth="1"/>
    <col min="7181" max="7182" width="10.6640625" style="78" customWidth="1"/>
    <col min="7183" max="7183" width="8" style="78" customWidth="1"/>
    <col min="7184" max="7187" width="10.6640625" style="78" customWidth="1"/>
    <col min="7188" max="7188" width="6" style="78" customWidth="1"/>
    <col min="7189" max="7189" width="6.44140625" style="78" bestFit="1" customWidth="1"/>
    <col min="7190" max="7190" width="11" style="78" bestFit="1" customWidth="1"/>
    <col min="7191" max="7191" width="4.5546875" style="78" customWidth="1"/>
    <col min="7192" max="7192" width="4.6640625" style="78" customWidth="1"/>
    <col min="7193" max="7194" width="8.6640625" style="78" customWidth="1"/>
    <col min="7195" max="7195" width="5.6640625" style="78" customWidth="1"/>
    <col min="7196" max="7227" width="0" style="78" hidden="1" customWidth="1"/>
    <col min="7228" max="7228" width="9.109375" style="78" customWidth="1"/>
    <col min="7229" max="7424" width="9.109375" style="78"/>
    <col min="7425" max="7425" width="3.33203125" style="78" customWidth="1"/>
    <col min="7426" max="7426" width="3.44140625" style="78" customWidth="1"/>
    <col min="7427" max="7427" width="3.5546875" style="78" customWidth="1"/>
    <col min="7428" max="7428" width="9.33203125" style="78" customWidth="1"/>
    <col min="7429" max="7429" width="6.33203125" style="78" customWidth="1"/>
    <col min="7430" max="7430" width="5.109375" style="78" customWidth="1"/>
    <col min="7431" max="7431" width="11.5546875" style="78" customWidth="1"/>
    <col min="7432" max="7432" width="11.33203125" style="78" bestFit="1" customWidth="1"/>
    <col min="7433" max="7433" width="9.5546875" style="78" bestFit="1" customWidth="1"/>
    <col min="7434" max="7434" width="11.5546875" style="78" customWidth="1"/>
    <col min="7435" max="7435" width="12" style="78" customWidth="1"/>
    <col min="7436" max="7436" width="11.6640625" style="78" customWidth="1"/>
    <col min="7437" max="7438" width="10.6640625" style="78" customWidth="1"/>
    <col min="7439" max="7439" width="8" style="78" customWidth="1"/>
    <col min="7440" max="7443" width="10.6640625" style="78" customWidth="1"/>
    <col min="7444" max="7444" width="6" style="78" customWidth="1"/>
    <col min="7445" max="7445" width="6.44140625" style="78" bestFit="1" customWidth="1"/>
    <col min="7446" max="7446" width="11" style="78" bestFit="1" customWidth="1"/>
    <col min="7447" max="7447" width="4.5546875" style="78" customWidth="1"/>
    <col min="7448" max="7448" width="4.6640625" style="78" customWidth="1"/>
    <col min="7449" max="7450" width="8.6640625" style="78" customWidth="1"/>
    <col min="7451" max="7451" width="5.6640625" style="78" customWidth="1"/>
    <col min="7452" max="7483" width="0" style="78" hidden="1" customWidth="1"/>
    <col min="7484" max="7484" width="9.109375" style="78" customWidth="1"/>
    <col min="7485" max="7680" width="9.109375" style="78"/>
    <col min="7681" max="7681" width="3.33203125" style="78" customWidth="1"/>
    <col min="7682" max="7682" width="3.44140625" style="78" customWidth="1"/>
    <col min="7683" max="7683" width="3.5546875" style="78" customWidth="1"/>
    <col min="7684" max="7684" width="9.33203125" style="78" customWidth="1"/>
    <col min="7685" max="7685" width="6.33203125" style="78" customWidth="1"/>
    <col min="7686" max="7686" width="5.109375" style="78" customWidth="1"/>
    <col min="7687" max="7687" width="11.5546875" style="78" customWidth="1"/>
    <col min="7688" max="7688" width="11.33203125" style="78" bestFit="1" customWidth="1"/>
    <col min="7689" max="7689" width="9.5546875" style="78" bestFit="1" customWidth="1"/>
    <col min="7690" max="7690" width="11.5546875" style="78" customWidth="1"/>
    <col min="7691" max="7691" width="12" style="78" customWidth="1"/>
    <col min="7692" max="7692" width="11.6640625" style="78" customWidth="1"/>
    <col min="7693" max="7694" width="10.6640625" style="78" customWidth="1"/>
    <col min="7695" max="7695" width="8" style="78" customWidth="1"/>
    <col min="7696" max="7699" width="10.6640625" style="78" customWidth="1"/>
    <col min="7700" max="7700" width="6" style="78" customWidth="1"/>
    <col min="7701" max="7701" width="6.44140625" style="78" bestFit="1" customWidth="1"/>
    <col min="7702" max="7702" width="11" style="78" bestFit="1" customWidth="1"/>
    <col min="7703" max="7703" width="4.5546875" style="78" customWidth="1"/>
    <col min="7704" max="7704" width="4.6640625" style="78" customWidth="1"/>
    <col min="7705" max="7706" width="8.6640625" style="78" customWidth="1"/>
    <col min="7707" max="7707" width="5.6640625" style="78" customWidth="1"/>
    <col min="7708" max="7739" width="0" style="78" hidden="1" customWidth="1"/>
    <col min="7740" max="7740" width="9.109375" style="78" customWidth="1"/>
    <col min="7741" max="7936" width="9.109375" style="78"/>
    <col min="7937" max="7937" width="3.33203125" style="78" customWidth="1"/>
    <col min="7938" max="7938" width="3.44140625" style="78" customWidth="1"/>
    <col min="7939" max="7939" width="3.5546875" style="78" customWidth="1"/>
    <col min="7940" max="7940" width="9.33203125" style="78" customWidth="1"/>
    <col min="7941" max="7941" width="6.33203125" style="78" customWidth="1"/>
    <col min="7942" max="7942" width="5.109375" style="78" customWidth="1"/>
    <col min="7943" max="7943" width="11.5546875" style="78" customWidth="1"/>
    <col min="7944" max="7944" width="11.33203125" style="78" bestFit="1" customWidth="1"/>
    <col min="7945" max="7945" width="9.5546875" style="78" bestFit="1" customWidth="1"/>
    <col min="7946" max="7946" width="11.5546875" style="78" customWidth="1"/>
    <col min="7947" max="7947" width="12" style="78" customWidth="1"/>
    <col min="7948" max="7948" width="11.6640625" style="78" customWidth="1"/>
    <col min="7949" max="7950" width="10.6640625" style="78" customWidth="1"/>
    <col min="7951" max="7951" width="8" style="78" customWidth="1"/>
    <col min="7952" max="7955" width="10.6640625" style="78" customWidth="1"/>
    <col min="7956" max="7956" width="6" style="78" customWidth="1"/>
    <col min="7957" max="7957" width="6.44140625" style="78" bestFit="1" customWidth="1"/>
    <col min="7958" max="7958" width="11" style="78" bestFit="1" customWidth="1"/>
    <col min="7959" max="7959" width="4.5546875" style="78" customWidth="1"/>
    <col min="7960" max="7960" width="4.6640625" style="78" customWidth="1"/>
    <col min="7961" max="7962" width="8.6640625" style="78" customWidth="1"/>
    <col min="7963" max="7963" width="5.6640625" style="78" customWidth="1"/>
    <col min="7964" max="7995" width="0" style="78" hidden="1" customWidth="1"/>
    <col min="7996" max="7996" width="9.109375" style="78" customWidth="1"/>
    <col min="7997" max="8192" width="9.109375" style="78"/>
    <col min="8193" max="8193" width="3.33203125" style="78" customWidth="1"/>
    <col min="8194" max="8194" width="3.44140625" style="78" customWidth="1"/>
    <col min="8195" max="8195" width="3.5546875" style="78" customWidth="1"/>
    <col min="8196" max="8196" width="9.33203125" style="78" customWidth="1"/>
    <col min="8197" max="8197" width="6.33203125" style="78" customWidth="1"/>
    <col min="8198" max="8198" width="5.109375" style="78" customWidth="1"/>
    <col min="8199" max="8199" width="11.5546875" style="78" customWidth="1"/>
    <col min="8200" max="8200" width="11.33203125" style="78" bestFit="1" customWidth="1"/>
    <col min="8201" max="8201" width="9.5546875" style="78" bestFit="1" customWidth="1"/>
    <col min="8202" max="8202" width="11.5546875" style="78" customWidth="1"/>
    <col min="8203" max="8203" width="12" style="78" customWidth="1"/>
    <col min="8204" max="8204" width="11.6640625" style="78" customWidth="1"/>
    <col min="8205" max="8206" width="10.6640625" style="78" customWidth="1"/>
    <col min="8207" max="8207" width="8" style="78" customWidth="1"/>
    <col min="8208" max="8211" width="10.6640625" style="78" customWidth="1"/>
    <col min="8212" max="8212" width="6" style="78" customWidth="1"/>
    <col min="8213" max="8213" width="6.44140625" style="78" bestFit="1" customWidth="1"/>
    <col min="8214" max="8214" width="11" style="78" bestFit="1" customWidth="1"/>
    <col min="8215" max="8215" width="4.5546875" style="78" customWidth="1"/>
    <col min="8216" max="8216" width="4.6640625" style="78" customWidth="1"/>
    <col min="8217" max="8218" width="8.6640625" style="78" customWidth="1"/>
    <col min="8219" max="8219" width="5.6640625" style="78" customWidth="1"/>
    <col min="8220" max="8251" width="0" style="78" hidden="1" customWidth="1"/>
    <col min="8252" max="8252" width="9.109375" style="78" customWidth="1"/>
    <col min="8253" max="8448" width="9.109375" style="78"/>
    <col min="8449" max="8449" width="3.33203125" style="78" customWidth="1"/>
    <col min="8450" max="8450" width="3.44140625" style="78" customWidth="1"/>
    <col min="8451" max="8451" width="3.5546875" style="78" customWidth="1"/>
    <col min="8452" max="8452" width="9.33203125" style="78" customWidth="1"/>
    <col min="8453" max="8453" width="6.33203125" style="78" customWidth="1"/>
    <col min="8454" max="8454" width="5.109375" style="78" customWidth="1"/>
    <col min="8455" max="8455" width="11.5546875" style="78" customWidth="1"/>
    <col min="8456" max="8456" width="11.33203125" style="78" bestFit="1" customWidth="1"/>
    <col min="8457" max="8457" width="9.5546875" style="78" bestFit="1" customWidth="1"/>
    <col min="8458" max="8458" width="11.5546875" style="78" customWidth="1"/>
    <col min="8459" max="8459" width="12" style="78" customWidth="1"/>
    <col min="8460" max="8460" width="11.6640625" style="78" customWidth="1"/>
    <col min="8461" max="8462" width="10.6640625" style="78" customWidth="1"/>
    <col min="8463" max="8463" width="8" style="78" customWidth="1"/>
    <col min="8464" max="8467" width="10.6640625" style="78" customWidth="1"/>
    <col min="8468" max="8468" width="6" style="78" customWidth="1"/>
    <col min="8469" max="8469" width="6.44140625" style="78" bestFit="1" customWidth="1"/>
    <col min="8470" max="8470" width="11" style="78" bestFit="1" customWidth="1"/>
    <col min="8471" max="8471" width="4.5546875" style="78" customWidth="1"/>
    <col min="8472" max="8472" width="4.6640625" style="78" customWidth="1"/>
    <col min="8473" max="8474" width="8.6640625" style="78" customWidth="1"/>
    <col min="8475" max="8475" width="5.6640625" style="78" customWidth="1"/>
    <col min="8476" max="8507" width="0" style="78" hidden="1" customWidth="1"/>
    <col min="8508" max="8508" width="9.109375" style="78" customWidth="1"/>
    <col min="8509" max="8704" width="9.109375" style="78"/>
    <col min="8705" max="8705" width="3.33203125" style="78" customWidth="1"/>
    <col min="8706" max="8706" width="3.44140625" style="78" customWidth="1"/>
    <col min="8707" max="8707" width="3.5546875" style="78" customWidth="1"/>
    <col min="8708" max="8708" width="9.33203125" style="78" customWidth="1"/>
    <col min="8709" max="8709" width="6.33203125" style="78" customWidth="1"/>
    <col min="8710" max="8710" width="5.109375" style="78" customWidth="1"/>
    <col min="8711" max="8711" width="11.5546875" style="78" customWidth="1"/>
    <col min="8712" max="8712" width="11.33203125" style="78" bestFit="1" customWidth="1"/>
    <col min="8713" max="8713" width="9.5546875" style="78" bestFit="1" customWidth="1"/>
    <col min="8714" max="8714" width="11.5546875" style="78" customWidth="1"/>
    <col min="8715" max="8715" width="12" style="78" customWidth="1"/>
    <col min="8716" max="8716" width="11.6640625" style="78" customWidth="1"/>
    <col min="8717" max="8718" width="10.6640625" style="78" customWidth="1"/>
    <col min="8719" max="8719" width="8" style="78" customWidth="1"/>
    <col min="8720" max="8723" width="10.6640625" style="78" customWidth="1"/>
    <col min="8724" max="8724" width="6" style="78" customWidth="1"/>
    <col min="8725" max="8725" width="6.44140625" style="78" bestFit="1" customWidth="1"/>
    <col min="8726" max="8726" width="11" style="78" bestFit="1" customWidth="1"/>
    <col min="8727" max="8727" width="4.5546875" style="78" customWidth="1"/>
    <col min="8728" max="8728" width="4.6640625" style="78" customWidth="1"/>
    <col min="8729" max="8730" width="8.6640625" style="78" customWidth="1"/>
    <col min="8731" max="8731" width="5.6640625" style="78" customWidth="1"/>
    <col min="8732" max="8763" width="0" style="78" hidden="1" customWidth="1"/>
    <col min="8764" max="8764" width="9.109375" style="78" customWidth="1"/>
    <col min="8765" max="8960" width="9.109375" style="78"/>
    <col min="8961" max="8961" width="3.33203125" style="78" customWidth="1"/>
    <col min="8962" max="8962" width="3.44140625" style="78" customWidth="1"/>
    <col min="8963" max="8963" width="3.5546875" style="78" customWidth="1"/>
    <col min="8964" max="8964" width="9.33203125" style="78" customWidth="1"/>
    <col min="8965" max="8965" width="6.33203125" style="78" customWidth="1"/>
    <col min="8966" max="8966" width="5.109375" style="78" customWidth="1"/>
    <col min="8967" max="8967" width="11.5546875" style="78" customWidth="1"/>
    <col min="8968" max="8968" width="11.33203125" style="78" bestFit="1" customWidth="1"/>
    <col min="8969" max="8969" width="9.5546875" style="78" bestFit="1" customWidth="1"/>
    <col min="8970" max="8970" width="11.5546875" style="78" customWidth="1"/>
    <col min="8971" max="8971" width="12" style="78" customWidth="1"/>
    <col min="8972" max="8972" width="11.6640625" style="78" customWidth="1"/>
    <col min="8973" max="8974" width="10.6640625" style="78" customWidth="1"/>
    <col min="8975" max="8975" width="8" style="78" customWidth="1"/>
    <col min="8976" max="8979" width="10.6640625" style="78" customWidth="1"/>
    <col min="8980" max="8980" width="6" style="78" customWidth="1"/>
    <col min="8981" max="8981" width="6.44140625" style="78" bestFit="1" customWidth="1"/>
    <col min="8982" max="8982" width="11" style="78" bestFit="1" customWidth="1"/>
    <col min="8983" max="8983" width="4.5546875" style="78" customWidth="1"/>
    <col min="8984" max="8984" width="4.6640625" style="78" customWidth="1"/>
    <col min="8985" max="8986" width="8.6640625" style="78" customWidth="1"/>
    <col min="8987" max="8987" width="5.6640625" style="78" customWidth="1"/>
    <col min="8988" max="9019" width="0" style="78" hidden="1" customWidth="1"/>
    <col min="9020" max="9020" width="9.109375" style="78" customWidth="1"/>
    <col min="9021" max="9216" width="9.109375" style="78"/>
    <col min="9217" max="9217" width="3.33203125" style="78" customWidth="1"/>
    <col min="9218" max="9218" width="3.44140625" style="78" customWidth="1"/>
    <col min="9219" max="9219" width="3.5546875" style="78" customWidth="1"/>
    <col min="9220" max="9220" width="9.33203125" style="78" customWidth="1"/>
    <col min="9221" max="9221" width="6.33203125" style="78" customWidth="1"/>
    <col min="9222" max="9222" width="5.109375" style="78" customWidth="1"/>
    <col min="9223" max="9223" width="11.5546875" style="78" customWidth="1"/>
    <col min="9224" max="9224" width="11.33203125" style="78" bestFit="1" customWidth="1"/>
    <col min="9225" max="9225" width="9.5546875" style="78" bestFit="1" customWidth="1"/>
    <col min="9226" max="9226" width="11.5546875" style="78" customWidth="1"/>
    <col min="9227" max="9227" width="12" style="78" customWidth="1"/>
    <col min="9228" max="9228" width="11.6640625" style="78" customWidth="1"/>
    <col min="9229" max="9230" width="10.6640625" style="78" customWidth="1"/>
    <col min="9231" max="9231" width="8" style="78" customWidth="1"/>
    <col min="9232" max="9235" width="10.6640625" style="78" customWidth="1"/>
    <col min="9236" max="9236" width="6" style="78" customWidth="1"/>
    <col min="9237" max="9237" width="6.44140625" style="78" bestFit="1" customWidth="1"/>
    <col min="9238" max="9238" width="11" style="78" bestFit="1" customWidth="1"/>
    <col min="9239" max="9239" width="4.5546875" style="78" customWidth="1"/>
    <col min="9240" max="9240" width="4.6640625" style="78" customWidth="1"/>
    <col min="9241" max="9242" width="8.6640625" style="78" customWidth="1"/>
    <col min="9243" max="9243" width="5.6640625" style="78" customWidth="1"/>
    <col min="9244" max="9275" width="0" style="78" hidden="1" customWidth="1"/>
    <col min="9276" max="9276" width="9.109375" style="78" customWidth="1"/>
    <col min="9277" max="9472" width="9.109375" style="78"/>
    <col min="9473" max="9473" width="3.33203125" style="78" customWidth="1"/>
    <col min="9474" max="9474" width="3.44140625" style="78" customWidth="1"/>
    <col min="9475" max="9475" width="3.5546875" style="78" customWidth="1"/>
    <col min="9476" max="9476" width="9.33203125" style="78" customWidth="1"/>
    <col min="9477" max="9477" width="6.33203125" style="78" customWidth="1"/>
    <col min="9478" max="9478" width="5.109375" style="78" customWidth="1"/>
    <col min="9479" max="9479" width="11.5546875" style="78" customWidth="1"/>
    <col min="9480" max="9480" width="11.33203125" style="78" bestFit="1" customWidth="1"/>
    <col min="9481" max="9481" width="9.5546875" style="78" bestFit="1" customWidth="1"/>
    <col min="9482" max="9482" width="11.5546875" style="78" customWidth="1"/>
    <col min="9483" max="9483" width="12" style="78" customWidth="1"/>
    <col min="9484" max="9484" width="11.6640625" style="78" customWidth="1"/>
    <col min="9485" max="9486" width="10.6640625" style="78" customWidth="1"/>
    <col min="9487" max="9487" width="8" style="78" customWidth="1"/>
    <col min="9488" max="9491" width="10.6640625" style="78" customWidth="1"/>
    <col min="9492" max="9492" width="6" style="78" customWidth="1"/>
    <col min="9493" max="9493" width="6.44140625" style="78" bestFit="1" customWidth="1"/>
    <col min="9494" max="9494" width="11" style="78" bestFit="1" customWidth="1"/>
    <col min="9495" max="9495" width="4.5546875" style="78" customWidth="1"/>
    <col min="9496" max="9496" width="4.6640625" style="78" customWidth="1"/>
    <col min="9497" max="9498" width="8.6640625" style="78" customWidth="1"/>
    <col min="9499" max="9499" width="5.6640625" style="78" customWidth="1"/>
    <col min="9500" max="9531" width="0" style="78" hidden="1" customWidth="1"/>
    <col min="9532" max="9532" width="9.109375" style="78" customWidth="1"/>
    <col min="9533" max="9728" width="9.109375" style="78"/>
    <col min="9729" max="9729" width="3.33203125" style="78" customWidth="1"/>
    <col min="9730" max="9730" width="3.44140625" style="78" customWidth="1"/>
    <col min="9731" max="9731" width="3.5546875" style="78" customWidth="1"/>
    <col min="9732" max="9732" width="9.33203125" style="78" customWidth="1"/>
    <col min="9733" max="9733" width="6.33203125" style="78" customWidth="1"/>
    <col min="9734" max="9734" width="5.109375" style="78" customWidth="1"/>
    <col min="9735" max="9735" width="11.5546875" style="78" customWidth="1"/>
    <col min="9736" max="9736" width="11.33203125" style="78" bestFit="1" customWidth="1"/>
    <col min="9737" max="9737" width="9.5546875" style="78" bestFit="1" customWidth="1"/>
    <col min="9738" max="9738" width="11.5546875" style="78" customWidth="1"/>
    <col min="9739" max="9739" width="12" style="78" customWidth="1"/>
    <col min="9740" max="9740" width="11.6640625" style="78" customWidth="1"/>
    <col min="9741" max="9742" width="10.6640625" style="78" customWidth="1"/>
    <col min="9743" max="9743" width="8" style="78" customWidth="1"/>
    <col min="9744" max="9747" width="10.6640625" style="78" customWidth="1"/>
    <col min="9748" max="9748" width="6" style="78" customWidth="1"/>
    <col min="9749" max="9749" width="6.44140625" style="78" bestFit="1" customWidth="1"/>
    <col min="9750" max="9750" width="11" style="78" bestFit="1" customWidth="1"/>
    <col min="9751" max="9751" width="4.5546875" style="78" customWidth="1"/>
    <col min="9752" max="9752" width="4.6640625" style="78" customWidth="1"/>
    <col min="9753" max="9754" width="8.6640625" style="78" customWidth="1"/>
    <col min="9755" max="9755" width="5.6640625" style="78" customWidth="1"/>
    <col min="9756" max="9787" width="0" style="78" hidden="1" customWidth="1"/>
    <col min="9788" max="9788" width="9.109375" style="78" customWidth="1"/>
    <col min="9789" max="9984" width="9.109375" style="78"/>
    <col min="9985" max="9985" width="3.33203125" style="78" customWidth="1"/>
    <col min="9986" max="9986" width="3.44140625" style="78" customWidth="1"/>
    <col min="9987" max="9987" width="3.5546875" style="78" customWidth="1"/>
    <col min="9988" max="9988" width="9.33203125" style="78" customWidth="1"/>
    <col min="9989" max="9989" width="6.33203125" style="78" customWidth="1"/>
    <col min="9990" max="9990" width="5.109375" style="78" customWidth="1"/>
    <col min="9991" max="9991" width="11.5546875" style="78" customWidth="1"/>
    <col min="9992" max="9992" width="11.33203125" style="78" bestFit="1" customWidth="1"/>
    <col min="9993" max="9993" width="9.5546875" style="78" bestFit="1" customWidth="1"/>
    <col min="9994" max="9994" width="11.5546875" style="78" customWidth="1"/>
    <col min="9995" max="9995" width="12" style="78" customWidth="1"/>
    <col min="9996" max="9996" width="11.6640625" style="78" customWidth="1"/>
    <col min="9997" max="9998" width="10.6640625" style="78" customWidth="1"/>
    <col min="9999" max="9999" width="8" style="78" customWidth="1"/>
    <col min="10000" max="10003" width="10.6640625" style="78" customWidth="1"/>
    <col min="10004" max="10004" width="6" style="78" customWidth="1"/>
    <col min="10005" max="10005" width="6.44140625" style="78" bestFit="1" customWidth="1"/>
    <col min="10006" max="10006" width="11" style="78" bestFit="1" customWidth="1"/>
    <col min="10007" max="10007" width="4.5546875" style="78" customWidth="1"/>
    <col min="10008" max="10008" width="4.6640625" style="78" customWidth="1"/>
    <col min="10009" max="10010" width="8.6640625" style="78" customWidth="1"/>
    <col min="10011" max="10011" width="5.6640625" style="78" customWidth="1"/>
    <col min="10012" max="10043" width="0" style="78" hidden="1" customWidth="1"/>
    <col min="10044" max="10044" width="9.109375" style="78" customWidth="1"/>
    <col min="10045" max="10240" width="9.109375" style="78"/>
    <col min="10241" max="10241" width="3.33203125" style="78" customWidth="1"/>
    <col min="10242" max="10242" width="3.44140625" style="78" customWidth="1"/>
    <col min="10243" max="10243" width="3.5546875" style="78" customWidth="1"/>
    <col min="10244" max="10244" width="9.33203125" style="78" customWidth="1"/>
    <col min="10245" max="10245" width="6.33203125" style="78" customWidth="1"/>
    <col min="10246" max="10246" width="5.109375" style="78" customWidth="1"/>
    <col min="10247" max="10247" width="11.5546875" style="78" customWidth="1"/>
    <col min="10248" max="10248" width="11.33203125" style="78" bestFit="1" customWidth="1"/>
    <col min="10249" max="10249" width="9.5546875" style="78" bestFit="1" customWidth="1"/>
    <col min="10250" max="10250" width="11.5546875" style="78" customWidth="1"/>
    <col min="10251" max="10251" width="12" style="78" customWidth="1"/>
    <col min="10252" max="10252" width="11.6640625" style="78" customWidth="1"/>
    <col min="10253" max="10254" width="10.6640625" style="78" customWidth="1"/>
    <col min="10255" max="10255" width="8" style="78" customWidth="1"/>
    <col min="10256" max="10259" width="10.6640625" style="78" customWidth="1"/>
    <col min="10260" max="10260" width="6" style="78" customWidth="1"/>
    <col min="10261" max="10261" width="6.44140625" style="78" bestFit="1" customWidth="1"/>
    <col min="10262" max="10262" width="11" style="78" bestFit="1" customWidth="1"/>
    <col min="10263" max="10263" width="4.5546875" style="78" customWidth="1"/>
    <col min="10264" max="10264" width="4.6640625" style="78" customWidth="1"/>
    <col min="10265" max="10266" width="8.6640625" style="78" customWidth="1"/>
    <col min="10267" max="10267" width="5.6640625" style="78" customWidth="1"/>
    <col min="10268" max="10299" width="0" style="78" hidden="1" customWidth="1"/>
    <col min="10300" max="10300" width="9.109375" style="78" customWidth="1"/>
    <col min="10301" max="10496" width="9.109375" style="78"/>
    <col min="10497" max="10497" width="3.33203125" style="78" customWidth="1"/>
    <col min="10498" max="10498" width="3.44140625" style="78" customWidth="1"/>
    <col min="10499" max="10499" width="3.5546875" style="78" customWidth="1"/>
    <col min="10500" max="10500" width="9.33203125" style="78" customWidth="1"/>
    <col min="10501" max="10501" width="6.33203125" style="78" customWidth="1"/>
    <col min="10502" max="10502" width="5.109375" style="78" customWidth="1"/>
    <col min="10503" max="10503" width="11.5546875" style="78" customWidth="1"/>
    <col min="10504" max="10504" width="11.33203125" style="78" bestFit="1" customWidth="1"/>
    <col min="10505" max="10505" width="9.5546875" style="78" bestFit="1" customWidth="1"/>
    <col min="10506" max="10506" width="11.5546875" style="78" customWidth="1"/>
    <col min="10507" max="10507" width="12" style="78" customWidth="1"/>
    <col min="10508" max="10508" width="11.6640625" style="78" customWidth="1"/>
    <col min="10509" max="10510" width="10.6640625" style="78" customWidth="1"/>
    <col min="10511" max="10511" width="8" style="78" customWidth="1"/>
    <col min="10512" max="10515" width="10.6640625" style="78" customWidth="1"/>
    <col min="10516" max="10516" width="6" style="78" customWidth="1"/>
    <col min="10517" max="10517" width="6.44140625" style="78" bestFit="1" customWidth="1"/>
    <col min="10518" max="10518" width="11" style="78" bestFit="1" customWidth="1"/>
    <col min="10519" max="10519" width="4.5546875" style="78" customWidth="1"/>
    <col min="10520" max="10520" width="4.6640625" style="78" customWidth="1"/>
    <col min="10521" max="10522" width="8.6640625" style="78" customWidth="1"/>
    <col min="10523" max="10523" width="5.6640625" style="78" customWidth="1"/>
    <col min="10524" max="10555" width="0" style="78" hidden="1" customWidth="1"/>
    <col min="10556" max="10556" width="9.109375" style="78" customWidth="1"/>
    <col min="10557" max="10752" width="9.109375" style="78"/>
    <col min="10753" max="10753" width="3.33203125" style="78" customWidth="1"/>
    <col min="10754" max="10754" width="3.44140625" style="78" customWidth="1"/>
    <col min="10755" max="10755" width="3.5546875" style="78" customWidth="1"/>
    <col min="10756" max="10756" width="9.33203125" style="78" customWidth="1"/>
    <col min="10757" max="10757" width="6.33203125" style="78" customWidth="1"/>
    <col min="10758" max="10758" width="5.109375" style="78" customWidth="1"/>
    <col min="10759" max="10759" width="11.5546875" style="78" customWidth="1"/>
    <col min="10760" max="10760" width="11.33203125" style="78" bestFit="1" customWidth="1"/>
    <col min="10761" max="10761" width="9.5546875" style="78" bestFit="1" customWidth="1"/>
    <col min="10762" max="10762" width="11.5546875" style="78" customWidth="1"/>
    <col min="10763" max="10763" width="12" style="78" customWidth="1"/>
    <col min="10764" max="10764" width="11.6640625" style="78" customWidth="1"/>
    <col min="10765" max="10766" width="10.6640625" style="78" customWidth="1"/>
    <col min="10767" max="10767" width="8" style="78" customWidth="1"/>
    <col min="10768" max="10771" width="10.6640625" style="78" customWidth="1"/>
    <col min="10772" max="10772" width="6" style="78" customWidth="1"/>
    <col min="10773" max="10773" width="6.44140625" style="78" bestFit="1" customWidth="1"/>
    <col min="10774" max="10774" width="11" style="78" bestFit="1" customWidth="1"/>
    <col min="10775" max="10775" width="4.5546875" style="78" customWidth="1"/>
    <col min="10776" max="10776" width="4.6640625" style="78" customWidth="1"/>
    <col min="10777" max="10778" width="8.6640625" style="78" customWidth="1"/>
    <col min="10779" max="10779" width="5.6640625" style="78" customWidth="1"/>
    <col min="10780" max="10811" width="0" style="78" hidden="1" customWidth="1"/>
    <col min="10812" max="10812" width="9.109375" style="78" customWidth="1"/>
    <col min="10813" max="11008" width="9.109375" style="78"/>
    <col min="11009" max="11009" width="3.33203125" style="78" customWidth="1"/>
    <col min="11010" max="11010" width="3.44140625" style="78" customWidth="1"/>
    <col min="11011" max="11011" width="3.5546875" style="78" customWidth="1"/>
    <col min="11012" max="11012" width="9.33203125" style="78" customWidth="1"/>
    <col min="11013" max="11013" width="6.33203125" style="78" customWidth="1"/>
    <col min="11014" max="11014" width="5.109375" style="78" customWidth="1"/>
    <col min="11015" max="11015" width="11.5546875" style="78" customWidth="1"/>
    <col min="11016" max="11016" width="11.33203125" style="78" bestFit="1" customWidth="1"/>
    <col min="11017" max="11017" width="9.5546875" style="78" bestFit="1" customWidth="1"/>
    <col min="11018" max="11018" width="11.5546875" style="78" customWidth="1"/>
    <col min="11019" max="11019" width="12" style="78" customWidth="1"/>
    <col min="11020" max="11020" width="11.6640625" style="78" customWidth="1"/>
    <col min="11021" max="11022" width="10.6640625" style="78" customWidth="1"/>
    <col min="11023" max="11023" width="8" style="78" customWidth="1"/>
    <col min="11024" max="11027" width="10.6640625" style="78" customWidth="1"/>
    <col min="11028" max="11028" width="6" style="78" customWidth="1"/>
    <col min="11029" max="11029" width="6.44140625" style="78" bestFit="1" customWidth="1"/>
    <col min="11030" max="11030" width="11" style="78" bestFit="1" customWidth="1"/>
    <col min="11031" max="11031" width="4.5546875" style="78" customWidth="1"/>
    <col min="11032" max="11032" width="4.6640625" style="78" customWidth="1"/>
    <col min="11033" max="11034" width="8.6640625" style="78" customWidth="1"/>
    <col min="11035" max="11035" width="5.6640625" style="78" customWidth="1"/>
    <col min="11036" max="11067" width="0" style="78" hidden="1" customWidth="1"/>
    <col min="11068" max="11068" width="9.109375" style="78" customWidth="1"/>
    <col min="11069" max="11264" width="9.109375" style="78"/>
    <col min="11265" max="11265" width="3.33203125" style="78" customWidth="1"/>
    <col min="11266" max="11266" width="3.44140625" style="78" customWidth="1"/>
    <col min="11267" max="11267" width="3.5546875" style="78" customWidth="1"/>
    <col min="11268" max="11268" width="9.33203125" style="78" customWidth="1"/>
    <col min="11269" max="11269" width="6.33203125" style="78" customWidth="1"/>
    <col min="11270" max="11270" width="5.109375" style="78" customWidth="1"/>
    <col min="11271" max="11271" width="11.5546875" style="78" customWidth="1"/>
    <col min="11272" max="11272" width="11.33203125" style="78" bestFit="1" customWidth="1"/>
    <col min="11273" max="11273" width="9.5546875" style="78" bestFit="1" customWidth="1"/>
    <col min="11274" max="11274" width="11.5546875" style="78" customWidth="1"/>
    <col min="11275" max="11275" width="12" style="78" customWidth="1"/>
    <col min="11276" max="11276" width="11.6640625" style="78" customWidth="1"/>
    <col min="11277" max="11278" width="10.6640625" style="78" customWidth="1"/>
    <col min="11279" max="11279" width="8" style="78" customWidth="1"/>
    <col min="11280" max="11283" width="10.6640625" style="78" customWidth="1"/>
    <col min="11284" max="11284" width="6" style="78" customWidth="1"/>
    <col min="11285" max="11285" width="6.44140625" style="78" bestFit="1" customWidth="1"/>
    <col min="11286" max="11286" width="11" style="78" bestFit="1" customWidth="1"/>
    <col min="11287" max="11287" width="4.5546875" style="78" customWidth="1"/>
    <col min="11288" max="11288" width="4.6640625" style="78" customWidth="1"/>
    <col min="11289" max="11290" width="8.6640625" style="78" customWidth="1"/>
    <col min="11291" max="11291" width="5.6640625" style="78" customWidth="1"/>
    <col min="11292" max="11323" width="0" style="78" hidden="1" customWidth="1"/>
    <col min="11324" max="11324" width="9.109375" style="78" customWidth="1"/>
    <col min="11325" max="11520" width="9.109375" style="78"/>
    <col min="11521" max="11521" width="3.33203125" style="78" customWidth="1"/>
    <col min="11522" max="11522" width="3.44140625" style="78" customWidth="1"/>
    <col min="11523" max="11523" width="3.5546875" style="78" customWidth="1"/>
    <col min="11524" max="11524" width="9.33203125" style="78" customWidth="1"/>
    <col min="11525" max="11525" width="6.33203125" style="78" customWidth="1"/>
    <col min="11526" max="11526" width="5.109375" style="78" customWidth="1"/>
    <col min="11527" max="11527" width="11.5546875" style="78" customWidth="1"/>
    <col min="11528" max="11528" width="11.33203125" style="78" bestFit="1" customWidth="1"/>
    <col min="11529" max="11529" width="9.5546875" style="78" bestFit="1" customWidth="1"/>
    <col min="11530" max="11530" width="11.5546875" style="78" customWidth="1"/>
    <col min="11531" max="11531" width="12" style="78" customWidth="1"/>
    <col min="11532" max="11532" width="11.6640625" style="78" customWidth="1"/>
    <col min="11533" max="11534" width="10.6640625" style="78" customWidth="1"/>
    <col min="11535" max="11535" width="8" style="78" customWidth="1"/>
    <col min="11536" max="11539" width="10.6640625" style="78" customWidth="1"/>
    <col min="11540" max="11540" width="6" style="78" customWidth="1"/>
    <col min="11541" max="11541" width="6.44140625" style="78" bestFit="1" customWidth="1"/>
    <col min="11542" max="11542" width="11" style="78" bestFit="1" customWidth="1"/>
    <col min="11543" max="11543" width="4.5546875" style="78" customWidth="1"/>
    <col min="11544" max="11544" width="4.6640625" style="78" customWidth="1"/>
    <col min="11545" max="11546" width="8.6640625" style="78" customWidth="1"/>
    <col min="11547" max="11547" width="5.6640625" style="78" customWidth="1"/>
    <col min="11548" max="11579" width="0" style="78" hidden="1" customWidth="1"/>
    <col min="11580" max="11580" width="9.109375" style="78" customWidth="1"/>
    <col min="11581" max="11776" width="9.109375" style="78"/>
    <col min="11777" max="11777" width="3.33203125" style="78" customWidth="1"/>
    <col min="11778" max="11778" width="3.44140625" style="78" customWidth="1"/>
    <col min="11779" max="11779" width="3.5546875" style="78" customWidth="1"/>
    <col min="11780" max="11780" width="9.33203125" style="78" customWidth="1"/>
    <col min="11781" max="11781" width="6.33203125" style="78" customWidth="1"/>
    <col min="11782" max="11782" width="5.109375" style="78" customWidth="1"/>
    <col min="11783" max="11783" width="11.5546875" style="78" customWidth="1"/>
    <col min="11784" max="11784" width="11.33203125" style="78" bestFit="1" customWidth="1"/>
    <col min="11785" max="11785" width="9.5546875" style="78" bestFit="1" customWidth="1"/>
    <col min="11786" max="11786" width="11.5546875" style="78" customWidth="1"/>
    <col min="11787" max="11787" width="12" style="78" customWidth="1"/>
    <col min="11788" max="11788" width="11.6640625" style="78" customWidth="1"/>
    <col min="11789" max="11790" width="10.6640625" style="78" customWidth="1"/>
    <col min="11791" max="11791" width="8" style="78" customWidth="1"/>
    <col min="11792" max="11795" width="10.6640625" style="78" customWidth="1"/>
    <col min="11796" max="11796" width="6" style="78" customWidth="1"/>
    <col min="11797" max="11797" width="6.44140625" style="78" bestFit="1" customWidth="1"/>
    <col min="11798" max="11798" width="11" style="78" bestFit="1" customWidth="1"/>
    <col min="11799" max="11799" width="4.5546875" style="78" customWidth="1"/>
    <col min="11800" max="11800" width="4.6640625" style="78" customWidth="1"/>
    <col min="11801" max="11802" width="8.6640625" style="78" customWidth="1"/>
    <col min="11803" max="11803" width="5.6640625" style="78" customWidth="1"/>
    <col min="11804" max="11835" width="0" style="78" hidden="1" customWidth="1"/>
    <col min="11836" max="11836" width="9.109375" style="78" customWidth="1"/>
    <col min="11837" max="12032" width="9.109375" style="78"/>
    <col min="12033" max="12033" width="3.33203125" style="78" customWidth="1"/>
    <col min="12034" max="12034" width="3.44140625" style="78" customWidth="1"/>
    <col min="12035" max="12035" width="3.5546875" style="78" customWidth="1"/>
    <col min="12036" max="12036" width="9.33203125" style="78" customWidth="1"/>
    <col min="12037" max="12037" width="6.33203125" style="78" customWidth="1"/>
    <col min="12038" max="12038" width="5.109375" style="78" customWidth="1"/>
    <col min="12039" max="12039" width="11.5546875" style="78" customWidth="1"/>
    <col min="12040" max="12040" width="11.33203125" style="78" bestFit="1" customWidth="1"/>
    <col min="12041" max="12041" width="9.5546875" style="78" bestFit="1" customWidth="1"/>
    <col min="12042" max="12042" width="11.5546875" style="78" customWidth="1"/>
    <col min="12043" max="12043" width="12" style="78" customWidth="1"/>
    <col min="12044" max="12044" width="11.6640625" style="78" customWidth="1"/>
    <col min="12045" max="12046" width="10.6640625" style="78" customWidth="1"/>
    <col min="12047" max="12047" width="8" style="78" customWidth="1"/>
    <col min="12048" max="12051" width="10.6640625" style="78" customWidth="1"/>
    <col min="12052" max="12052" width="6" style="78" customWidth="1"/>
    <col min="12053" max="12053" width="6.44140625" style="78" bestFit="1" customWidth="1"/>
    <col min="12054" max="12054" width="11" style="78" bestFit="1" customWidth="1"/>
    <col min="12055" max="12055" width="4.5546875" style="78" customWidth="1"/>
    <col min="12056" max="12056" width="4.6640625" style="78" customWidth="1"/>
    <col min="12057" max="12058" width="8.6640625" style="78" customWidth="1"/>
    <col min="12059" max="12059" width="5.6640625" style="78" customWidth="1"/>
    <col min="12060" max="12091" width="0" style="78" hidden="1" customWidth="1"/>
    <col min="12092" max="12092" width="9.109375" style="78" customWidth="1"/>
    <col min="12093" max="12288" width="9.109375" style="78"/>
    <col min="12289" max="12289" width="3.33203125" style="78" customWidth="1"/>
    <col min="12290" max="12290" width="3.44140625" style="78" customWidth="1"/>
    <col min="12291" max="12291" width="3.5546875" style="78" customWidth="1"/>
    <col min="12292" max="12292" width="9.33203125" style="78" customWidth="1"/>
    <col min="12293" max="12293" width="6.33203125" style="78" customWidth="1"/>
    <col min="12294" max="12294" width="5.109375" style="78" customWidth="1"/>
    <col min="12295" max="12295" width="11.5546875" style="78" customWidth="1"/>
    <col min="12296" max="12296" width="11.33203125" style="78" bestFit="1" customWidth="1"/>
    <col min="12297" max="12297" width="9.5546875" style="78" bestFit="1" customWidth="1"/>
    <col min="12298" max="12298" width="11.5546875" style="78" customWidth="1"/>
    <col min="12299" max="12299" width="12" style="78" customWidth="1"/>
    <col min="12300" max="12300" width="11.6640625" style="78" customWidth="1"/>
    <col min="12301" max="12302" width="10.6640625" style="78" customWidth="1"/>
    <col min="12303" max="12303" width="8" style="78" customWidth="1"/>
    <col min="12304" max="12307" width="10.6640625" style="78" customWidth="1"/>
    <col min="12308" max="12308" width="6" style="78" customWidth="1"/>
    <col min="12309" max="12309" width="6.44140625" style="78" bestFit="1" customWidth="1"/>
    <col min="12310" max="12310" width="11" style="78" bestFit="1" customWidth="1"/>
    <col min="12311" max="12311" width="4.5546875" style="78" customWidth="1"/>
    <col min="12312" max="12312" width="4.6640625" style="78" customWidth="1"/>
    <col min="12313" max="12314" width="8.6640625" style="78" customWidth="1"/>
    <col min="12315" max="12315" width="5.6640625" style="78" customWidth="1"/>
    <col min="12316" max="12347" width="0" style="78" hidden="1" customWidth="1"/>
    <col min="12348" max="12348" width="9.109375" style="78" customWidth="1"/>
    <col min="12349" max="12544" width="9.109375" style="78"/>
    <col min="12545" max="12545" width="3.33203125" style="78" customWidth="1"/>
    <col min="12546" max="12546" width="3.44140625" style="78" customWidth="1"/>
    <col min="12547" max="12547" width="3.5546875" style="78" customWidth="1"/>
    <col min="12548" max="12548" width="9.33203125" style="78" customWidth="1"/>
    <col min="12549" max="12549" width="6.33203125" style="78" customWidth="1"/>
    <col min="12550" max="12550" width="5.109375" style="78" customWidth="1"/>
    <col min="12551" max="12551" width="11.5546875" style="78" customWidth="1"/>
    <col min="12552" max="12552" width="11.33203125" style="78" bestFit="1" customWidth="1"/>
    <col min="12553" max="12553" width="9.5546875" style="78" bestFit="1" customWidth="1"/>
    <col min="12554" max="12554" width="11.5546875" style="78" customWidth="1"/>
    <col min="12555" max="12555" width="12" style="78" customWidth="1"/>
    <col min="12556" max="12556" width="11.6640625" style="78" customWidth="1"/>
    <col min="12557" max="12558" width="10.6640625" style="78" customWidth="1"/>
    <col min="12559" max="12559" width="8" style="78" customWidth="1"/>
    <col min="12560" max="12563" width="10.6640625" style="78" customWidth="1"/>
    <col min="12564" max="12564" width="6" style="78" customWidth="1"/>
    <col min="12565" max="12565" width="6.44140625" style="78" bestFit="1" customWidth="1"/>
    <col min="12566" max="12566" width="11" style="78" bestFit="1" customWidth="1"/>
    <col min="12567" max="12567" width="4.5546875" style="78" customWidth="1"/>
    <col min="12568" max="12568" width="4.6640625" style="78" customWidth="1"/>
    <col min="12569" max="12570" width="8.6640625" style="78" customWidth="1"/>
    <col min="12571" max="12571" width="5.6640625" style="78" customWidth="1"/>
    <col min="12572" max="12603" width="0" style="78" hidden="1" customWidth="1"/>
    <col min="12604" max="12604" width="9.109375" style="78" customWidth="1"/>
    <col min="12605" max="12800" width="9.109375" style="78"/>
    <col min="12801" max="12801" width="3.33203125" style="78" customWidth="1"/>
    <col min="12802" max="12802" width="3.44140625" style="78" customWidth="1"/>
    <col min="12803" max="12803" width="3.5546875" style="78" customWidth="1"/>
    <col min="12804" max="12804" width="9.33203125" style="78" customWidth="1"/>
    <col min="12805" max="12805" width="6.33203125" style="78" customWidth="1"/>
    <col min="12806" max="12806" width="5.109375" style="78" customWidth="1"/>
    <col min="12807" max="12807" width="11.5546875" style="78" customWidth="1"/>
    <col min="12808" max="12808" width="11.33203125" style="78" bestFit="1" customWidth="1"/>
    <col min="12809" max="12809" width="9.5546875" style="78" bestFit="1" customWidth="1"/>
    <col min="12810" max="12810" width="11.5546875" style="78" customWidth="1"/>
    <col min="12811" max="12811" width="12" style="78" customWidth="1"/>
    <col min="12812" max="12812" width="11.6640625" style="78" customWidth="1"/>
    <col min="12813" max="12814" width="10.6640625" style="78" customWidth="1"/>
    <col min="12815" max="12815" width="8" style="78" customWidth="1"/>
    <col min="12816" max="12819" width="10.6640625" style="78" customWidth="1"/>
    <col min="12820" max="12820" width="6" style="78" customWidth="1"/>
    <col min="12821" max="12821" width="6.44140625" style="78" bestFit="1" customWidth="1"/>
    <col min="12822" max="12822" width="11" style="78" bestFit="1" customWidth="1"/>
    <col min="12823" max="12823" width="4.5546875" style="78" customWidth="1"/>
    <col min="12824" max="12824" width="4.6640625" style="78" customWidth="1"/>
    <col min="12825" max="12826" width="8.6640625" style="78" customWidth="1"/>
    <col min="12827" max="12827" width="5.6640625" style="78" customWidth="1"/>
    <col min="12828" max="12859" width="0" style="78" hidden="1" customWidth="1"/>
    <col min="12860" max="12860" width="9.109375" style="78" customWidth="1"/>
    <col min="12861" max="13056" width="9.109375" style="78"/>
    <col min="13057" max="13057" width="3.33203125" style="78" customWidth="1"/>
    <col min="13058" max="13058" width="3.44140625" style="78" customWidth="1"/>
    <col min="13059" max="13059" width="3.5546875" style="78" customWidth="1"/>
    <col min="13060" max="13060" width="9.33203125" style="78" customWidth="1"/>
    <col min="13061" max="13061" width="6.33203125" style="78" customWidth="1"/>
    <col min="13062" max="13062" width="5.109375" style="78" customWidth="1"/>
    <col min="13063" max="13063" width="11.5546875" style="78" customWidth="1"/>
    <col min="13064" max="13064" width="11.33203125" style="78" bestFit="1" customWidth="1"/>
    <col min="13065" max="13065" width="9.5546875" style="78" bestFit="1" customWidth="1"/>
    <col min="13066" max="13066" width="11.5546875" style="78" customWidth="1"/>
    <col min="13067" max="13067" width="12" style="78" customWidth="1"/>
    <col min="13068" max="13068" width="11.6640625" style="78" customWidth="1"/>
    <col min="13069" max="13070" width="10.6640625" style="78" customWidth="1"/>
    <col min="13071" max="13071" width="8" style="78" customWidth="1"/>
    <col min="13072" max="13075" width="10.6640625" style="78" customWidth="1"/>
    <col min="13076" max="13076" width="6" style="78" customWidth="1"/>
    <col min="13077" max="13077" width="6.44140625" style="78" bestFit="1" customWidth="1"/>
    <col min="13078" max="13078" width="11" style="78" bestFit="1" customWidth="1"/>
    <col min="13079" max="13079" width="4.5546875" style="78" customWidth="1"/>
    <col min="13080" max="13080" width="4.6640625" style="78" customWidth="1"/>
    <col min="13081" max="13082" width="8.6640625" style="78" customWidth="1"/>
    <col min="13083" max="13083" width="5.6640625" style="78" customWidth="1"/>
    <col min="13084" max="13115" width="0" style="78" hidden="1" customWidth="1"/>
    <col min="13116" max="13116" width="9.109375" style="78" customWidth="1"/>
    <col min="13117" max="13312" width="9.109375" style="78"/>
    <col min="13313" max="13313" width="3.33203125" style="78" customWidth="1"/>
    <col min="13314" max="13314" width="3.44140625" style="78" customWidth="1"/>
    <col min="13315" max="13315" width="3.5546875" style="78" customWidth="1"/>
    <col min="13316" max="13316" width="9.33203125" style="78" customWidth="1"/>
    <col min="13317" max="13317" width="6.33203125" style="78" customWidth="1"/>
    <col min="13318" max="13318" width="5.109375" style="78" customWidth="1"/>
    <col min="13319" max="13319" width="11.5546875" style="78" customWidth="1"/>
    <col min="13320" max="13320" width="11.33203125" style="78" bestFit="1" customWidth="1"/>
    <col min="13321" max="13321" width="9.5546875" style="78" bestFit="1" customWidth="1"/>
    <col min="13322" max="13322" width="11.5546875" style="78" customWidth="1"/>
    <col min="13323" max="13323" width="12" style="78" customWidth="1"/>
    <col min="13324" max="13324" width="11.6640625" style="78" customWidth="1"/>
    <col min="13325" max="13326" width="10.6640625" style="78" customWidth="1"/>
    <col min="13327" max="13327" width="8" style="78" customWidth="1"/>
    <col min="13328" max="13331" width="10.6640625" style="78" customWidth="1"/>
    <col min="13332" max="13332" width="6" style="78" customWidth="1"/>
    <col min="13333" max="13333" width="6.44140625" style="78" bestFit="1" customWidth="1"/>
    <col min="13334" max="13334" width="11" style="78" bestFit="1" customWidth="1"/>
    <col min="13335" max="13335" width="4.5546875" style="78" customWidth="1"/>
    <col min="13336" max="13336" width="4.6640625" style="78" customWidth="1"/>
    <col min="13337" max="13338" width="8.6640625" style="78" customWidth="1"/>
    <col min="13339" max="13339" width="5.6640625" style="78" customWidth="1"/>
    <col min="13340" max="13371" width="0" style="78" hidden="1" customWidth="1"/>
    <col min="13372" max="13372" width="9.109375" style="78" customWidth="1"/>
    <col min="13373" max="13568" width="9.109375" style="78"/>
    <col min="13569" max="13569" width="3.33203125" style="78" customWidth="1"/>
    <col min="13570" max="13570" width="3.44140625" style="78" customWidth="1"/>
    <col min="13571" max="13571" width="3.5546875" style="78" customWidth="1"/>
    <col min="13572" max="13572" width="9.33203125" style="78" customWidth="1"/>
    <col min="13573" max="13573" width="6.33203125" style="78" customWidth="1"/>
    <col min="13574" max="13574" width="5.109375" style="78" customWidth="1"/>
    <col min="13575" max="13575" width="11.5546875" style="78" customWidth="1"/>
    <col min="13576" max="13576" width="11.33203125" style="78" bestFit="1" customWidth="1"/>
    <col min="13577" max="13577" width="9.5546875" style="78" bestFit="1" customWidth="1"/>
    <col min="13578" max="13578" width="11.5546875" style="78" customWidth="1"/>
    <col min="13579" max="13579" width="12" style="78" customWidth="1"/>
    <col min="13580" max="13580" width="11.6640625" style="78" customWidth="1"/>
    <col min="13581" max="13582" width="10.6640625" style="78" customWidth="1"/>
    <col min="13583" max="13583" width="8" style="78" customWidth="1"/>
    <col min="13584" max="13587" width="10.6640625" style="78" customWidth="1"/>
    <col min="13588" max="13588" width="6" style="78" customWidth="1"/>
    <col min="13589" max="13589" width="6.44140625" style="78" bestFit="1" customWidth="1"/>
    <col min="13590" max="13590" width="11" style="78" bestFit="1" customWidth="1"/>
    <col min="13591" max="13591" width="4.5546875" style="78" customWidth="1"/>
    <col min="13592" max="13592" width="4.6640625" style="78" customWidth="1"/>
    <col min="13593" max="13594" width="8.6640625" style="78" customWidth="1"/>
    <col min="13595" max="13595" width="5.6640625" style="78" customWidth="1"/>
    <col min="13596" max="13627" width="0" style="78" hidden="1" customWidth="1"/>
    <col min="13628" max="13628" width="9.109375" style="78" customWidth="1"/>
    <col min="13629" max="13824" width="9.109375" style="78"/>
    <col min="13825" max="13825" width="3.33203125" style="78" customWidth="1"/>
    <col min="13826" max="13826" width="3.44140625" style="78" customWidth="1"/>
    <col min="13827" max="13827" width="3.5546875" style="78" customWidth="1"/>
    <col min="13828" max="13828" width="9.33203125" style="78" customWidth="1"/>
    <col min="13829" max="13829" width="6.33203125" style="78" customWidth="1"/>
    <col min="13830" max="13830" width="5.109375" style="78" customWidth="1"/>
    <col min="13831" max="13831" width="11.5546875" style="78" customWidth="1"/>
    <col min="13832" max="13832" width="11.33203125" style="78" bestFit="1" customWidth="1"/>
    <col min="13833" max="13833" width="9.5546875" style="78" bestFit="1" customWidth="1"/>
    <col min="13834" max="13834" width="11.5546875" style="78" customWidth="1"/>
    <col min="13835" max="13835" width="12" style="78" customWidth="1"/>
    <col min="13836" max="13836" width="11.6640625" style="78" customWidth="1"/>
    <col min="13837" max="13838" width="10.6640625" style="78" customWidth="1"/>
    <col min="13839" max="13839" width="8" style="78" customWidth="1"/>
    <col min="13840" max="13843" width="10.6640625" style="78" customWidth="1"/>
    <col min="13844" max="13844" width="6" style="78" customWidth="1"/>
    <col min="13845" max="13845" width="6.44140625" style="78" bestFit="1" customWidth="1"/>
    <col min="13846" max="13846" width="11" style="78" bestFit="1" customWidth="1"/>
    <col min="13847" max="13847" width="4.5546875" style="78" customWidth="1"/>
    <col min="13848" max="13848" width="4.6640625" style="78" customWidth="1"/>
    <col min="13849" max="13850" width="8.6640625" style="78" customWidth="1"/>
    <col min="13851" max="13851" width="5.6640625" style="78" customWidth="1"/>
    <col min="13852" max="13883" width="0" style="78" hidden="1" customWidth="1"/>
    <col min="13884" max="13884" width="9.109375" style="78" customWidth="1"/>
    <col min="13885" max="14080" width="9.109375" style="78"/>
    <col min="14081" max="14081" width="3.33203125" style="78" customWidth="1"/>
    <col min="14082" max="14082" width="3.44140625" style="78" customWidth="1"/>
    <col min="14083" max="14083" width="3.5546875" style="78" customWidth="1"/>
    <col min="14084" max="14084" width="9.33203125" style="78" customWidth="1"/>
    <col min="14085" max="14085" width="6.33203125" style="78" customWidth="1"/>
    <col min="14086" max="14086" width="5.109375" style="78" customWidth="1"/>
    <col min="14087" max="14087" width="11.5546875" style="78" customWidth="1"/>
    <col min="14088" max="14088" width="11.33203125" style="78" bestFit="1" customWidth="1"/>
    <col min="14089" max="14089" width="9.5546875" style="78" bestFit="1" customWidth="1"/>
    <col min="14090" max="14090" width="11.5546875" style="78" customWidth="1"/>
    <col min="14091" max="14091" width="12" style="78" customWidth="1"/>
    <col min="14092" max="14092" width="11.6640625" style="78" customWidth="1"/>
    <col min="14093" max="14094" width="10.6640625" style="78" customWidth="1"/>
    <col min="14095" max="14095" width="8" style="78" customWidth="1"/>
    <col min="14096" max="14099" width="10.6640625" style="78" customWidth="1"/>
    <col min="14100" max="14100" width="6" style="78" customWidth="1"/>
    <col min="14101" max="14101" width="6.44140625" style="78" bestFit="1" customWidth="1"/>
    <col min="14102" max="14102" width="11" style="78" bestFit="1" customWidth="1"/>
    <col min="14103" max="14103" width="4.5546875" style="78" customWidth="1"/>
    <col min="14104" max="14104" width="4.6640625" style="78" customWidth="1"/>
    <col min="14105" max="14106" width="8.6640625" style="78" customWidth="1"/>
    <col min="14107" max="14107" width="5.6640625" style="78" customWidth="1"/>
    <col min="14108" max="14139" width="0" style="78" hidden="1" customWidth="1"/>
    <col min="14140" max="14140" width="9.109375" style="78" customWidth="1"/>
    <col min="14141" max="14336" width="9.109375" style="78"/>
    <col min="14337" max="14337" width="3.33203125" style="78" customWidth="1"/>
    <col min="14338" max="14338" width="3.44140625" style="78" customWidth="1"/>
    <col min="14339" max="14339" width="3.5546875" style="78" customWidth="1"/>
    <col min="14340" max="14340" width="9.33203125" style="78" customWidth="1"/>
    <col min="14341" max="14341" width="6.33203125" style="78" customWidth="1"/>
    <col min="14342" max="14342" width="5.109375" style="78" customWidth="1"/>
    <col min="14343" max="14343" width="11.5546875" style="78" customWidth="1"/>
    <col min="14344" max="14344" width="11.33203125" style="78" bestFit="1" customWidth="1"/>
    <col min="14345" max="14345" width="9.5546875" style="78" bestFit="1" customWidth="1"/>
    <col min="14346" max="14346" width="11.5546875" style="78" customWidth="1"/>
    <col min="14347" max="14347" width="12" style="78" customWidth="1"/>
    <col min="14348" max="14348" width="11.6640625" style="78" customWidth="1"/>
    <col min="14349" max="14350" width="10.6640625" style="78" customWidth="1"/>
    <col min="14351" max="14351" width="8" style="78" customWidth="1"/>
    <col min="14352" max="14355" width="10.6640625" style="78" customWidth="1"/>
    <col min="14356" max="14356" width="6" style="78" customWidth="1"/>
    <col min="14357" max="14357" width="6.44140625" style="78" bestFit="1" customWidth="1"/>
    <col min="14358" max="14358" width="11" style="78" bestFit="1" customWidth="1"/>
    <col min="14359" max="14359" width="4.5546875" style="78" customWidth="1"/>
    <col min="14360" max="14360" width="4.6640625" style="78" customWidth="1"/>
    <col min="14361" max="14362" width="8.6640625" style="78" customWidth="1"/>
    <col min="14363" max="14363" width="5.6640625" style="78" customWidth="1"/>
    <col min="14364" max="14395" width="0" style="78" hidden="1" customWidth="1"/>
    <col min="14396" max="14396" width="9.109375" style="78" customWidth="1"/>
    <col min="14397" max="14592" width="9.109375" style="78"/>
    <col min="14593" max="14593" width="3.33203125" style="78" customWidth="1"/>
    <col min="14594" max="14594" width="3.44140625" style="78" customWidth="1"/>
    <col min="14595" max="14595" width="3.5546875" style="78" customWidth="1"/>
    <col min="14596" max="14596" width="9.33203125" style="78" customWidth="1"/>
    <col min="14597" max="14597" width="6.33203125" style="78" customWidth="1"/>
    <col min="14598" max="14598" width="5.109375" style="78" customWidth="1"/>
    <col min="14599" max="14599" width="11.5546875" style="78" customWidth="1"/>
    <col min="14600" max="14600" width="11.33203125" style="78" bestFit="1" customWidth="1"/>
    <col min="14601" max="14601" width="9.5546875" style="78" bestFit="1" customWidth="1"/>
    <col min="14602" max="14602" width="11.5546875" style="78" customWidth="1"/>
    <col min="14603" max="14603" width="12" style="78" customWidth="1"/>
    <col min="14604" max="14604" width="11.6640625" style="78" customWidth="1"/>
    <col min="14605" max="14606" width="10.6640625" style="78" customWidth="1"/>
    <col min="14607" max="14607" width="8" style="78" customWidth="1"/>
    <col min="14608" max="14611" width="10.6640625" style="78" customWidth="1"/>
    <col min="14612" max="14612" width="6" style="78" customWidth="1"/>
    <col min="14613" max="14613" width="6.44140625" style="78" bestFit="1" customWidth="1"/>
    <col min="14614" max="14614" width="11" style="78" bestFit="1" customWidth="1"/>
    <col min="14615" max="14615" width="4.5546875" style="78" customWidth="1"/>
    <col min="14616" max="14616" width="4.6640625" style="78" customWidth="1"/>
    <col min="14617" max="14618" width="8.6640625" style="78" customWidth="1"/>
    <col min="14619" max="14619" width="5.6640625" style="78" customWidth="1"/>
    <col min="14620" max="14651" width="0" style="78" hidden="1" customWidth="1"/>
    <col min="14652" max="14652" width="9.109375" style="78" customWidth="1"/>
    <col min="14653" max="14848" width="9.109375" style="78"/>
    <col min="14849" max="14849" width="3.33203125" style="78" customWidth="1"/>
    <col min="14850" max="14850" width="3.44140625" style="78" customWidth="1"/>
    <col min="14851" max="14851" width="3.5546875" style="78" customWidth="1"/>
    <col min="14852" max="14852" width="9.33203125" style="78" customWidth="1"/>
    <col min="14853" max="14853" width="6.33203125" style="78" customWidth="1"/>
    <col min="14854" max="14854" width="5.109375" style="78" customWidth="1"/>
    <col min="14855" max="14855" width="11.5546875" style="78" customWidth="1"/>
    <col min="14856" max="14856" width="11.33203125" style="78" bestFit="1" customWidth="1"/>
    <col min="14857" max="14857" width="9.5546875" style="78" bestFit="1" customWidth="1"/>
    <col min="14858" max="14858" width="11.5546875" style="78" customWidth="1"/>
    <col min="14859" max="14859" width="12" style="78" customWidth="1"/>
    <col min="14860" max="14860" width="11.6640625" style="78" customWidth="1"/>
    <col min="14861" max="14862" width="10.6640625" style="78" customWidth="1"/>
    <col min="14863" max="14863" width="8" style="78" customWidth="1"/>
    <col min="14864" max="14867" width="10.6640625" style="78" customWidth="1"/>
    <col min="14868" max="14868" width="6" style="78" customWidth="1"/>
    <col min="14869" max="14869" width="6.44140625" style="78" bestFit="1" customWidth="1"/>
    <col min="14870" max="14870" width="11" style="78" bestFit="1" customWidth="1"/>
    <col min="14871" max="14871" width="4.5546875" style="78" customWidth="1"/>
    <col min="14872" max="14872" width="4.6640625" style="78" customWidth="1"/>
    <col min="14873" max="14874" width="8.6640625" style="78" customWidth="1"/>
    <col min="14875" max="14875" width="5.6640625" style="78" customWidth="1"/>
    <col min="14876" max="14907" width="0" style="78" hidden="1" customWidth="1"/>
    <col min="14908" max="14908" width="9.109375" style="78" customWidth="1"/>
    <col min="14909" max="15104" width="9.109375" style="78"/>
    <col min="15105" max="15105" width="3.33203125" style="78" customWidth="1"/>
    <col min="15106" max="15106" width="3.44140625" style="78" customWidth="1"/>
    <col min="15107" max="15107" width="3.5546875" style="78" customWidth="1"/>
    <col min="15108" max="15108" width="9.33203125" style="78" customWidth="1"/>
    <col min="15109" max="15109" width="6.33203125" style="78" customWidth="1"/>
    <col min="15110" max="15110" width="5.109375" style="78" customWidth="1"/>
    <col min="15111" max="15111" width="11.5546875" style="78" customWidth="1"/>
    <col min="15112" max="15112" width="11.33203125" style="78" bestFit="1" customWidth="1"/>
    <col min="15113" max="15113" width="9.5546875" style="78" bestFit="1" customWidth="1"/>
    <col min="15114" max="15114" width="11.5546875" style="78" customWidth="1"/>
    <col min="15115" max="15115" width="12" style="78" customWidth="1"/>
    <col min="15116" max="15116" width="11.6640625" style="78" customWidth="1"/>
    <col min="15117" max="15118" width="10.6640625" style="78" customWidth="1"/>
    <col min="15119" max="15119" width="8" style="78" customWidth="1"/>
    <col min="15120" max="15123" width="10.6640625" style="78" customWidth="1"/>
    <col min="15124" max="15124" width="6" style="78" customWidth="1"/>
    <col min="15125" max="15125" width="6.44140625" style="78" bestFit="1" customWidth="1"/>
    <col min="15126" max="15126" width="11" style="78" bestFit="1" customWidth="1"/>
    <col min="15127" max="15127" width="4.5546875" style="78" customWidth="1"/>
    <col min="15128" max="15128" width="4.6640625" style="78" customWidth="1"/>
    <col min="15129" max="15130" width="8.6640625" style="78" customWidth="1"/>
    <col min="15131" max="15131" width="5.6640625" style="78" customWidth="1"/>
    <col min="15132" max="15163" width="0" style="78" hidden="1" customWidth="1"/>
    <col min="15164" max="15164" width="9.109375" style="78" customWidth="1"/>
    <col min="15165" max="15360" width="9.109375" style="78"/>
    <col min="15361" max="15361" width="3.33203125" style="78" customWidth="1"/>
    <col min="15362" max="15362" width="3.44140625" style="78" customWidth="1"/>
    <col min="15363" max="15363" width="3.5546875" style="78" customWidth="1"/>
    <col min="15364" max="15364" width="9.33203125" style="78" customWidth="1"/>
    <col min="15365" max="15365" width="6.33203125" style="78" customWidth="1"/>
    <col min="15366" max="15366" width="5.109375" style="78" customWidth="1"/>
    <col min="15367" max="15367" width="11.5546875" style="78" customWidth="1"/>
    <col min="15368" max="15368" width="11.33203125" style="78" bestFit="1" customWidth="1"/>
    <col min="15369" max="15369" width="9.5546875" style="78" bestFit="1" customWidth="1"/>
    <col min="15370" max="15370" width="11.5546875" style="78" customWidth="1"/>
    <col min="15371" max="15371" width="12" style="78" customWidth="1"/>
    <col min="15372" max="15372" width="11.6640625" style="78" customWidth="1"/>
    <col min="15373" max="15374" width="10.6640625" style="78" customWidth="1"/>
    <col min="15375" max="15375" width="8" style="78" customWidth="1"/>
    <col min="15376" max="15379" width="10.6640625" style="78" customWidth="1"/>
    <col min="15380" max="15380" width="6" style="78" customWidth="1"/>
    <col min="15381" max="15381" width="6.44140625" style="78" bestFit="1" customWidth="1"/>
    <col min="15382" max="15382" width="11" style="78" bestFit="1" customWidth="1"/>
    <col min="15383" max="15383" width="4.5546875" style="78" customWidth="1"/>
    <col min="15384" max="15384" width="4.6640625" style="78" customWidth="1"/>
    <col min="15385" max="15386" width="8.6640625" style="78" customWidth="1"/>
    <col min="15387" max="15387" width="5.6640625" style="78" customWidth="1"/>
    <col min="15388" max="15419" width="0" style="78" hidden="1" customWidth="1"/>
    <col min="15420" max="15420" width="9.109375" style="78" customWidth="1"/>
    <col min="15421" max="15616" width="9.109375" style="78"/>
    <col min="15617" max="15617" width="3.33203125" style="78" customWidth="1"/>
    <col min="15618" max="15618" width="3.44140625" style="78" customWidth="1"/>
    <col min="15619" max="15619" width="3.5546875" style="78" customWidth="1"/>
    <col min="15620" max="15620" width="9.33203125" style="78" customWidth="1"/>
    <col min="15621" max="15621" width="6.33203125" style="78" customWidth="1"/>
    <col min="15622" max="15622" width="5.109375" style="78" customWidth="1"/>
    <col min="15623" max="15623" width="11.5546875" style="78" customWidth="1"/>
    <col min="15624" max="15624" width="11.33203125" style="78" bestFit="1" customWidth="1"/>
    <col min="15625" max="15625" width="9.5546875" style="78" bestFit="1" customWidth="1"/>
    <col min="15626" max="15626" width="11.5546875" style="78" customWidth="1"/>
    <col min="15627" max="15627" width="12" style="78" customWidth="1"/>
    <col min="15628" max="15628" width="11.6640625" style="78" customWidth="1"/>
    <col min="15629" max="15630" width="10.6640625" style="78" customWidth="1"/>
    <col min="15631" max="15631" width="8" style="78" customWidth="1"/>
    <col min="15632" max="15635" width="10.6640625" style="78" customWidth="1"/>
    <col min="15636" max="15636" width="6" style="78" customWidth="1"/>
    <col min="15637" max="15637" width="6.44140625" style="78" bestFit="1" customWidth="1"/>
    <col min="15638" max="15638" width="11" style="78" bestFit="1" customWidth="1"/>
    <col min="15639" max="15639" width="4.5546875" style="78" customWidth="1"/>
    <col min="15640" max="15640" width="4.6640625" style="78" customWidth="1"/>
    <col min="15641" max="15642" width="8.6640625" style="78" customWidth="1"/>
    <col min="15643" max="15643" width="5.6640625" style="78" customWidth="1"/>
    <col min="15644" max="15675" width="0" style="78" hidden="1" customWidth="1"/>
    <col min="15676" max="15676" width="9.109375" style="78" customWidth="1"/>
    <col min="15677" max="15872" width="9.109375" style="78"/>
    <col min="15873" max="15873" width="3.33203125" style="78" customWidth="1"/>
    <col min="15874" max="15874" width="3.44140625" style="78" customWidth="1"/>
    <col min="15875" max="15875" width="3.5546875" style="78" customWidth="1"/>
    <col min="15876" max="15876" width="9.33203125" style="78" customWidth="1"/>
    <col min="15877" max="15877" width="6.33203125" style="78" customWidth="1"/>
    <col min="15878" max="15878" width="5.109375" style="78" customWidth="1"/>
    <col min="15879" max="15879" width="11.5546875" style="78" customWidth="1"/>
    <col min="15880" max="15880" width="11.33203125" style="78" bestFit="1" customWidth="1"/>
    <col min="15881" max="15881" width="9.5546875" style="78" bestFit="1" customWidth="1"/>
    <col min="15882" max="15882" width="11.5546875" style="78" customWidth="1"/>
    <col min="15883" max="15883" width="12" style="78" customWidth="1"/>
    <col min="15884" max="15884" width="11.6640625" style="78" customWidth="1"/>
    <col min="15885" max="15886" width="10.6640625" style="78" customWidth="1"/>
    <col min="15887" max="15887" width="8" style="78" customWidth="1"/>
    <col min="15888" max="15891" width="10.6640625" style="78" customWidth="1"/>
    <col min="15892" max="15892" width="6" style="78" customWidth="1"/>
    <col min="15893" max="15893" width="6.44140625" style="78" bestFit="1" customWidth="1"/>
    <col min="15894" max="15894" width="11" style="78" bestFit="1" customWidth="1"/>
    <col min="15895" max="15895" width="4.5546875" style="78" customWidth="1"/>
    <col min="15896" max="15896" width="4.6640625" style="78" customWidth="1"/>
    <col min="15897" max="15898" width="8.6640625" style="78" customWidth="1"/>
    <col min="15899" max="15899" width="5.6640625" style="78" customWidth="1"/>
    <col min="15900" max="15931" width="0" style="78" hidden="1" customWidth="1"/>
    <col min="15932" max="15932" width="9.109375" style="78" customWidth="1"/>
    <col min="15933" max="16128" width="9.109375" style="78"/>
    <col min="16129" max="16129" width="3.33203125" style="78" customWidth="1"/>
    <col min="16130" max="16130" width="3.44140625" style="78" customWidth="1"/>
    <col min="16131" max="16131" width="3.5546875" style="78" customWidth="1"/>
    <col min="16132" max="16132" width="9.33203125" style="78" customWidth="1"/>
    <col min="16133" max="16133" width="6.33203125" style="78" customWidth="1"/>
    <col min="16134" max="16134" width="5.109375" style="78" customWidth="1"/>
    <col min="16135" max="16135" width="11.5546875" style="78" customWidth="1"/>
    <col min="16136" max="16136" width="11.33203125" style="78" bestFit="1" customWidth="1"/>
    <col min="16137" max="16137" width="9.5546875" style="78" bestFit="1" customWidth="1"/>
    <col min="16138" max="16138" width="11.5546875" style="78" customWidth="1"/>
    <col min="16139" max="16139" width="12" style="78" customWidth="1"/>
    <col min="16140" max="16140" width="11.6640625" style="78" customWidth="1"/>
    <col min="16141" max="16142" width="10.6640625" style="78" customWidth="1"/>
    <col min="16143" max="16143" width="8" style="78" customWidth="1"/>
    <col min="16144" max="16147" width="10.6640625" style="78" customWidth="1"/>
    <col min="16148" max="16148" width="6" style="78" customWidth="1"/>
    <col min="16149" max="16149" width="6.44140625" style="78" bestFit="1" customWidth="1"/>
    <col min="16150" max="16150" width="11" style="78" bestFit="1" customWidth="1"/>
    <col min="16151" max="16151" width="4.5546875" style="78" customWidth="1"/>
    <col min="16152" max="16152" width="4.6640625" style="78" customWidth="1"/>
    <col min="16153" max="16154" width="8.6640625" style="78" customWidth="1"/>
    <col min="16155" max="16155" width="5.6640625" style="78" customWidth="1"/>
    <col min="16156" max="16187" width="0" style="78" hidden="1" customWidth="1"/>
    <col min="16188" max="16188" width="9.109375" style="78" customWidth="1"/>
    <col min="16189" max="16384" width="9.109375" style="78"/>
  </cols>
  <sheetData>
    <row r="1" spans="1:53" ht="10.8" hidden="1" thickBot="1">
      <c r="A1" s="179">
        <v>1</v>
      </c>
      <c r="B1" s="179" t="s">
        <v>677</v>
      </c>
      <c r="C1" s="180">
        <v>1</v>
      </c>
      <c r="D1" s="181" t="s">
        <v>872</v>
      </c>
      <c r="E1" s="78">
        <v>0</v>
      </c>
      <c r="F1" s="78">
        <v>0.5</v>
      </c>
      <c r="G1" s="179" t="s">
        <v>873</v>
      </c>
      <c r="H1" s="179" t="s">
        <v>873</v>
      </c>
      <c r="I1" s="179">
        <v>2</v>
      </c>
      <c r="J1" s="179" t="s">
        <v>874</v>
      </c>
      <c r="K1" s="179" t="s">
        <v>875</v>
      </c>
      <c r="L1" s="182" t="s">
        <v>876</v>
      </c>
      <c r="M1" s="179" t="s">
        <v>877</v>
      </c>
      <c r="N1" s="183" t="s">
        <v>878</v>
      </c>
      <c r="O1" s="184" t="s">
        <v>137</v>
      </c>
      <c r="P1" s="185"/>
      <c r="Q1" s="182" t="s">
        <v>677</v>
      </c>
      <c r="R1" s="183"/>
      <c r="S1" s="179"/>
      <c r="T1" s="186" t="s">
        <v>879</v>
      </c>
      <c r="U1" s="78">
        <f>FIND(":",T1)</f>
        <v>12</v>
      </c>
      <c r="V1" s="186" t="str">
        <f t="shared" ref="V1:V64" si="0">LEFT(T1,U1-1)</f>
        <v>Astrologue </v>
      </c>
      <c r="Y1" s="181"/>
      <c r="AB1" s="78" t="s">
        <v>624</v>
      </c>
      <c r="AC1" s="78">
        <v>0</v>
      </c>
      <c r="AD1" s="78">
        <v>0</v>
      </c>
      <c r="AE1" s="78">
        <v>40</v>
      </c>
      <c r="AF1" s="78" t="s">
        <v>880</v>
      </c>
      <c r="AG1" s="78">
        <v>0.1</v>
      </c>
      <c r="AH1" s="78" t="s">
        <v>878</v>
      </c>
      <c r="AI1" s="78" t="s">
        <v>881</v>
      </c>
      <c r="AJ1" s="78" t="s">
        <v>882</v>
      </c>
      <c r="AK1" s="109" t="s">
        <v>883</v>
      </c>
      <c r="AL1" s="78">
        <v>0</v>
      </c>
      <c r="AM1" s="78" t="s">
        <v>884</v>
      </c>
      <c r="AN1" s="78" t="s">
        <v>885</v>
      </c>
      <c r="AO1" s="78" t="s">
        <v>880</v>
      </c>
      <c r="AP1" s="78" t="s">
        <v>886</v>
      </c>
      <c r="AQ1" s="78" t="s">
        <v>872</v>
      </c>
      <c r="AR1" s="109" t="s">
        <v>561</v>
      </c>
      <c r="AT1" s="78">
        <v>1</v>
      </c>
      <c r="AU1" s="186" t="s">
        <v>887</v>
      </c>
      <c r="AV1" s="78">
        <v>1</v>
      </c>
      <c r="AW1" s="78">
        <v>0</v>
      </c>
      <c r="AX1" s="78">
        <v>0</v>
      </c>
      <c r="AY1" s="78">
        <v>0</v>
      </c>
      <c r="AZ1" s="78">
        <v>0</v>
      </c>
      <c r="BA1" s="78">
        <v>0</v>
      </c>
    </row>
    <row r="2" spans="1:53" ht="10.8" hidden="1" thickBot="1">
      <c r="A2" s="188">
        <v>2</v>
      </c>
      <c r="B2" s="188" t="s">
        <v>718</v>
      </c>
      <c r="C2" s="189">
        <v>1</v>
      </c>
      <c r="D2" s="190" t="s">
        <v>888</v>
      </c>
      <c r="E2" s="78">
        <v>0</v>
      </c>
      <c r="F2" s="78">
        <v>0.5</v>
      </c>
      <c r="G2" s="179" t="s">
        <v>873</v>
      </c>
      <c r="H2" s="188" t="s">
        <v>889</v>
      </c>
      <c r="I2" s="179">
        <v>2</v>
      </c>
      <c r="J2" s="179" t="s">
        <v>874</v>
      </c>
      <c r="K2" s="188" t="s">
        <v>875</v>
      </c>
      <c r="L2" s="182" t="s">
        <v>876</v>
      </c>
      <c r="M2" s="188" t="s">
        <v>877</v>
      </c>
      <c r="N2" s="191" t="s">
        <v>878</v>
      </c>
      <c r="O2" s="192" t="s">
        <v>137</v>
      </c>
      <c r="P2" s="185"/>
      <c r="Q2" s="193" t="s">
        <v>677</v>
      </c>
      <c r="R2" s="191"/>
      <c r="S2" s="188"/>
      <c r="T2" s="186" t="s">
        <v>890</v>
      </c>
      <c r="U2" s="78">
        <f t="shared" ref="U2:U65" si="1">FIND(":",T2)</f>
        <v>8</v>
      </c>
      <c r="V2" s="186" t="str">
        <f t="shared" si="0"/>
        <v>Bailli </v>
      </c>
      <c r="Y2" s="190"/>
      <c r="AB2" s="78" t="s">
        <v>624</v>
      </c>
      <c r="AC2" s="78">
        <v>0</v>
      </c>
      <c r="AD2" s="78">
        <v>0</v>
      </c>
      <c r="AE2" s="78">
        <v>40</v>
      </c>
      <c r="AF2" s="78" t="s">
        <v>891</v>
      </c>
      <c r="AG2" s="78">
        <v>0.5</v>
      </c>
      <c r="AH2" s="78" t="s">
        <v>878</v>
      </c>
      <c r="AI2" s="78" t="s">
        <v>892</v>
      </c>
      <c r="AJ2" s="78" t="s">
        <v>893</v>
      </c>
      <c r="AK2" s="78" t="s">
        <v>883</v>
      </c>
      <c r="AL2" s="78">
        <v>0</v>
      </c>
      <c r="AM2" s="78" t="s">
        <v>884</v>
      </c>
      <c r="AN2" s="78" t="s">
        <v>885</v>
      </c>
      <c r="AO2" s="78" t="s">
        <v>880</v>
      </c>
      <c r="AP2" s="78" t="s">
        <v>894</v>
      </c>
      <c r="AQ2" s="78" t="s">
        <v>872</v>
      </c>
      <c r="AR2" s="109" t="s">
        <v>561</v>
      </c>
      <c r="AT2" s="78">
        <v>2</v>
      </c>
      <c r="AU2" s="186" t="s">
        <v>621</v>
      </c>
      <c r="AV2" s="78">
        <v>2</v>
      </c>
      <c r="AW2" s="186" t="s">
        <v>895</v>
      </c>
      <c r="AX2" s="186" t="s">
        <v>320</v>
      </c>
      <c r="AY2" s="186" t="s">
        <v>896</v>
      </c>
    </row>
    <row r="3" spans="1:53" ht="10.8" hidden="1" thickBot="1">
      <c r="A3" s="188">
        <v>3</v>
      </c>
      <c r="B3" s="188" t="s">
        <v>703</v>
      </c>
      <c r="C3" s="189">
        <v>1</v>
      </c>
      <c r="D3" s="190" t="s">
        <v>888</v>
      </c>
      <c r="E3" s="78">
        <v>0</v>
      </c>
      <c r="F3" s="78">
        <v>0.5</v>
      </c>
      <c r="G3" s="179" t="s">
        <v>873</v>
      </c>
      <c r="H3" s="194" t="s">
        <v>309</v>
      </c>
      <c r="I3" s="179">
        <v>3</v>
      </c>
      <c r="J3" s="188" t="s">
        <v>897</v>
      </c>
      <c r="K3" s="188" t="s">
        <v>875</v>
      </c>
      <c r="L3" s="182" t="s">
        <v>876</v>
      </c>
      <c r="M3" s="188" t="s">
        <v>898</v>
      </c>
      <c r="N3" s="191" t="s">
        <v>878</v>
      </c>
      <c r="O3" s="192" t="s">
        <v>137</v>
      </c>
      <c r="P3" s="195"/>
      <c r="Q3" s="193" t="s">
        <v>677</v>
      </c>
      <c r="R3" s="191"/>
      <c r="S3" s="188"/>
      <c r="T3" s="186" t="s">
        <v>899</v>
      </c>
      <c r="U3" s="78">
        <f t="shared" si="1"/>
        <v>15</v>
      </c>
      <c r="V3" s="186" t="str">
        <f t="shared" si="0"/>
        <v>Changeur-prêt </v>
      </c>
      <c r="Y3" s="190"/>
      <c r="AB3" s="78" t="s">
        <v>624</v>
      </c>
      <c r="AC3" s="78">
        <v>0</v>
      </c>
      <c r="AD3" s="78">
        <v>0</v>
      </c>
      <c r="AE3" s="78">
        <v>40</v>
      </c>
      <c r="AF3" s="78" t="s">
        <v>891</v>
      </c>
      <c r="AG3" s="78">
        <v>0.5</v>
      </c>
      <c r="AH3" s="78" t="s">
        <v>878</v>
      </c>
      <c r="AI3" s="78" t="s">
        <v>892</v>
      </c>
      <c r="AJ3" s="78" t="s">
        <v>900</v>
      </c>
      <c r="AK3" s="109" t="s">
        <v>883</v>
      </c>
      <c r="AL3" s="78">
        <v>0</v>
      </c>
      <c r="AM3" s="78" t="s">
        <v>884</v>
      </c>
      <c r="AN3" s="78" t="s">
        <v>885</v>
      </c>
      <c r="AO3" s="78" t="s">
        <v>891</v>
      </c>
      <c r="AP3" s="78" t="s">
        <v>894</v>
      </c>
      <c r="AQ3" s="78" t="s">
        <v>872</v>
      </c>
      <c r="AR3" s="109" t="s">
        <v>561</v>
      </c>
      <c r="AT3" s="78">
        <v>3</v>
      </c>
      <c r="AU3" s="186" t="s">
        <v>901</v>
      </c>
      <c r="AV3" s="78">
        <v>3</v>
      </c>
      <c r="AW3" s="186" t="s">
        <v>878</v>
      </c>
      <c r="AX3" s="186" t="s">
        <v>310</v>
      </c>
      <c r="AY3" s="186" t="s">
        <v>546</v>
      </c>
    </row>
    <row r="4" spans="1:53" ht="10.8" hidden="1" thickBot="1">
      <c r="A4" s="188">
        <v>4</v>
      </c>
      <c r="B4" s="188" t="s">
        <v>705</v>
      </c>
      <c r="C4" s="189">
        <v>1</v>
      </c>
      <c r="D4" s="190" t="s">
        <v>902</v>
      </c>
      <c r="E4" s="78">
        <v>0</v>
      </c>
      <c r="F4" s="78">
        <v>0.5</v>
      </c>
      <c r="G4" s="179" t="s">
        <v>873</v>
      </c>
      <c r="H4" s="188" t="s">
        <v>732</v>
      </c>
      <c r="I4" s="179">
        <v>3</v>
      </c>
      <c r="J4" s="188" t="s">
        <v>897</v>
      </c>
      <c r="K4" s="188" t="s">
        <v>903</v>
      </c>
      <c r="L4" s="188" t="s">
        <v>904</v>
      </c>
      <c r="M4" s="188" t="s">
        <v>905</v>
      </c>
      <c r="N4" s="191" t="s">
        <v>878</v>
      </c>
      <c r="O4" s="192" t="s">
        <v>137</v>
      </c>
      <c r="P4" s="195"/>
      <c r="Q4" s="193" t="s">
        <v>677</v>
      </c>
      <c r="R4" s="191"/>
      <c r="S4" s="188"/>
      <c r="T4" s="186" t="s">
        <v>906</v>
      </c>
      <c r="U4" s="78">
        <f t="shared" si="1"/>
        <v>11</v>
      </c>
      <c r="V4" s="186" t="str">
        <f t="shared" si="0"/>
        <v>Chapelain </v>
      </c>
      <c r="Y4" s="190"/>
      <c r="AB4" s="78" t="s">
        <v>624</v>
      </c>
      <c r="AC4" s="78">
        <v>0</v>
      </c>
      <c r="AD4" s="78">
        <v>0</v>
      </c>
      <c r="AE4" s="78">
        <v>40</v>
      </c>
      <c r="AF4" s="78" t="s">
        <v>891</v>
      </c>
      <c r="AG4" s="78">
        <v>0.5</v>
      </c>
      <c r="AH4" s="78" t="s">
        <v>878</v>
      </c>
      <c r="AI4" s="78" t="s">
        <v>907</v>
      </c>
      <c r="AJ4" s="78" t="s">
        <v>681</v>
      </c>
      <c r="AK4" s="78" t="s">
        <v>883</v>
      </c>
      <c r="AL4" s="78">
        <v>0</v>
      </c>
      <c r="AM4" s="78" t="s">
        <v>884</v>
      </c>
      <c r="AN4" s="78" t="s">
        <v>885</v>
      </c>
      <c r="AO4" s="78" t="s">
        <v>891</v>
      </c>
      <c r="AP4" s="78" t="s">
        <v>309</v>
      </c>
      <c r="AQ4" s="78" t="s">
        <v>872</v>
      </c>
      <c r="AR4" s="109" t="s">
        <v>561</v>
      </c>
      <c r="AT4" s="78">
        <v>4</v>
      </c>
      <c r="AU4" s="186" t="s">
        <v>895</v>
      </c>
      <c r="AV4" s="78">
        <v>4</v>
      </c>
      <c r="AW4" s="186" t="s">
        <v>621</v>
      </c>
      <c r="AX4" s="186" t="s">
        <v>303</v>
      </c>
      <c r="AY4" s="186" t="s">
        <v>908</v>
      </c>
    </row>
    <row r="5" spans="1:53" ht="10.8" hidden="1" thickBot="1">
      <c r="A5" s="188">
        <v>5</v>
      </c>
      <c r="B5" s="188" t="s">
        <v>681</v>
      </c>
      <c r="C5" s="189">
        <v>2</v>
      </c>
      <c r="D5" s="190" t="s">
        <v>902</v>
      </c>
      <c r="E5" s="78">
        <v>0</v>
      </c>
      <c r="F5" s="78">
        <v>0.5</v>
      </c>
      <c r="G5" s="188" t="s">
        <v>889</v>
      </c>
      <c r="H5" s="194" t="s">
        <v>909</v>
      </c>
      <c r="I5" s="188">
        <v>4</v>
      </c>
      <c r="J5" s="188" t="s">
        <v>910</v>
      </c>
      <c r="K5" s="188" t="s">
        <v>903</v>
      </c>
      <c r="L5" s="188" t="s">
        <v>904</v>
      </c>
      <c r="M5" s="188" t="s">
        <v>911</v>
      </c>
      <c r="N5" s="191" t="s">
        <v>912</v>
      </c>
      <c r="O5" s="193" t="s">
        <v>913</v>
      </c>
      <c r="P5" s="195"/>
      <c r="Q5" s="193" t="s">
        <v>681</v>
      </c>
      <c r="R5" s="191"/>
      <c r="S5" s="188"/>
      <c r="T5" s="186" t="s">
        <v>914</v>
      </c>
      <c r="U5" s="78">
        <f t="shared" si="1"/>
        <v>11</v>
      </c>
      <c r="V5" s="186" t="str">
        <f t="shared" si="0"/>
        <v>Chevalier </v>
      </c>
      <c r="Y5" s="188"/>
      <c r="AB5" s="78" t="s">
        <v>624</v>
      </c>
      <c r="AC5" s="78">
        <v>0</v>
      </c>
      <c r="AD5" s="78">
        <v>0</v>
      </c>
      <c r="AE5" s="78">
        <v>40</v>
      </c>
      <c r="AF5" s="78" t="s">
        <v>891</v>
      </c>
      <c r="AG5" s="78">
        <v>0.5</v>
      </c>
      <c r="AH5" s="78" t="s">
        <v>878</v>
      </c>
      <c r="AI5" s="78" t="s">
        <v>907</v>
      </c>
      <c r="AJ5" s="78" t="s">
        <v>915</v>
      </c>
      <c r="AK5" s="109" t="s">
        <v>883</v>
      </c>
      <c r="AL5" s="78">
        <v>0</v>
      </c>
      <c r="AM5" s="78" t="s">
        <v>916</v>
      </c>
      <c r="AN5" s="78" t="s">
        <v>917</v>
      </c>
      <c r="AO5" s="78" t="s">
        <v>891</v>
      </c>
      <c r="AP5" s="78" t="s">
        <v>309</v>
      </c>
      <c r="AQ5" s="78" t="s">
        <v>888</v>
      </c>
      <c r="AR5" s="78" t="s">
        <v>846</v>
      </c>
      <c r="AT5" s="78">
        <v>5</v>
      </c>
      <c r="AU5" s="186" t="s">
        <v>918</v>
      </c>
      <c r="AV5" s="78">
        <v>5</v>
      </c>
      <c r="AW5" s="186" t="s">
        <v>901</v>
      </c>
      <c r="AX5" s="186" t="s">
        <v>919</v>
      </c>
      <c r="AY5" s="186" t="s">
        <v>920</v>
      </c>
    </row>
    <row r="6" spans="1:53" ht="10.8" hidden="1" thickBot="1">
      <c r="A6" s="188">
        <v>6</v>
      </c>
      <c r="B6" s="188" t="s">
        <v>707</v>
      </c>
      <c r="C6" s="189">
        <v>2</v>
      </c>
      <c r="D6" s="190" t="s">
        <v>902</v>
      </c>
      <c r="E6" s="78">
        <v>1</v>
      </c>
      <c r="F6" s="78">
        <v>0.5</v>
      </c>
      <c r="G6" s="188" t="s">
        <v>889</v>
      </c>
      <c r="H6" s="196" t="s">
        <v>921</v>
      </c>
      <c r="I6" s="188">
        <v>4</v>
      </c>
      <c r="J6" s="188" t="s">
        <v>922</v>
      </c>
      <c r="K6" s="188" t="s">
        <v>923</v>
      </c>
      <c r="L6" s="188" t="s">
        <v>904</v>
      </c>
      <c r="M6" s="188" t="s">
        <v>924</v>
      </c>
      <c r="N6" s="191" t="s">
        <v>912</v>
      </c>
      <c r="O6" s="193" t="s">
        <v>913</v>
      </c>
      <c r="P6" s="195"/>
      <c r="Q6" s="193" t="s">
        <v>681</v>
      </c>
      <c r="R6" s="197"/>
      <c r="S6" s="188"/>
      <c r="T6" s="186" t="s">
        <v>925</v>
      </c>
      <c r="U6" s="78">
        <f t="shared" si="1"/>
        <v>7</v>
      </c>
      <c r="V6" s="186" t="str">
        <f t="shared" si="0"/>
        <v>Clerc </v>
      </c>
      <c r="Y6" s="188"/>
      <c r="AB6" s="78" t="s">
        <v>624</v>
      </c>
      <c r="AC6" s="78">
        <v>0</v>
      </c>
      <c r="AD6" s="78">
        <v>0</v>
      </c>
      <c r="AE6" s="78">
        <v>40</v>
      </c>
      <c r="AF6" s="78" t="s">
        <v>891</v>
      </c>
      <c r="AG6" s="78">
        <v>0.5</v>
      </c>
      <c r="AH6" s="78" t="s">
        <v>878</v>
      </c>
      <c r="AI6" s="78" t="s">
        <v>907</v>
      </c>
      <c r="AJ6" s="78" t="s">
        <v>681</v>
      </c>
      <c r="AK6" s="78" t="s">
        <v>926</v>
      </c>
      <c r="AL6" s="78">
        <v>0</v>
      </c>
      <c r="AM6" s="78" t="s">
        <v>211</v>
      </c>
      <c r="AN6" s="78" t="s">
        <v>917</v>
      </c>
      <c r="AO6" s="78" t="s">
        <v>309</v>
      </c>
      <c r="AP6" s="78" t="s">
        <v>309</v>
      </c>
      <c r="AQ6" s="78" t="s">
        <v>888</v>
      </c>
      <c r="AR6" s="78" t="s">
        <v>846</v>
      </c>
      <c r="AT6" s="78">
        <v>6</v>
      </c>
      <c r="AU6" s="186" t="s">
        <v>927</v>
      </c>
      <c r="AV6" s="78">
        <v>6</v>
      </c>
      <c r="AW6" s="186" t="s">
        <v>928</v>
      </c>
      <c r="AX6" s="186" t="s">
        <v>280</v>
      </c>
      <c r="AY6" s="186" t="s">
        <v>87</v>
      </c>
    </row>
    <row r="7" spans="1:53" ht="10.8" hidden="1" thickBot="1">
      <c r="A7" s="188">
        <v>7</v>
      </c>
      <c r="B7" s="188" t="s">
        <v>929</v>
      </c>
      <c r="C7" s="189">
        <v>2</v>
      </c>
      <c r="D7" s="190" t="s">
        <v>902</v>
      </c>
      <c r="E7" s="78">
        <v>1</v>
      </c>
      <c r="F7" s="78">
        <v>0.5</v>
      </c>
      <c r="G7" s="188" t="s">
        <v>889</v>
      </c>
      <c r="H7" s="188"/>
      <c r="I7" s="188">
        <v>5</v>
      </c>
      <c r="J7" s="188" t="s">
        <v>922</v>
      </c>
      <c r="K7" s="188" t="s">
        <v>878</v>
      </c>
      <c r="L7" s="188" t="s">
        <v>930</v>
      </c>
      <c r="M7" s="188" t="s">
        <v>931</v>
      </c>
      <c r="N7" s="191" t="s">
        <v>912</v>
      </c>
      <c r="O7" s="193" t="s">
        <v>913</v>
      </c>
      <c r="P7" s="195"/>
      <c r="Q7" s="193" t="s">
        <v>681</v>
      </c>
      <c r="R7" s="108"/>
      <c r="S7" s="188"/>
      <c r="T7" s="186" t="s">
        <v>932</v>
      </c>
      <c r="U7" s="78">
        <f t="shared" si="1"/>
        <v>12</v>
      </c>
      <c r="V7" s="186" t="str">
        <f t="shared" si="0"/>
        <v>Conseiller </v>
      </c>
      <c r="Y7" s="188"/>
      <c r="AB7" s="78" t="s">
        <v>624</v>
      </c>
      <c r="AC7" s="78">
        <v>0</v>
      </c>
      <c r="AD7" s="78">
        <v>0</v>
      </c>
      <c r="AE7" s="78">
        <v>40</v>
      </c>
      <c r="AF7" s="78" t="s">
        <v>891</v>
      </c>
      <c r="AG7" s="78">
        <v>0.5</v>
      </c>
      <c r="AH7" s="78" t="s">
        <v>878</v>
      </c>
      <c r="AI7" s="78" t="s">
        <v>907</v>
      </c>
      <c r="AJ7" s="78" t="s">
        <v>933</v>
      </c>
      <c r="AK7" s="78" t="s">
        <v>926</v>
      </c>
      <c r="AL7" s="78">
        <v>1</v>
      </c>
      <c r="AM7" s="78" t="s">
        <v>934</v>
      </c>
      <c r="AN7" s="78" t="s">
        <v>917</v>
      </c>
      <c r="AO7" s="78" t="s">
        <v>309</v>
      </c>
      <c r="AP7" s="78" t="s">
        <v>309</v>
      </c>
      <c r="AQ7" s="78" t="s">
        <v>902</v>
      </c>
      <c r="AR7" s="78" t="s">
        <v>846</v>
      </c>
      <c r="AT7" s="78">
        <v>7</v>
      </c>
      <c r="AU7" s="186" t="s">
        <v>878</v>
      </c>
      <c r="AV7" s="78">
        <v>7</v>
      </c>
      <c r="AW7" s="186" t="s">
        <v>918</v>
      </c>
      <c r="AX7" s="186" t="s">
        <v>22</v>
      </c>
      <c r="AY7" s="186" t="s">
        <v>22</v>
      </c>
    </row>
    <row r="8" spans="1:53" ht="10.8" hidden="1" thickBot="1">
      <c r="A8" s="188">
        <v>8</v>
      </c>
      <c r="B8" s="188" t="s">
        <v>935</v>
      </c>
      <c r="C8" s="189">
        <v>3</v>
      </c>
      <c r="D8" s="190" t="s">
        <v>936</v>
      </c>
      <c r="E8" s="78">
        <v>1</v>
      </c>
      <c r="F8" s="78">
        <v>0.5</v>
      </c>
      <c r="G8" s="194" t="s">
        <v>309</v>
      </c>
      <c r="H8" s="188"/>
      <c r="I8" s="188">
        <v>6</v>
      </c>
      <c r="J8" s="188" t="s">
        <v>937</v>
      </c>
      <c r="K8" s="188" t="s">
        <v>878</v>
      </c>
      <c r="L8" s="188" t="s">
        <v>930</v>
      </c>
      <c r="M8" s="188" t="s">
        <v>938</v>
      </c>
      <c r="N8" s="191" t="s">
        <v>939</v>
      </c>
      <c r="O8" s="193" t="s">
        <v>940</v>
      </c>
      <c r="P8" s="195"/>
      <c r="Q8" s="193" t="s">
        <v>684</v>
      </c>
      <c r="S8" s="188"/>
      <c r="T8" s="186" t="s">
        <v>941</v>
      </c>
      <c r="U8" s="78">
        <f t="shared" si="1"/>
        <v>11</v>
      </c>
      <c r="V8" s="186" t="str">
        <f t="shared" si="0"/>
        <v>Courtisan </v>
      </c>
      <c r="Y8" s="188"/>
      <c r="AB8" s="78" t="s">
        <v>624</v>
      </c>
      <c r="AC8" s="78">
        <v>0</v>
      </c>
      <c r="AD8" s="78">
        <v>0</v>
      </c>
      <c r="AE8" s="78">
        <v>40</v>
      </c>
      <c r="AF8" s="78" t="s">
        <v>891</v>
      </c>
      <c r="AG8" s="78">
        <v>0.5</v>
      </c>
      <c r="AH8" s="78" t="s">
        <v>878</v>
      </c>
      <c r="AI8" s="78" t="s">
        <v>907</v>
      </c>
      <c r="AJ8" s="78" t="s">
        <v>942</v>
      </c>
      <c r="AK8" s="78" t="s">
        <v>926</v>
      </c>
      <c r="AL8" s="78">
        <v>1</v>
      </c>
      <c r="AM8" s="78" t="s">
        <v>943</v>
      </c>
      <c r="AN8" s="78" t="s">
        <v>944</v>
      </c>
      <c r="AO8" s="78" t="s">
        <v>309</v>
      </c>
      <c r="AP8" s="78" t="s">
        <v>945</v>
      </c>
      <c r="AQ8" s="78" t="s">
        <v>902</v>
      </c>
      <c r="AR8" s="78" t="s">
        <v>946</v>
      </c>
      <c r="AT8" s="78">
        <v>8</v>
      </c>
      <c r="AU8" s="186" t="s">
        <v>947</v>
      </c>
      <c r="AV8" s="78">
        <v>8</v>
      </c>
      <c r="AW8" s="186" t="s">
        <v>887</v>
      </c>
      <c r="AX8" s="186" t="s">
        <v>948</v>
      </c>
      <c r="AY8" s="186" t="s">
        <v>949</v>
      </c>
    </row>
    <row r="9" spans="1:53" ht="10.8" hidden="1" thickBot="1">
      <c r="A9" s="188">
        <v>9</v>
      </c>
      <c r="B9" s="188" t="s">
        <v>684</v>
      </c>
      <c r="C9" s="189">
        <v>3</v>
      </c>
      <c r="D9" s="190" t="s">
        <v>936</v>
      </c>
      <c r="E9" s="78">
        <v>1</v>
      </c>
      <c r="F9" s="78">
        <v>0.5</v>
      </c>
      <c r="G9" s="194" t="s">
        <v>309</v>
      </c>
      <c r="H9" s="188"/>
      <c r="I9" s="188">
        <v>6</v>
      </c>
      <c r="J9" s="188" t="s">
        <v>950</v>
      </c>
      <c r="K9" s="188" t="s">
        <v>878</v>
      </c>
      <c r="L9" s="188" t="s">
        <v>951</v>
      </c>
      <c r="M9" s="188" t="s">
        <v>952</v>
      </c>
      <c r="N9" s="191" t="s">
        <v>923</v>
      </c>
      <c r="O9" s="193" t="s">
        <v>940</v>
      </c>
      <c r="P9" s="195"/>
      <c r="Q9" s="193" t="s">
        <v>684</v>
      </c>
      <c r="S9" s="188"/>
      <c r="T9" s="186" t="s">
        <v>953</v>
      </c>
      <c r="U9" s="78">
        <f t="shared" si="1"/>
        <v>11</v>
      </c>
      <c r="V9" s="186" t="str">
        <f t="shared" si="0"/>
        <v>Diplomate </v>
      </c>
      <c r="Y9" s="188"/>
      <c r="AB9" s="78" t="s">
        <v>624</v>
      </c>
      <c r="AC9" s="78">
        <v>0</v>
      </c>
      <c r="AD9" s="78">
        <v>0</v>
      </c>
      <c r="AE9" s="78">
        <v>40</v>
      </c>
      <c r="AF9" s="78" t="s">
        <v>891</v>
      </c>
      <c r="AG9" s="78">
        <v>0.5</v>
      </c>
      <c r="AH9" s="78" t="s">
        <v>878</v>
      </c>
      <c r="AI9" s="78" t="s">
        <v>907</v>
      </c>
      <c r="AJ9" s="78" t="s">
        <v>329</v>
      </c>
      <c r="AK9" s="78" t="s">
        <v>954</v>
      </c>
      <c r="AL9" s="78">
        <v>1</v>
      </c>
      <c r="AM9" s="78" t="s">
        <v>955</v>
      </c>
      <c r="AN9" s="78" t="s">
        <v>934</v>
      </c>
      <c r="AO9" s="78" t="s">
        <v>309</v>
      </c>
      <c r="AP9" s="78" t="s">
        <v>945</v>
      </c>
      <c r="AQ9" s="78" t="s">
        <v>902</v>
      </c>
      <c r="AR9" s="78" t="s">
        <v>946</v>
      </c>
      <c r="AT9" s="78">
        <v>9</v>
      </c>
      <c r="AU9" s="186" t="s">
        <v>928</v>
      </c>
      <c r="AV9" s="78">
        <v>9</v>
      </c>
      <c r="AW9" s="186" t="s">
        <v>927</v>
      </c>
      <c r="AX9" s="186" t="s">
        <v>956</v>
      </c>
      <c r="AY9" s="186" t="s">
        <v>158</v>
      </c>
    </row>
    <row r="10" spans="1:53" ht="10.8" hidden="1" thickBot="1">
      <c r="A10" s="188">
        <v>10</v>
      </c>
      <c r="B10" s="188" t="s">
        <v>957</v>
      </c>
      <c r="C10" s="198">
        <v>4</v>
      </c>
      <c r="D10" s="199" t="s">
        <v>958</v>
      </c>
      <c r="E10" s="78">
        <v>1</v>
      </c>
      <c r="F10" s="78">
        <v>0.5</v>
      </c>
      <c r="G10" s="194" t="s">
        <v>732</v>
      </c>
      <c r="H10" s="188"/>
      <c r="I10" s="188">
        <v>8</v>
      </c>
      <c r="J10" s="194" t="s">
        <v>959</v>
      </c>
      <c r="K10" s="188" t="s">
        <v>878</v>
      </c>
      <c r="L10" s="196" t="s">
        <v>960</v>
      </c>
      <c r="M10" s="188" t="s">
        <v>961</v>
      </c>
      <c r="N10" s="197" t="s">
        <v>962</v>
      </c>
      <c r="O10" s="193" t="s">
        <v>963</v>
      </c>
      <c r="P10" s="200"/>
      <c r="Q10" s="193" t="s">
        <v>680</v>
      </c>
      <c r="S10" s="194"/>
      <c r="T10" s="186" t="s">
        <v>964</v>
      </c>
      <c r="U10" s="78">
        <f t="shared" si="1"/>
        <v>12</v>
      </c>
      <c r="V10" s="186" t="str">
        <f t="shared" si="0"/>
        <v>Guérisseur </v>
      </c>
      <c r="Y10" s="194"/>
      <c r="AB10" s="78" t="s">
        <v>624</v>
      </c>
      <c r="AC10" s="78">
        <v>0</v>
      </c>
      <c r="AD10" s="78">
        <v>0</v>
      </c>
      <c r="AE10" s="78">
        <v>40</v>
      </c>
      <c r="AF10" s="78" t="s">
        <v>891</v>
      </c>
      <c r="AG10" s="78">
        <v>0.5</v>
      </c>
      <c r="AH10" s="78" t="s">
        <v>878</v>
      </c>
      <c r="AI10" s="78" t="s">
        <v>907</v>
      </c>
      <c r="AJ10" s="78" t="s">
        <v>915</v>
      </c>
      <c r="AK10" s="78" t="s">
        <v>954</v>
      </c>
      <c r="AL10" s="78">
        <v>1</v>
      </c>
      <c r="AM10" s="78" t="s">
        <v>965</v>
      </c>
      <c r="AN10" s="78" t="s">
        <v>966</v>
      </c>
      <c r="AO10" s="78" t="s">
        <v>967</v>
      </c>
      <c r="AP10" s="78" t="s">
        <v>644</v>
      </c>
      <c r="AQ10" s="78" t="s">
        <v>902</v>
      </c>
      <c r="AR10" s="78" t="s">
        <v>968</v>
      </c>
      <c r="AT10" s="78">
        <v>10</v>
      </c>
      <c r="AU10" s="186" t="s">
        <v>969</v>
      </c>
      <c r="AV10" s="78">
        <v>10</v>
      </c>
      <c r="AW10" s="186" t="s">
        <v>947</v>
      </c>
      <c r="AX10" s="186" t="s">
        <v>970</v>
      </c>
      <c r="AY10" s="186" t="s">
        <v>277</v>
      </c>
    </row>
    <row r="11" spans="1:53" ht="10.8" hidden="1" thickBot="1">
      <c r="A11" s="188">
        <v>11</v>
      </c>
      <c r="B11" s="188" t="s">
        <v>679</v>
      </c>
      <c r="C11" s="201" t="s">
        <v>971</v>
      </c>
      <c r="D11" s="196" t="s">
        <v>179</v>
      </c>
      <c r="E11" s="78">
        <v>1</v>
      </c>
      <c r="F11" s="78">
        <v>0.8</v>
      </c>
      <c r="G11" s="196" t="s">
        <v>889</v>
      </c>
      <c r="H11" s="188"/>
      <c r="I11" s="188">
        <v>5</v>
      </c>
      <c r="J11" s="196" t="s">
        <v>972</v>
      </c>
      <c r="K11" s="188" t="s">
        <v>973</v>
      </c>
      <c r="L11" s="188"/>
      <c r="M11" s="188" t="s">
        <v>961</v>
      </c>
      <c r="N11" s="108" t="s">
        <v>974</v>
      </c>
      <c r="O11" s="202" t="s">
        <v>975</v>
      </c>
      <c r="P11" s="203"/>
      <c r="Q11" s="193" t="s">
        <v>680</v>
      </c>
      <c r="S11" s="196"/>
      <c r="T11" s="186" t="s">
        <v>976</v>
      </c>
      <c r="U11" s="78">
        <f t="shared" si="1"/>
        <v>11</v>
      </c>
      <c r="V11" s="186" t="str">
        <f t="shared" si="0"/>
        <v>Ingénieur </v>
      </c>
      <c r="Y11" s="196"/>
      <c r="AB11" s="78" t="s">
        <v>624</v>
      </c>
      <c r="AC11" s="78">
        <v>0</v>
      </c>
      <c r="AD11" s="78">
        <v>0</v>
      </c>
      <c r="AE11" s="78">
        <v>40</v>
      </c>
      <c r="AF11" s="78" t="s">
        <v>309</v>
      </c>
      <c r="AG11" s="78">
        <v>1</v>
      </c>
      <c r="AH11" s="78" t="s">
        <v>878</v>
      </c>
      <c r="AI11" s="78" t="s">
        <v>907</v>
      </c>
      <c r="AJ11" s="78" t="s">
        <v>977</v>
      </c>
      <c r="AK11" s="78" t="s">
        <v>978</v>
      </c>
      <c r="AL11" s="78">
        <v>1</v>
      </c>
      <c r="AM11" s="78" t="s">
        <v>979</v>
      </c>
      <c r="AN11" s="78" t="s">
        <v>980</v>
      </c>
      <c r="AO11" s="78" t="s">
        <v>981</v>
      </c>
      <c r="AP11" s="78" t="s">
        <v>982</v>
      </c>
      <c r="AQ11" s="78" t="s">
        <v>936</v>
      </c>
      <c r="AR11" s="78" t="s">
        <v>983</v>
      </c>
      <c r="AT11" s="78">
        <v>11</v>
      </c>
      <c r="AU11" s="186" t="s">
        <v>984</v>
      </c>
      <c r="AV11" s="78">
        <v>11</v>
      </c>
      <c r="AW11" s="186" t="s">
        <v>969</v>
      </c>
      <c r="AX11" s="186" t="s">
        <v>985</v>
      </c>
      <c r="AY11" s="186" t="s">
        <v>986</v>
      </c>
    </row>
    <row r="12" spans="1:53" ht="10.8" hidden="1" thickBot="1">
      <c r="A12" s="188">
        <v>12</v>
      </c>
      <c r="B12" s="188" t="s">
        <v>987</v>
      </c>
      <c r="E12" s="78">
        <v>1</v>
      </c>
      <c r="F12" s="78">
        <v>0.8</v>
      </c>
      <c r="G12" s="188" t="s">
        <v>309</v>
      </c>
      <c r="H12" s="188"/>
      <c r="I12" s="188">
        <v>7</v>
      </c>
      <c r="J12" s="188"/>
      <c r="K12" s="188" t="s">
        <v>973</v>
      </c>
      <c r="M12" s="188" t="s">
        <v>988</v>
      </c>
      <c r="N12" s="78"/>
      <c r="O12" s="193"/>
      <c r="Q12" s="193" t="s">
        <v>989</v>
      </c>
      <c r="T12" s="186" t="s">
        <v>990</v>
      </c>
      <c r="U12" s="78">
        <f t="shared" si="1"/>
        <v>11</v>
      </c>
      <c r="V12" s="186" t="str">
        <f t="shared" si="0"/>
        <v>Intendant </v>
      </c>
      <c r="AB12" s="78" t="s">
        <v>624</v>
      </c>
      <c r="AC12" s="78">
        <v>0</v>
      </c>
      <c r="AD12" s="78">
        <v>0</v>
      </c>
      <c r="AE12" s="78">
        <v>40</v>
      </c>
      <c r="AF12" s="78" t="s">
        <v>309</v>
      </c>
      <c r="AG12" s="78">
        <v>1</v>
      </c>
      <c r="AH12" s="78" t="s">
        <v>878</v>
      </c>
      <c r="AI12" s="78" t="s">
        <v>991</v>
      </c>
      <c r="AL12" s="78">
        <v>1</v>
      </c>
      <c r="AQ12" s="78" t="s">
        <v>936</v>
      </c>
      <c r="AT12" s="78">
        <v>12</v>
      </c>
      <c r="AU12" s="186" t="s">
        <v>222</v>
      </c>
      <c r="AV12" s="78">
        <v>12</v>
      </c>
      <c r="AW12" s="106" t="s">
        <v>992</v>
      </c>
      <c r="AX12" s="186" t="s">
        <v>993</v>
      </c>
      <c r="AY12" s="186" t="s">
        <v>994</v>
      </c>
    </row>
    <row r="13" spans="1:53" ht="10.8" hidden="1" thickBot="1">
      <c r="A13" s="188">
        <v>13</v>
      </c>
      <c r="B13" s="188" t="s">
        <v>995</v>
      </c>
      <c r="E13" s="78">
        <v>1</v>
      </c>
      <c r="F13" s="78">
        <v>0.8</v>
      </c>
      <c r="G13" s="188" t="s">
        <v>732</v>
      </c>
      <c r="H13" s="188"/>
      <c r="I13" s="188">
        <v>8</v>
      </c>
      <c r="J13" s="188"/>
      <c r="K13" s="188" t="s">
        <v>973</v>
      </c>
      <c r="L13" s="188"/>
      <c r="M13" s="188" t="s">
        <v>988</v>
      </c>
      <c r="N13" s="78"/>
      <c r="O13" s="193"/>
      <c r="Q13" s="193" t="s">
        <v>989</v>
      </c>
      <c r="T13" s="186" t="s">
        <v>996</v>
      </c>
      <c r="U13" s="78">
        <f t="shared" si="1"/>
        <v>11</v>
      </c>
      <c r="V13" s="186" t="str">
        <f t="shared" si="0"/>
        <v>Juge-érud </v>
      </c>
      <c r="AB13" s="78" t="s">
        <v>624</v>
      </c>
      <c r="AC13" s="78">
        <v>0</v>
      </c>
      <c r="AD13" s="78">
        <v>0</v>
      </c>
      <c r="AE13" s="78">
        <v>40</v>
      </c>
      <c r="AF13" s="78" t="s">
        <v>309</v>
      </c>
      <c r="AG13" s="78">
        <v>1</v>
      </c>
      <c r="AH13" s="78" t="s">
        <v>878</v>
      </c>
      <c r="AI13" s="78" t="s">
        <v>991</v>
      </c>
      <c r="AL13" s="78">
        <v>1</v>
      </c>
      <c r="AQ13" s="78" t="s">
        <v>958</v>
      </c>
      <c r="AT13" s="78">
        <v>13</v>
      </c>
      <c r="AU13" s="186" t="s">
        <v>997</v>
      </c>
      <c r="AV13" s="78">
        <v>13</v>
      </c>
      <c r="AX13" s="186" t="s">
        <v>135</v>
      </c>
      <c r="AY13" s="78" t="s">
        <v>264</v>
      </c>
    </row>
    <row r="14" spans="1:53" ht="10.8" hidden="1" thickBot="1">
      <c r="A14" s="188">
        <v>14</v>
      </c>
      <c r="B14" s="188" t="s">
        <v>719</v>
      </c>
      <c r="E14" s="78">
        <v>1</v>
      </c>
      <c r="F14" s="78">
        <v>0.8</v>
      </c>
      <c r="G14" s="188" t="s">
        <v>909</v>
      </c>
      <c r="H14" s="188"/>
      <c r="I14" s="194">
        <v>10</v>
      </c>
      <c r="J14" s="188"/>
      <c r="K14" s="188" t="s">
        <v>973</v>
      </c>
      <c r="L14" s="188"/>
      <c r="M14" s="188" t="s">
        <v>998</v>
      </c>
      <c r="N14" s="78"/>
      <c r="O14" s="193"/>
      <c r="Q14" s="204" t="s">
        <v>999</v>
      </c>
      <c r="T14" s="186" t="s">
        <v>1000</v>
      </c>
      <c r="U14" s="78">
        <f t="shared" si="1"/>
        <v>9</v>
      </c>
      <c r="V14" s="186" t="str">
        <f t="shared" si="0"/>
        <v>Notaire </v>
      </c>
      <c r="AB14" s="78" t="s">
        <v>624</v>
      </c>
      <c r="AC14" s="78">
        <v>0</v>
      </c>
      <c r="AD14" s="78">
        <v>0</v>
      </c>
      <c r="AE14" s="78">
        <v>40</v>
      </c>
      <c r="AF14" s="78" t="s">
        <v>309</v>
      </c>
      <c r="AG14" s="78">
        <v>1</v>
      </c>
      <c r="AH14" s="78" t="s">
        <v>878</v>
      </c>
      <c r="AI14" s="78" t="s">
        <v>991</v>
      </c>
      <c r="AL14" s="78">
        <v>1</v>
      </c>
      <c r="AQ14" s="78" t="s">
        <v>958</v>
      </c>
      <c r="AT14" s="78">
        <v>14</v>
      </c>
      <c r="AU14" s="186" t="s">
        <v>310</v>
      </c>
      <c r="AV14" s="78">
        <v>14</v>
      </c>
      <c r="AX14" s="186" t="s">
        <v>1001</v>
      </c>
      <c r="AY14" s="186" t="s">
        <v>1002</v>
      </c>
    </row>
    <row r="15" spans="1:53" ht="10.8" hidden="1" thickBot="1">
      <c r="A15" s="188">
        <v>15</v>
      </c>
      <c r="B15" s="188" t="s">
        <v>680</v>
      </c>
      <c r="E15" s="78">
        <v>1</v>
      </c>
      <c r="F15" s="78">
        <v>0.8</v>
      </c>
      <c r="G15" s="188" t="s">
        <v>309</v>
      </c>
      <c r="H15" s="188"/>
      <c r="I15" s="188">
        <v>7</v>
      </c>
      <c r="J15" s="188"/>
      <c r="K15" s="188" t="s">
        <v>927</v>
      </c>
      <c r="L15" s="188"/>
      <c r="M15" s="188" t="s">
        <v>1003</v>
      </c>
      <c r="N15" s="78"/>
      <c r="O15" s="193"/>
      <c r="Q15" s="202" t="s">
        <v>1004</v>
      </c>
      <c r="T15" s="186" t="s">
        <v>1005</v>
      </c>
      <c r="U15" s="78">
        <f t="shared" si="1"/>
        <v>11</v>
      </c>
      <c r="V15" s="186" t="str">
        <f t="shared" si="0"/>
        <v>Page-care </v>
      </c>
      <c r="AB15" s="78" t="s">
        <v>624</v>
      </c>
      <c r="AC15" s="78">
        <v>0</v>
      </c>
      <c r="AD15" s="78">
        <v>0</v>
      </c>
      <c r="AE15" s="78">
        <v>40</v>
      </c>
      <c r="AF15" s="78" t="s">
        <v>309</v>
      </c>
      <c r="AG15" s="78">
        <v>1</v>
      </c>
      <c r="AH15" s="78" t="s">
        <v>878</v>
      </c>
      <c r="AI15" s="78" t="s">
        <v>1006</v>
      </c>
      <c r="AL15" s="78">
        <v>1</v>
      </c>
      <c r="AQ15" s="78" t="s">
        <v>958</v>
      </c>
      <c r="AT15" s="78">
        <v>15</v>
      </c>
      <c r="AU15" s="186" t="s">
        <v>303</v>
      </c>
      <c r="AV15" s="78">
        <v>15</v>
      </c>
      <c r="AX15" s="186" t="s">
        <v>1007</v>
      </c>
      <c r="AY15" s="186" t="s">
        <v>1008</v>
      </c>
    </row>
    <row r="16" spans="1:53" ht="10.8" hidden="1" thickBot="1">
      <c r="A16" s="188">
        <v>16</v>
      </c>
      <c r="B16" s="188" t="s">
        <v>1009</v>
      </c>
      <c r="E16" s="78">
        <v>2</v>
      </c>
      <c r="F16" s="78">
        <v>0.8</v>
      </c>
      <c r="G16" s="188" t="s">
        <v>732</v>
      </c>
      <c r="H16" s="188"/>
      <c r="I16" s="188">
        <v>9</v>
      </c>
      <c r="J16" s="188"/>
      <c r="K16" s="188" t="s">
        <v>927</v>
      </c>
      <c r="L16" s="188"/>
      <c r="M16" s="188" t="s">
        <v>1010</v>
      </c>
      <c r="N16" s="78"/>
      <c r="O16" s="193"/>
      <c r="T16" s="186" t="s">
        <v>1011</v>
      </c>
      <c r="U16" s="78">
        <f t="shared" si="1"/>
        <v>10</v>
      </c>
      <c r="V16" s="186" t="str">
        <f t="shared" si="0"/>
        <v>Plaideur </v>
      </c>
      <c r="AB16" s="78" t="s">
        <v>624</v>
      </c>
      <c r="AC16" s="78">
        <v>0</v>
      </c>
      <c r="AD16" s="78">
        <v>0</v>
      </c>
      <c r="AE16" s="78">
        <v>40</v>
      </c>
      <c r="AF16" s="78" t="s">
        <v>309</v>
      </c>
      <c r="AG16" s="78">
        <v>1</v>
      </c>
      <c r="AH16" s="78" t="s">
        <v>1012</v>
      </c>
      <c r="AI16" s="78" t="s">
        <v>1006</v>
      </c>
      <c r="AL16" s="78">
        <v>2</v>
      </c>
      <c r="AQ16" s="78" t="s">
        <v>958</v>
      </c>
      <c r="AT16" s="78">
        <v>16</v>
      </c>
      <c r="AU16" s="186" t="s">
        <v>320</v>
      </c>
      <c r="AV16" s="78">
        <v>16</v>
      </c>
      <c r="AX16" s="186" t="s">
        <v>222</v>
      </c>
      <c r="AY16" s="186" t="s">
        <v>1013</v>
      </c>
    </row>
    <row r="17" spans="1:51" ht="10.8" hidden="1" thickBot="1">
      <c r="A17" s="188">
        <v>17</v>
      </c>
      <c r="B17" s="188" t="s">
        <v>1014</v>
      </c>
      <c r="E17" s="78">
        <v>2</v>
      </c>
      <c r="F17" s="78">
        <v>0.8</v>
      </c>
      <c r="G17" s="188" t="s">
        <v>909</v>
      </c>
      <c r="H17" s="188"/>
      <c r="I17" s="194">
        <v>11</v>
      </c>
      <c r="J17" s="188"/>
      <c r="K17" s="188" t="s">
        <v>927</v>
      </c>
      <c r="L17" s="188"/>
      <c r="M17" s="188" t="s">
        <v>1015</v>
      </c>
      <c r="N17" s="78"/>
      <c r="O17" s="193"/>
      <c r="T17" s="186" t="s">
        <v>1016</v>
      </c>
      <c r="U17" s="78">
        <f t="shared" si="1"/>
        <v>8</v>
      </c>
      <c r="V17" s="186" t="str">
        <f t="shared" si="0"/>
        <v>Prévôt </v>
      </c>
      <c r="AB17" s="78" t="s">
        <v>624</v>
      </c>
      <c r="AC17" s="78">
        <v>0</v>
      </c>
      <c r="AD17" s="78">
        <v>0</v>
      </c>
      <c r="AE17" s="78">
        <v>40</v>
      </c>
      <c r="AF17" s="78" t="s">
        <v>309</v>
      </c>
      <c r="AG17" s="78">
        <v>1</v>
      </c>
      <c r="AH17" s="78" t="s">
        <v>1012</v>
      </c>
      <c r="AI17" s="78" t="s">
        <v>1006</v>
      </c>
      <c r="AL17" s="78">
        <v>2</v>
      </c>
      <c r="AQ17" s="78" t="s">
        <v>958</v>
      </c>
      <c r="AT17" s="78">
        <v>17</v>
      </c>
      <c r="AU17" s="186" t="s">
        <v>993</v>
      </c>
      <c r="AV17" s="78">
        <v>17</v>
      </c>
      <c r="AX17" s="186" t="s">
        <v>984</v>
      </c>
      <c r="AY17" s="186" t="s">
        <v>34</v>
      </c>
    </row>
    <row r="18" spans="1:51" ht="10.8" hidden="1" thickBot="1">
      <c r="A18" s="188">
        <v>18</v>
      </c>
      <c r="B18" s="188" t="s">
        <v>1017</v>
      </c>
      <c r="E18" s="78">
        <v>2</v>
      </c>
      <c r="F18" s="78">
        <v>0.8</v>
      </c>
      <c r="G18" s="188" t="s">
        <v>732</v>
      </c>
      <c r="H18" s="188"/>
      <c r="I18" s="188">
        <v>8</v>
      </c>
      <c r="J18" s="188"/>
      <c r="K18" s="188" t="s">
        <v>927</v>
      </c>
      <c r="L18" s="188"/>
      <c r="M18" s="188" t="s">
        <v>1018</v>
      </c>
      <c r="N18" s="78"/>
      <c r="O18" s="193"/>
      <c r="T18" s="186" t="s">
        <v>1019</v>
      </c>
      <c r="U18" s="78">
        <f t="shared" si="1"/>
        <v>12</v>
      </c>
      <c r="V18" s="186" t="str">
        <f t="shared" si="0"/>
        <v>Professeur </v>
      </c>
      <c r="AB18" s="78" t="s">
        <v>624</v>
      </c>
      <c r="AC18" s="78">
        <v>0</v>
      </c>
      <c r="AD18" s="78">
        <v>0</v>
      </c>
      <c r="AE18" s="78">
        <v>40</v>
      </c>
      <c r="AF18" s="78" t="s">
        <v>309</v>
      </c>
      <c r="AG18" s="78">
        <v>1</v>
      </c>
      <c r="AH18" s="78" t="s">
        <v>1012</v>
      </c>
      <c r="AI18" s="78" t="s">
        <v>1006</v>
      </c>
      <c r="AL18" s="78">
        <v>2</v>
      </c>
      <c r="AQ18" s="78" t="s">
        <v>958</v>
      </c>
      <c r="AT18" s="78">
        <v>18</v>
      </c>
      <c r="AU18" s="186" t="s">
        <v>280</v>
      </c>
      <c r="AV18" s="78">
        <v>18</v>
      </c>
      <c r="AX18" s="186" t="s">
        <v>1020</v>
      </c>
      <c r="AY18" s="186" t="s">
        <v>1021</v>
      </c>
    </row>
    <row r="19" spans="1:51" ht="10.8" hidden="1" thickBot="1">
      <c r="A19" s="188">
        <v>19</v>
      </c>
      <c r="B19" s="188" t="s">
        <v>1022</v>
      </c>
      <c r="E19" s="78">
        <v>2</v>
      </c>
      <c r="F19" s="78">
        <v>0.8</v>
      </c>
      <c r="G19" s="194" t="s">
        <v>909</v>
      </c>
      <c r="H19" s="188"/>
      <c r="I19" s="194">
        <v>12</v>
      </c>
      <c r="J19" s="188"/>
      <c r="K19" s="188" t="s">
        <v>947</v>
      </c>
      <c r="L19" s="188"/>
      <c r="M19" s="188" t="s">
        <v>1023</v>
      </c>
      <c r="N19" s="78"/>
      <c r="O19" s="193"/>
      <c r="T19" s="186" t="s">
        <v>1024</v>
      </c>
      <c r="U19" s="78">
        <f t="shared" si="1"/>
        <v>9</v>
      </c>
      <c r="V19" s="186" t="str">
        <f t="shared" si="0"/>
        <v>Rentier </v>
      </c>
      <c r="AB19" s="78" t="s">
        <v>624</v>
      </c>
      <c r="AC19" s="78">
        <v>0</v>
      </c>
      <c r="AD19" s="78">
        <v>0</v>
      </c>
      <c r="AE19" s="78">
        <v>40</v>
      </c>
      <c r="AF19" s="78" t="s">
        <v>309</v>
      </c>
      <c r="AG19" s="78">
        <v>1</v>
      </c>
      <c r="AH19" s="78" t="s">
        <v>1012</v>
      </c>
      <c r="AI19" s="78" t="s">
        <v>1006</v>
      </c>
      <c r="AL19" s="78">
        <v>2</v>
      </c>
      <c r="AQ19" s="78" t="s">
        <v>958</v>
      </c>
      <c r="AT19" s="78">
        <v>19</v>
      </c>
      <c r="AU19" s="186" t="s">
        <v>919</v>
      </c>
      <c r="AV19" s="78">
        <v>19</v>
      </c>
      <c r="AX19" s="186" t="s">
        <v>1025</v>
      </c>
      <c r="AY19" s="186" t="s">
        <v>1026</v>
      </c>
    </row>
    <row r="20" spans="1:51" ht="10.8" hidden="1" thickBot="1">
      <c r="A20" s="188">
        <v>20</v>
      </c>
      <c r="B20" s="188" t="s">
        <v>1027</v>
      </c>
      <c r="E20" s="78">
        <v>2</v>
      </c>
      <c r="F20" s="78">
        <v>0.8</v>
      </c>
      <c r="G20" s="196" t="s">
        <v>1028</v>
      </c>
      <c r="H20" s="188"/>
      <c r="I20" s="196" t="s">
        <v>1029</v>
      </c>
      <c r="J20" s="194"/>
      <c r="K20" s="196" t="s">
        <v>1030</v>
      </c>
      <c r="L20" s="188"/>
      <c r="M20" s="194" t="s">
        <v>1031</v>
      </c>
      <c r="N20" s="78"/>
      <c r="O20" s="204"/>
      <c r="T20" s="186" t="s">
        <v>1032</v>
      </c>
      <c r="U20" s="78">
        <f t="shared" si="1"/>
        <v>10</v>
      </c>
      <c r="V20" s="187" t="str">
        <f t="shared" si="0"/>
        <v>Sénéchal </v>
      </c>
      <c r="AB20" s="78" t="s">
        <v>624</v>
      </c>
      <c r="AC20" s="78">
        <v>0</v>
      </c>
      <c r="AD20" s="78">
        <v>0</v>
      </c>
      <c r="AE20" s="78">
        <v>40</v>
      </c>
      <c r="AF20" s="78" t="s">
        <v>309</v>
      </c>
      <c r="AG20" s="78">
        <v>1</v>
      </c>
      <c r="AH20" s="78" t="s">
        <v>1012</v>
      </c>
      <c r="AI20" s="78" t="s">
        <v>1033</v>
      </c>
      <c r="AL20" s="78">
        <v>2</v>
      </c>
      <c r="AQ20" s="78" t="s">
        <v>958</v>
      </c>
      <c r="AT20" s="78">
        <v>20</v>
      </c>
      <c r="AU20" s="186" t="s">
        <v>948</v>
      </c>
      <c r="AV20" s="78">
        <v>20</v>
      </c>
      <c r="AX20" s="186" t="s">
        <v>1034</v>
      </c>
      <c r="AY20" s="78" t="s">
        <v>38</v>
      </c>
    </row>
    <row r="21" spans="1:51" ht="10.8" hidden="1" thickBot="1">
      <c r="A21" s="188">
        <v>21</v>
      </c>
      <c r="B21" s="188" t="s">
        <v>989</v>
      </c>
      <c r="E21" s="78">
        <v>2</v>
      </c>
      <c r="F21" s="78">
        <v>0.8</v>
      </c>
      <c r="H21" s="188"/>
      <c r="J21" s="196"/>
      <c r="K21" s="196"/>
      <c r="L21" s="196"/>
      <c r="M21" s="205" t="s">
        <v>1035</v>
      </c>
      <c r="N21" s="78"/>
      <c r="O21" s="206"/>
      <c r="U21" s="78" t="e">
        <f t="shared" si="1"/>
        <v>#VALUE!</v>
      </c>
      <c r="V21" s="187" t="e">
        <f t="shared" si="0"/>
        <v>#VALUE!</v>
      </c>
      <c r="AB21" s="78" t="s">
        <v>624</v>
      </c>
      <c r="AC21" s="78">
        <v>0</v>
      </c>
      <c r="AD21" s="78">
        <v>0</v>
      </c>
      <c r="AE21" s="78">
        <v>40</v>
      </c>
      <c r="AF21" s="78" t="s">
        <v>309</v>
      </c>
      <c r="AG21" s="78">
        <v>1</v>
      </c>
      <c r="AH21" s="78" t="s">
        <v>1012</v>
      </c>
      <c r="AI21" s="78" t="s">
        <v>1033</v>
      </c>
      <c r="AL21" s="78">
        <v>2</v>
      </c>
      <c r="AQ21" s="78" t="s">
        <v>958</v>
      </c>
      <c r="AT21" s="78">
        <v>21</v>
      </c>
      <c r="AU21" s="186" t="s">
        <v>135</v>
      </c>
      <c r="AV21" s="78">
        <v>21</v>
      </c>
      <c r="AX21" s="186" t="s">
        <v>997</v>
      </c>
      <c r="AY21" s="186" t="s">
        <v>1036</v>
      </c>
    </row>
    <row r="22" spans="1:51" ht="10.8" hidden="1" thickBot="1">
      <c r="A22" s="188">
        <v>22</v>
      </c>
      <c r="B22" s="188" t="s">
        <v>685</v>
      </c>
      <c r="E22" s="78">
        <v>2</v>
      </c>
      <c r="F22" s="78">
        <v>0.8</v>
      </c>
      <c r="H22" s="188"/>
      <c r="M22" s="78" t="s">
        <v>1037</v>
      </c>
      <c r="N22" s="78"/>
      <c r="U22" s="78" t="e">
        <f t="shared" si="1"/>
        <v>#VALUE!</v>
      </c>
      <c r="V22" s="187" t="e">
        <f t="shared" si="0"/>
        <v>#VALUE!</v>
      </c>
      <c r="AB22" s="78" t="s">
        <v>624</v>
      </c>
      <c r="AC22" s="78">
        <v>0</v>
      </c>
      <c r="AD22" s="78">
        <v>0</v>
      </c>
      <c r="AE22" s="78">
        <v>40</v>
      </c>
      <c r="AF22" s="78" t="s">
        <v>309</v>
      </c>
      <c r="AG22" s="78">
        <v>1</v>
      </c>
      <c r="AH22" s="78" t="s">
        <v>1012</v>
      </c>
      <c r="AI22" s="78" t="s">
        <v>1033</v>
      </c>
      <c r="AL22" s="78">
        <v>2</v>
      </c>
      <c r="AQ22" s="78" t="s">
        <v>958</v>
      </c>
      <c r="AT22" s="78">
        <v>22</v>
      </c>
      <c r="AU22" s="186" t="s">
        <v>956</v>
      </c>
      <c r="AV22" s="78">
        <v>22</v>
      </c>
      <c r="AX22" s="106" t="s">
        <v>1038</v>
      </c>
      <c r="AY22" s="186" t="s">
        <v>1039</v>
      </c>
    </row>
    <row r="23" spans="1:51" ht="10.8" hidden="1" thickBot="1">
      <c r="A23" s="188">
        <v>23</v>
      </c>
      <c r="B23" s="188" t="s">
        <v>1040</v>
      </c>
      <c r="E23" s="78">
        <v>2</v>
      </c>
      <c r="F23" s="78">
        <v>0.8</v>
      </c>
      <c r="H23" s="188"/>
      <c r="M23" s="78" t="s">
        <v>1041</v>
      </c>
      <c r="U23" s="78" t="e">
        <f t="shared" si="1"/>
        <v>#VALUE!</v>
      </c>
      <c r="V23" s="187" t="e">
        <f t="shared" si="0"/>
        <v>#VALUE!</v>
      </c>
      <c r="AB23" s="78" t="s">
        <v>624</v>
      </c>
      <c r="AC23" s="78">
        <v>0</v>
      </c>
      <c r="AD23" s="78">
        <v>0</v>
      </c>
      <c r="AE23" s="78">
        <v>40</v>
      </c>
      <c r="AF23" s="78" t="s">
        <v>309</v>
      </c>
      <c r="AG23" s="78">
        <v>1</v>
      </c>
      <c r="AH23" s="78" t="s">
        <v>1012</v>
      </c>
      <c r="AI23" s="78" t="s">
        <v>1033</v>
      </c>
      <c r="AL23" s="78">
        <v>2</v>
      </c>
      <c r="AQ23" s="78" t="s">
        <v>958</v>
      </c>
      <c r="AT23" s="78">
        <v>23</v>
      </c>
      <c r="AU23" s="186" t="s">
        <v>1025</v>
      </c>
      <c r="AV23" s="78">
        <v>23</v>
      </c>
      <c r="AY23" s="186" t="s">
        <v>1042</v>
      </c>
    </row>
    <row r="24" spans="1:51" ht="10.8" hidden="1" thickBot="1">
      <c r="A24" s="188">
        <v>24</v>
      </c>
      <c r="B24" s="188" t="s">
        <v>1043</v>
      </c>
      <c r="E24" s="78">
        <v>2</v>
      </c>
      <c r="F24" s="78">
        <v>0.8</v>
      </c>
      <c r="H24" s="188"/>
      <c r="M24" s="78" t="s">
        <v>1044</v>
      </c>
      <c r="U24" s="78" t="e">
        <f t="shared" si="1"/>
        <v>#VALUE!</v>
      </c>
      <c r="V24" s="187" t="e">
        <f t="shared" si="0"/>
        <v>#VALUE!</v>
      </c>
      <c r="AB24" s="78" t="s">
        <v>624</v>
      </c>
      <c r="AC24" s="78">
        <v>0</v>
      </c>
      <c r="AD24" s="78">
        <v>0</v>
      </c>
      <c r="AE24" s="78">
        <v>40</v>
      </c>
      <c r="AF24" s="78" t="s">
        <v>309</v>
      </c>
      <c r="AG24" s="78">
        <v>1</v>
      </c>
      <c r="AH24" s="78" t="s">
        <v>1012</v>
      </c>
      <c r="AI24" s="78" t="s">
        <v>1033</v>
      </c>
      <c r="AL24" s="78">
        <v>2</v>
      </c>
      <c r="AQ24" s="78" t="s">
        <v>958</v>
      </c>
      <c r="AT24" s="78">
        <v>24</v>
      </c>
      <c r="AU24" s="186" t="s">
        <v>970</v>
      </c>
      <c r="AV24" s="78">
        <v>24</v>
      </c>
      <c r="AY24" s="186" t="s">
        <v>1045</v>
      </c>
    </row>
    <row r="25" spans="1:51" ht="10.8" hidden="1" thickBot="1">
      <c r="A25" s="188">
        <v>25</v>
      </c>
      <c r="B25" s="188" t="s">
        <v>999</v>
      </c>
      <c r="E25" s="78">
        <v>2</v>
      </c>
      <c r="F25" s="78">
        <v>0.8</v>
      </c>
      <c r="H25" s="188"/>
      <c r="M25" s="78" t="s">
        <v>1046</v>
      </c>
      <c r="U25" s="78" t="e">
        <f t="shared" si="1"/>
        <v>#VALUE!</v>
      </c>
      <c r="V25" s="187" t="e">
        <f t="shared" si="0"/>
        <v>#VALUE!</v>
      </c>
      <c r="AB25" s="78" t="s">
        <v>624</v>
      </c>
      <c r="AC25" s="78">
        <v>0</v>
      </c>
      <c r="AD25" s="78">
        <v>0</v>
      </c>
      <c r="AE25" s="78">
        <v>40</v>
      </c>
      <c r="AF25" s="78" t="s">
        <v>309</v>
      </c>
      <c r="AG25" s="78">
        <v>1</v>
      </c>
      <c r="AH25" s="78" t="s">
        <v>1012</v>
      </c>
      <c r="AI25" s="78" t="s">
        <v>1033</v>
      </c>
      <c r="AL25" s="78">
        <v>2</v>
      </c>
      <c r="AQ25" s="78" t="s">
        <v>958</v>
      </c>
      <c r="AT25" s="78">
        <v>25</v>
      </c>
      <c r="AU25" s="186" t="s">
        <v>1001</v>
      </c>
      <c r="AV25" s="78">
        <v>25</v>
      </c>
      <c r="AY25" s="186" t="s">
        <v>1047</v>
      </c>
    </row>
    <row r="26" spans="1:51" ht="10.8" hidden="1" thickBot="1">
      <c r="A26" s="188">
        <v>26</v>
      </c>
      <c r="B26" s="194" t="s">
        <v>1048</v>
      </c>
      <c r="E26" s="78">
        <v>2</v>
      </c>
      <c r="F26" s="78">
        <v>0.8</v>
      </c>
      <c r="H26" s="188"/>
      <c r="M26" s="78" t="s">
        <v>1049</v>
      </c>
      <c r="U26" s="78" t="e">
        <f t="shared" si="1"/>
        <v>#VALUE!</v>
      </c>
      <c r="V26" s="187" t="e">
        <f t="shared" si="0"/>
        <v>#VALUE!</v>
      </c>
      <c r="AB26" s="78" t="s">
        <v>624</v>
      </c>
      <c r="AC26" s="78">
        <v>0</v>
      </c>
      <c r="AD26" s="78">
        <v>0</v>
      </c>
      <c r="AE26" s="78">
        <v>40</v>
      </c>
      <c r="AF26" s="78" t="s">
        <v>309</v>
      </c>
      <c r="AG26" s="78">
        <v>1</v>
      </c>
      <c r="AH26" s="78" t="s">
        <v>1012</v>
      </c>
      <c r="AI26" s="78" t="s">
        <v>1033</v>
      </c>
      <c r="AL26" s="78">
        <v>2</v>
      </c>
      <c r="AQ26" s="78" t="s">
        <v>1050</v>
      </c>
      <c r="AT26" s="78">
        <v>26</v>
      </c>
      <c r="AU26" s="186" t="s">
        <v>1034</v>
      </c>
      <c r="AV26" s="78">
        <v>26</v>
      </c>
      <c r="AY26" s="186" t="s">
        <v>152</v>
      </c>
    </row>
    <row r="27" spans="1:51" ht="10.8" hidden="1" thickBot="1">
      <c r="A27" s="188">
        <v>27</v>
      </c>
      <c r="B27" s="106" t="s">
        <v>1051</v>
      </c>
      <c r="E27" s="78">
        <v>2</v>
      </c>
      <c r="F27" s="78">
        <v>0.8</v>
      </c>
      <c r="H27" s="188"/>
      <c r="M27" s="78" t="s">
        <v>1052</v>
      </c>
      <c r="U27" s="78" t="e">
        <f t="shared" si="1"/>
        <v>#VALUE!</v>
      </c>
      <c r="V27" s="187" t="e">
        <f t="shared" si="0"/>
        <v>#VALUE!</v>
      </c>
      <c r="AB27" s="78" t="s">
        <v>624</v>
      </c>
      <c r="AC27" s="78">
        <v>0</v>
      </c>
      <c r="AD27" s="78">
        <v>0</v>
      </c>
      <c r="AE27" s="78">
        <v>40</v>
      </c>
      <c r="AF27" s="78" t="s">
        <v>309</v>
      </c>
      <c r="AG27" s="78">
        <v>1</v>
      </c>
      <c r="AH27" s="78" t="s">
        <v>1012</v>
      </c>
      <c r="AI27" s="78" t="s">
        <v>1033</v>
      </c>
      <c r="AL27" s="78">
        <v>2</v>
      </c>
      <c r="AT27" s="78">
        <v>27</v>
      </c>
      <c r="AU27" s="186" t="s">
        <v>1007</v>
      </c>
      <c r="AV27" s="78">
        <v>27</v>
      </c>
      <c r="AY27" s="186" t="s">
        <v>25</v>
      </c>
    </row>
    <row r="28" spans="1:51" ht="10.8" hidden="1" thickBot="1">
      <c r="A28" s="188">
        <v>28</v>
      </c>
      <c r="E28" s="78">
        <v>2</v>
      </c>
      <c r="F28" s="78">
        <v>0.8</v>
      </c>
      <c r="H28" s="188"/>
      <c r="M28" s="78" t="s">
        <v>1053</v>
      </c>
      <c r="U28" s="78" t="e">
        <f t="shared" si="1"/>
        <v>#VALUE!</v>
      </c>
      <c r="V28" s="187" t="e">
        <f t="shared" si="0"/>
        <v>#VALUE!</v>
      </c>
      <c r="AB28" s="78" t="s">
        <v>624</v>
      </c>
      <c r="AC28" s="78">
        <v>0</v>
      </c>
      <c r="AD28" s="78">
        <v>0</v>
      </c>
      <c r="AE28" s="78">
        <v>40</v>
      </c>
      <c r="AF28" s="78" t="s">
        <v>309</v>
      </c>
      <c r="AG28" s="78">
        <v>1</v>
      </c>
      <c r="AH28" s="78" t="s">
        <v>1012</v>
      </c>
      <c r="AI28" s="78" t="s">
        <v>1033</v>
      </c>
      <c r="AL28" s="78">
        <v>2</v>
      </c>
      <c r="AT28" s="78">
        <v>28</v>
      </c>
      <c r="AU28" s="186" t="s">
        <v>985</v>
      </c>
      <c r="AV28" s="78">
        <v>28</v>
      </c>
      <c r="AY28" s="78" t="s">
        <v>17</v>
      </c>
    </row>
    <row r="29" spans="1:51" ht="10.8" hidden="1" thickBot="1">
      <c r="A29" s="188">
        <v>29</v>
      </c>
      <c r="E29" s="78">
        <v>2</v>
      </c>
      <c r="F29" s="78">
        <v>0.8</v>
      </c>
      <c r="H29" s="188"/>
      <c r="M29" s="78" t="s">
        <v>1053</v>
      </c>
      <c r="U29" s="78" t="e">
        <f t="shared" si="1"/>
        <v>#VALUE!</v>
      </c>
      <c r="V29" s="187" t="e">
        <f t="shared" si="0"/>
        <v>#VALUE!</v>
      </c>
      <c r="AB29" s="78" t="s">
        <v>624</v>
      </c>
      <c r="AC29" s="78">
        <v>0</v>
      </c>
      <c r="AD29" s="78">
        <v>0</v>
      </c>
      <c r="AE29" s="78">
        <v>40</v>
      </c>
      <c r="AF29" s="78" t="s">
        <v>309</v>
      </c>
      <c r="AG29" s="78">
        <v>1</v>
      </c>
      <c r="AH29" s="78" t="s">
        <v>1012</v>
      </c>
      <c r="AI29" s="78" t="s">
        <v>1033</v>
      </c>
      <c r="AL29" s="78">
        <v>2</v>
      </c>
      <c r="AT29" s="78">
        <v>29</v>
      </c>
      <c r="AU29" s="186" t="s">
        <v>1020</v>
      </c>
      <c r="AV29" s="78">
        <v>29</v>
      </c>
      <c r="AY29" s="186" t="s">
        <v>1054</v>
      </c>
    </row>
    <row r="30" spans="1:51" ht="10.8" hidden="1" thickBot="1">
      <c r="A30" s="188">
        <v>30</v>
      </c>
      <c r="E30" s="78">
        <v>2</v>
      </c>
      <c r="F30" s="78">
        <v>0.8</v>
      </c>
      <c r="H30" s="188"/>
      <c r="M30" s="78" t="s">
        <v>1053</v>
      </c>
      <c r="U30" s="78" t="e">
        <f t="shared" si="1"/>
        <v>#VALUE!</v>
      </c>
      <c r="V30" s="187" t="e">
        <f t="shared" si="0"/>
        <v>#VALUE!</v>
      </c>
      <c r="AB30" s="78" t="s">
        <v>624</v>
      </c>
      <c r="AC30" s="78">
        <v>0</v>
      </c>
      <c r="AD30" s="78">
        <v>0</v>
      </c>
      <c r="AE30" s="78">
        <v>40</v>
      </c>
      <c r="AF30" s="78" t="s">
        <v>309</v>
      </c>
      <c r="AG30" s="78">
        <v>1</v>
      </c>
      <c r="AH30" s="78" t="s">
        <v>1012</v>
      </c>
      <c r="AI30" s="78" t="s">
        <v>1033</v>
      </c>
      <c r="AL30" s="78">
        <v>2</v>
      </c>
      <c r="AT30" s="78">
        <v>30</v>
      </c>
      <c r="AU30" s="186" t="s">
        <v>22</v>
      </c>
      <c r="AV30" s="78">
        <v>30</v>
      </c>
      <c r="AY30" s="186" t="s">
        <v>968</v>
      </c>
    </row>
    <row r="31" spans="1:51" ht="10.8" hidden="1" thickBot="1">
      <c r="A31" s="188">
        <v>31</v>
      </c>
      <c r="C31" s="207"/>
      <c r="E31" s="78">
        <v>3</v>
      </c>
      <c r="F31" s="78">
        <v>0.8</v>
      </c>
      <c r="H31" s="188"/>
      <c r="M31" s="78" t="s">
        <v>1055</v>
      </c>
      <c r="U31" s="78" t="e">
        <f t="shared" si="1"/>
        <v>#VALUE!</v>
      </c>
      <c r="V31" s="187" t="e">
        <f t="shared" si="0"/>
        <v>#VALUE!</v>
      </c>
      <c r="AB31" s="78" t="s">
        <v>624</v>
      </c>
      <c r="AC31" s="78">
        <v>0</v>
      </c>
      <c r="AD31" s="78">
        <v>0</v>
      </c>
      <c r="AE31" s="78">
        <v>40</v>
      </c>
      <c r="AF31" s="78" t="s">
        <v>309</v>
      </c>
      <c r="AG31" s="78">
        <v>1</v>
      </c>
      <c r="AH31" s="78" t="s">
        <v>1012</v>
      </c>
      <c r="AI31" s="78" t="s">
        <v>1056</v>
      </c>
      <c r="AL31" s="78">
        <v>3</v>
      </c>
      <c r="AT31" s="78">
        <v>31</v>
      </c>
      <c r="AU31" s="186" t="s">
        <v>896</v>
      </c>
      <c r="AV31" s="78">
        <v>31</v>
      </c>
      <c r="AY31" s="186" t="s">
        <v>1057</v>
      </c>
    </row>
    <row r="32" spans="1:51" ht="10.8" hidden="1" thickBot="1">
      <c r="A32" s="188">
        <v>32</v>
      </c>
      <c r="C32" s="207"/>
      <c r="E32" s="78">
        <v>3</v>
      </c>
      <c r="F32" s="78">
        <v>0.8</v>
      </c>
      <c r="H32" s="188"/>
      <c r="M32" s="78" t="s">
        <v>1055</v>
      </c>
      <c r="U32" s="78" t="e">
        <f t="shared" si="1"/>
        <v>#VALUE!</v>
      </c>
      <c r="V32" s="187" t="e">
        <f t="shared" si="0"/>
        <v>#VALUE!</v>
      </c>
      <c r="AB32" s="78" t="s">
        <v>624</v>
      </c>
      <c r="AC32" s="78">
        <v>0</v>
      </c>
      <c r="AD32" s="78">
        <v>0</v>
      </c>
      <c r="AE32" s="78">
        <v>40</v>
      </c>
      <c r="AF32" s="78" t="s">
        <v>309</v>
      </c>
      <c r="AG32" s="78">
        <v>1</v>
      </c>
      <c r="AH32" s="78" t="s">
        <v>1012</v>
      </c>
      <c r="AI32" s="78" t="s">
        <v>1056</v>
      </c>
      <c r="AL32" s="78">
        <v>3</v>
      </c>
      <c r="AT32" s="78">
        <v>32</v>
      </c>
      <c r="AU32" s="78" t="s">
        <v>17</v>
      </c>
      <c r="AV32" s="78">
        <v>32</v>
      </c>
      <c r="AY32" s="78" t="s">
        <v>1058</v>
      </c>
    </row>
    <row r="33" spans="1:48" ht="10.8" hidden="1" thickBot="1">
      <c r="A33" s="188">
        <v>33</v>
      </c>
      <c r="C33" s="207"/>
      <c r="E33" s="78">
        <v>3</v>
      </c>
      <c r="F33" s="78">
        <v>0.8</v>
      </c>
      <c r="H33" s="188"/>
      <c r="M33" s="78" t="s">
        <v>1059</v>
      </c>
      <c r="U33" s="78" t="e">
        <f t="shared" si="1"/>
        <v>#VALUE!</v>
      </c>
      <c r="V33" s="187" t="e">
        <f t="shared" si="0"/>
        <v>#VALUE!</v>
      </c>
      <c r="AB33" s="78" t="s">
        <v>624</v>
      </c>
      <c r="AC33" s="78">
        <v>0</v>
      </c>
      <c r="AD33" s="78">
        <v>0</v>
      </c>
      <c r="AE33" s="78">
        <v>40</v>
      </c>
      <c r="AF33" s="78" t="s">
        <v>309</v>
      </c>
      <c r="AG33" s="78">
        <v>1</v>
      </c>
      <c r="AH33" s="78" t="s">
        <v>1012</v>
      </c>
      <c r="AI33" s="78" t="s">
        <v>1056</v>
      </c>
      <c r="AL33" s="78">
        <v>3</v>
      </c>
      <c r="AT33" s="78">
        <v>33</v>
      </c>
      <c r="AU33" s="186" t="s">
        <v>152</v>
      </c>
      <c r="AV33" s="78">
        <v>33</v>
      </c>
    </row>
    <row r="34" spans="1:48" ht="10.8" hidden="1" thickBot="1">
      <c r="A34" s="188">
        <v>34</v>
      </c>
      <c r="C34" s="207"/>
      <c r="E34" s="78">
        <v>3</v>
      </c>
      <c r="F34" s="78">
        <v>0.8</v>
      </c>
      <c r="H34" s="188"/>
      <c r="M34" s="78" t="s">
        <v>1060</v>
      </c>
      <c r="U34" s="78" t="e">
        <f t="shared" si="1"/>
        <v>#VALUE!</v>
      </c>
      <c r="V34" s="187" t="e">
        <f t="shared" si="0"/>
        <v>#VALUE!</v>
      </c>
      <c r="AB34" s="78" t="s">
        <v>624</v>
      </c>
      <c r="AC34" s="78">
        <v>0</v>
      </c>
      <c r="AD34" s="78">
        <v>0</v>
      </c>
      <c r="AE34" s="78">
        <v>40</v>
      </c>
      <c r="AF34" s="78" t="s">
        <v>309</v>
      </c>
      <c r="AG34" s="78">
        <v>1</v>
      </c>
      <c r="AH34" s="78" t="s">
        <v>1012</v>
      </c>
      <c r="AI34" s="78" t="s">
        <v>1056</v>
      </c>
      <c r="AL34" s="78">
        <v>3</v>
      </c>
      <c r="AT34" s="78">
        <v>34</v>
      </c>
      <c r="AU34" s="186" t="s">
        <v>87</v>
      </c>
      <c r="AV34" s="78">
        <v>34</v>
      </c>
    </row>
    <row r="35" spans="1:48" ht="10.8" hidden="1" thickBot="1">
      <c r="A35" s="188">
        <v>35</v>
      </c>
      <c r="C35" s="207"/>
      <c r="E35" s="78">
        <v>3</v>
      </c>
      <c r="F35" s="78">
        <v>0.8</v>
      </c>
      <c r="H35" s="188"/>
      <c r="M35" s="78" t="s">
        <v>1061</v>
      </c>
      <c r="U35" s="78" t="e">
        <f t="shared" si="1"/>
        <v>#VALUE!</v>
      </c>
      <c r="V35" s="187" t="e">
        <f t="shared" si="0"/>
        <v>#VALUE!</v>
      </c>
      <c r="AB35" s="78" t="s">
        <v>624</v>
      </c>
      <c r="AC35" s="78">
        <v>0</v>
      </c>
      <c r="AD35" s="78">
        <v>0</v>
      </c>
      <c r="AE35" s="78">
        <v>40</v>
      </c>
      <c r="AF35" s="78" t="s">
        <v>309</v>
      </c>
      <c r="AG35" s="78">
        <v>1</v>
      </c>
      <c r="AH35" s="78" t="s">
        <v>1012</v>
      </c>
      <c r="AI35" s="78" t="s">
        <v>1056</v>
      </c>
      <c r="AL35" s="78">
        <v>3</v>
      </c>
      <c r="AT35" s="78">
        <v>35</v>
      </c>
      <c r="AU35" s="186" t="s">
        <v>546</v>
      </c>
      <c r="AV35" s="78">
        <v>35</v>
      </c>
    </row>
    <row r="36" spans="1:48" ht="10.8" hidden="1" thickBot="1">
      <c r="A36" s="188">
        <v>36</v>
      </c>
      <c r="C36" s="207"/>
      <c r="E36" s="78">
        <v>3</v>
      </c>
      <c r="F36" s="78">
        <v>0.8</v>
      </c>
      <c r="H36" s="188"/>
      <c r="M36" s="78" t="s">
        <v>1061</v>
      </c>
      <c r="U36" s="78" t="e">
        <f t="shared" si="1"/>
        <v>#VALUE!</v>
      </c>
      <c r="V36" s="187" t="e">
        <f t="shared" si="0"/>
        <v>#VALUE!</v>
      </c>
      <c r="AB36" s="78" t="s">
        <v>624</v>
      </c>
      <c r="AC36" s="78">
        <v>0</v>
      </c>
      <c r="AD36" s="78">
        <v>0</v>
      </c>
      <c r="AE36" s="78">
        <v>40</v>
      </c>
      <c r="AF36" s="78" t="s">
        <v>309</v>
      </c>
      <c r="AG36" s="78">
        <v>1</v>
      </c>
      <c r="AH36" s="78" t="s">
        <v>1012</v>
      </c>
      <c r="AI36" s="78" t="s">
        <v>1062</v>
      </c>
      <c r="AL36" s="78">
        <v>3</v>
      </c>
      <c r="AT36" s="78">
        <v>36</v>
      </c>
      <c r="AU36" s="186" t="s">
        <v>908</v>
      </c>
      <c r="AV36" s="78">
        <v>36</v>
      </c>
    </row>
    <row r="37" spans="1:48" ht="10.8" hidden="1" thickBot="1">
      <c r="A37" s="188">
        <v>37</v>
      </c>
      <c r="C37" s="207"/>
      <c r="E37" s="78">
        <v>3</v>
      </c>
      <c r="F37" s="78">
        <v>0.8</v>
      </c>
      <c r="H37" s="188"/>
      <c r="M37" s="78" t="s">
        <v>1063</v>
      </c>
      <c r="U37" s="78" t="e">
        <f t="shared" si="1"/>
        <v>#VALUE!</v>
      </c>
      <c r="V37" s="187" t="e">
        <f t="shared" si="0"/>
        <v>#VALUE!</v>
      </c>
      <c r="AB37" s="78" t="s">
        <v>624</v>
      </c>
      <c r="AC37" s="78">
        <v>0</v>
      </c>
      <c r="AD37" s="78">
        <v>0</v>
      </c>
      <c r="AE37" s="78">
        <v>40</v>
      </c>
      <c r="AF37" s="78" t="s">
        <v>309</v>
      </c>
      <c r="AG37" s="78">
        <v>1</v>
      </c>
      <c r="AH37" s="78" t="s">
        <v>1012</v>
      </c>
      <c r="AI37" s="78" t="s">
        <v>1062</v>
      </c>
      <c r="AL37" s="78">
        <v>3</v>
      </c>
      <c r="AT37" s="78">
        <v>37</v>
      </c>
      <c r="AU37" s="186" t="s">
        <v>949</v>
      </c>
      <c r="AV37" s="78">
        <v>37</v>
      </c>
    </row>
    <row r="38" spans="1:48" ht="10.8" hidden="1" thickBot="1">
      <c r="A38" s="188">
        <v>38</v>
      </c>
      <c r="C38" s="207"/>
      <c r="E38" s="78">
        <v>3</v>
      </c>
      <c r="F38" s="78">
        <v>0.8</v>
      </c>
      <c r="H38" s="188"/>
      <c r="M38" s="78" t="s">
        <v>1052</v>
      </c>
      <c r="U38" s="78" t="e">
        <f t="shared" si="1"/>
        <v>#VALUE!</v>
      </c>
      <c r="V38" s="187" t="e">
        <f t="shared" si="0"/>
        <v>#VALUE!</v>
      </c>
      <c r="AB38" s="78" t="s">
        <v>624</v>
      </c>
      <c r="AC38" s="78">
        <v>0</v>
      </c>
      <c r="AD38" s="78">
        <v>0</v>
      </c>
      <c r="AE38" s="78">
        <v>40</v>
      </c>
      <c r="AF38" s="78" t="s">
        <v>309</v>
      </c>
      <c r="AG38" s="78">
        <v>1</v>
      </c>
      <c r="AH38" s="78" t="s">
        <v>1012</v>
      </c>
      <c r="AI38" s="78" t="s">
        <v>1062</v>
      </c>
      <c r="AL38" s="78">
        <v>3</v>
      </c>
      <c r="AT38" s="78">
        <v>38</v>
      </c>
      <c r="AU38" s="186" t="s">
        <v>1002</v>
      </c>
      <c r="AV38" s="78">
        <v>38</v>
      </c>
    </row>
    <row r="39" spans="1:48" ht="10.8" hidden="1" thickBot="1">
      <c r="A39" s="188">
        <v>39</v>
      </c>
      <c r="C39" s="207"/>
      <c r="E39" s="78">
        <v>3</v>
      </c>
      <c r="F39" s="78">
        <v>0.8</v>
      </c>
      <c r="H39" s="188"/>
      <c r="M39" s="78" t="s">
        <v>1064</v>
      </c>
      <c r="U39" s="78" t="e">
        <f t="shared" si="1"/>
        <v>#VALUE!</v>
      </c>
      <c r="V39" s="187" t="e">
        <f t="shared" si="0"/>
        <v>#VALUE!</v>
      </c>
      <c r="AB39" s="78" t="s">
        <v>624</v>
      </c>
      <c r="AC39" s="78">
        <v>0</v>
      </c>
      <c r="AD39" s="78">
        <v>0</v>
      </c>
      <c r="AE39" s="78">
        <v>40</v>
      </c>
      <c r="AF39" s="78" t="s">
        <v>309</v>
      </c>
      <c r="AG39" s="78">
        <v>1</v>
      </c>
      <c r="AH39" s="78" t="s">
        <v>1012</v>
      </c>
      <c r="AI39" s="78" t="s">
        <v>1062</v>
      </c>
      <c r="AL39" s="78">
        <v>3</v>
      </c>
      <c r="AT39" s="78">
        <v>39</v>
      </c>
      <c r="AU39" s="186" t="s">
        <v>1036</v>
      </c>
      <c r="AV39" s="78">
        <v>39</v>
      </c>
    </row>
    <row r="40" spans="1:48" ht="10.8" hidden="1" thickBot="1">
      <c r="A40" s="188">
        <v>40</v>
      </c>
      <c r="C40" s="207"/>
      <c r="E40" s="78">
        <v>3</v>
      </c>
      <c r="F40" s="208">
        <v>1</v>
      </c>
      <c r="H40" s="188"/>
      <c r="M40" s="78" t="s">
        <v>1065</v>
      </c>
      <c r="U40" s="78" t="e">
        <f t="shared" si="1"/>
        <v>#VALUE!</v>
      </c>
      <c r="V40" s="187" t="e">
        <f t="shared" si="0"/>
        <v>#VALUE!</v>
      </c>
      <c r="AB40" s="78" t="s">
        <v>624</v>
      </c>
      <c r="AC40" s="78">
        <v>0</v>
      </c>
      <c r="AD40" s="78">
        <v>0</v>
      </c>
      <c r="AE40" s="78">
        <v>40</v>
      </c>
      <c r="AF40" s="78" t="s">
        <v>309</v>
      </c>
      <c r="AG40" s="78">
        <v>1</v>
      </c>
      <c r="AH40" s="78" t="s">
        <v>1012</v>
      </c>
      <c r="AI40" s="78" t="s">
        <v>1062</v>
      </c>
      <c r="AL40" s="78">
        <v>3</v>
      </c>
      <c r="AT40" s="78">
        <v>40</v>
      </c>
      <c r="AU40" s="186" t="s">
        <v>158</v>
      </c>
      <c r="AV40" s="78">
        <v>40</v>
      </c>
    </row>
    <row r="41" spans="1:48" ht="10.8" hidden="1" thickBot="1">
      <c r="A41" s="188">
        <v>41</v>
      </c>
      <c r="C41" s="207"/>
      <c r="E41" s="78">
        <v>3</v>
      </c>
      <c r="F41" s="78">
        <v>1</v>
      </c>
      <c r="H41" s="188"/>
      <c r="M41" s="78" t="s">
        <v>1066</v>
      </c>
      <c r="U41" s="78" t="e">
        <f t="shared" si="1"/>
        <v>#VALUE!</v>
      </c>
      <c r="V41" s="187" t="e">
        <f t="shared" si="0"/>
        <v>#VALUE!</v>
      </c>
      <c r="AB41" s="78" t="s">
        <v>624</v>
      </c>
      <c r="AC41" s="78">
        <v>0</v>
      </c>
      <c r="AD41" s="78">
        <v>0</v>
      </c>
      <c r="AE41" s="78">
        <v>40</v>
      </c>
      <c r="AF41" s="78" t="s">
        <v>309</v>
      </c>
      <c r="AG41" s="78">
        <v>1</v>
      </c>
      <c r="AH41" s="78" t="s">
        <v>1012</v>
      </c>
      <c r="AI41" s="78" t="s">
        <v>1062</v>
      </c>
      <c r="AL41" s="78">
        <v>3</v>
      </c>
      <c r="AT41" s="78">
        <v>41</v>
      </c>
      <c r="AU41" s="186" t="s">
        <v>277</v>
      </c>
      <c r="AV41" s="78">
        <v>41</v>
      </c>
    </row>
    <row r="42" spans="1:48" ht="10.8" hidden="1" thickBot="1">
      <c r="A42" s="188">
        <v>42</v>
      </c>
      <c r="C42" s="207"/>
      <c r="E42" s="78">
        <v>3</v>
      </c>
      <c r="F42" s="208">
        <v>1</v>
      </c>
      <c r="H42" s="188"/>
      <c r="M42" s="78" t="s">
        <v>1067</v>
      </c>
      <c r="U42" s="78" t="e">
        <f t="shared" si="1"/>
        <v>#VALUE!</v>
      </c>
      <c r="V42" s="187" t="e">
        <f t="shared" si="0"/>
        <v>#VALUE!</v>
      </c>
      <c r="AB42" s="78" t="s">
        <v>624</v>
      </c>
      <c r="AC42" s="78">
        <v>0</v>
      </c>
      <c r="AD42" s="78">
        <v>0</v>
      </c>
      <c r="AE42" s="78">
        <v>40</v>
      </c>
      <c r="AF42" s="78" t="s">
        <v>309</v>
      </c>
      <c r="AG42" s="78">
        <v>1</v>
      </c>
      <c r="AH42" s="78" t="s">
        <v>1012</v>
      </c>
      <c r="AI42" s="78" t="s">
        <v>1062</v>
      </c>
      <c r="AL42" s="78">
        <v>3</v>
      </c>
      <c r="AT42" s="78">
        <v>42</v>
      </c>
      <c r="AU42" s="78" t="s">
        <v>264</v>
      </c>
      <c r="AV42" s="78">
        <v>42</v>
      </c>
    </row>
    <row r="43" spans="1:48" ht="10.8" hidden="1" thickBot="1">
      <c r="A43" s="188">
        <v>43</v>
      </c>
      <c r="C43" s="207"/>
      <c r="E43" s="78">
        <v>3</v>
      </c>
      <c r="F43" s="78">
        <v>1</v>
      </c>
      <c r="H43" s="188"/>
      <c r="M43" s="78" t="s">
        <v>1067</v>
      </c>
      <c r="U43" s="78" t="e">
        <f t="shared" si="1"/>
        <v>#VALUE!</v>
      </c>
      <c r="V43" s="187" t="e">
        <f t="shared" si="0"/>
        <v>#VALUE!</v>
      </c>
      <c r="AB43" s="78" t="s">
        <v>624</v>
      </c>
      <c r="AC43" s="78">
        <v>0</v>
      </c>
      <c r="AD43" s="78">
        <v>0</v>
      </c>
      <c r="AE43" s="78">
        <v>40</v>
      </c>
      <c r="AF43" s="78" t="s">
        <v>309</v>
      </c>
      <c r="AG43" s="78">
        <v>1</v>
      </c>
      <c r="AH43" s="78" t="s">
        <v>1012</v>
      </c>
      <c r="AI43" s="78" t="s">
        <v>1062</v>
      </c>
      <c r="AL43" s="78">
        <v>3</v>
      </c>
      <c r="AT43" s="78">
        <v>43</v>
      </c>
      <c r="AU43" s="186" t="s">
        <v>1039</v>
      </c>
      <c r="AV43" s="78">
        <v>43</v>
      </c>
    </row>
    <row r="44" spans="1:48" ht="10.8" hidden="1" thickBot="1">
      <c r="A44" s="188">
        <v>44</v>
      </c>
      <c r="C44" s="106"/>
      <c r="E44" s="78">
        <v>3</v>
      </c>
      <c r="F44" s="208">
        <v>1</v>
      </c>
      <c r="H44" s="188"/>
      <c r="M44" s="78" t="s">
        <v>1067</v>
      </c>
      <c r="U44" s="78" t="e">
        <f t="shared" si="1"/>
        <v>#VALUE!</v>
      </c>
      <c r="V44" s="187" t="e">
        <f t="shared" si="0"/>
        <v>#VALUE!</v>
      </c>
      <c r="AB44" s="78" t="s">
        <v>624</v>
      </c>
      <c r="AC44" s="78">
        <v>0</v>
      </c>
      <c r="AD44" s="78">
        <v>0</v>
      </c>
      <c r="AE44" s="78">
        <v>40</v>
      </c>
      <c r="AF44" s="78" t="s">
        <v>309</v>
      </c>
      <c r="AG44" s="78">
        <v>1</v>
      </c>
      <c r="AH44" s="78" t="s">
        <v>1012</v>
      </c>
      <c r="AI44" s="78" t="s">
        <v>1062</v>
      </c>
      <c r="AL44" s="78">
        <v>3</v>
      </c>
      <c r="AT44" s="78">
        <v>44</v>
      </c>
      <c r="AU44" s="186" t="s">
        <v>1021</v>
      </c>
      <c r="AV44" s="78">
        <v>44</v>
      </c>
    </row>
    <row r="45" spans="1:48" ht="10.8" hidden="1" thickBot="1">
      <c r="A45" s="188">
        <v>45</v>
      </c>
      <c r="E45" s="78">
        <v>3</v>
      </c>
      <c r="F45" s="78">
        <v>1</v>
      </c>
      <c r="H45" s="188"/>
      <c r="M45" s="78" t="s">
        <v>1068</v>
      </c>
      <c r="U45" s="78" t="e">
        <f t="shared" si="1"/>
        <v>#VALUE!</v>
      </c>
      <c r="V45" s="187" t="e">
        <f t="shared" si="0"/>
        <v>#VALUE!</v>
      </c>
      <c r="AB45" s="78" t="s">
        <v>624</v>
      </c>
      <c r="AC45" s="78">
        <v>0</v>
      </c>
      <c r="AD45" s="78">
        <v>0</v>
      </c>
      <c r="AE45" s="78">
        <v>40</v>
      </c>
      <c r="AF45" s="78" t="s">
        <v>309</v>
      </c>
      <c r="AG45" s="78">
        <v>1</v>
      </c>
      <c r="AH45" s="78" t="s">
        <v>1012</v>
      </c>
      <c r="AI45" s="78" t="s">
        <v>1062</v>
      </c>
      <c r="AL45" s="78">
        <v>3</v>
      </c>
      <c r="AT45" s="78">
        <v>45</v>
      </c>
      <c r="AU45" s="186" t="s">
        <v>1054</v>
      </c>
      <c r="AV45" s="78">
        <v>45</v>
      </c>
    </row>
    <row r="46" spans="1:48" ht="10.8" hidden="1" thickBot="1">
      <c r="A46" s="188">
        <v>46</v>
      </c>
      <c r="E46" s="78">
        <v>3</v>
      </c>
      <c r="F46" s="208">
        <v>1</v>
      </c>
      <c r="H46" s="188"/>
      <c r="M46" s="78" t="s">
        <v>1069</v>
      </c>
      <c r="U46" s="78" t="e">
        <f t="shared" si="1"/>
        <v>#VALUE!</v>
      </c>
      <c r="V46" s="187" t="e">
        <f t="shared" si="0"/>
        <v>#VALUE!</v>
      </c>
      <c r="AB46" s="78" t="s">
        <v>624</v>
      </c>
      <c r="AC46" s="78">
        <v>0</v>
      </c>
      <c r="AD46" s="78">
        <v>0</v>
      </c>
      <c r="AE46" s="78">
        <v>40</v>
      </c>
      <c r="AF46" s="78" t="s">
        <v>309</v>
      </c>
      <c r="AG46" s="78">
        <v>1</v>
      </c>
      <c r="AH46" s="78" t="s">
        <v>1012</v>
      </c>
      <c r="AI46" s="78" t="s">
        <v>1062</v>
      </c>
      <c r="AL46" s="78">
        <v>3</v>
      </c>
      <c r="AT46" s="78">
        <v>46</v>
      </c>
      <c r="AU46" s="186" t="s">
        <v>920</v>
      </c>
      <c r="AV46" s="78">
        <v>46</v>
      </c>
    </row>
    <row r="47" spans="1:48" ht="10.8" hidden="1" thickBot="1">
      <c r="A47" s="188">
        <v>47</v>
      </c>
      <c r="E47" s="78">
        <v>3</v>
      </c>
      <c r="F47" s="78">
        <v>1</v>
      </c>
      <c r="H47" s="188"/>
      <c r="M47" s="78" t="s">
        <v>1070</v>
      </c>
      <c r="U47" s="78" t="e">
        <f t="shared" si="1"/>
        <v>#VALUE!</v>
      </c>
      <c r="V47" s="187" t="e">
        <f t="shared" si="0"/>
        <v>#VALUE!</v>
      </c>
      <c r="AB47" s="78" t="s">
        <v>624</v>
      </c>
      <c r="AC47" s="78">
        <v>0</v>
      </c>
      <c r="AD47" s="78">
        <v>0</v>
      </c>
      <c r="AE47" s="78">
        <v>40</v>
      </c>
      <c r="AF47" s="78" t="s">
        <v>309</v>
      </c>
      <c r="AG47" s="78">
        <v>1</v>
      </c>
      <c r="AH47" s="78" t="s">
        <v>1012</v>
      </c>
      <c r="AI47" s="78" t="s">
        <v>1062</v>
      </c>
      <c r="AL47" s="78">
        <v>3</v>
      </c>
      <c r="AT47" s="78">
        <v>47</v>
      </c>
      <c r="AU47" s="186" t="s">
        <v>986</v>
      </c>
      <c r="AV47" s="78">
        <v>47</v>
      </c>
    </row>
    <row r="48" spans="1:48" ht="10.8" hidden="1" thickBot="1">
      <c r="A48" s="188">
        <v>48</v>
      </c>
      <c r="E48" s="78">
        <v>3</v>
      </c>
      <c r="F48" s="208">
        <v>1</v>
      </c>
      <c r="H48" s="188"/>
      <c r="M48" s="78" t="s">
        <v>1071</v>
      </c>
      <c r="U48" s="78" t="e">
        <f t="shared" si="1"/>
        <v>#VALUE!</v>
      </c>
      <c r="V48" s="187" t="e">
        <f t="shared" si="0"/>
        <v>#VALUE!</v>
      </c>
      <c r="AB48" s="78" t="s">
        <v>624</v>
      </c>
      <c r="AC48" s="78">
        <v>0</v>
      </c>
      <c r="AD48" s="78">
        <v>0</v>
      </c>
      <c r="AE48" s="78">
        <v>40</v>
      </c>
      <c r="AF48" s="78" t="s">
        <v>309</v>
      </c>
      <c r="AG48" s="78">
        <v>1</v>
      </c>
      <c r="AH48" s="78" t="s">
        <v>1012</v>
      </c>
      <c r="AI48" s="78" t="s">
        <v>1062</v>
      </c>
      <c r="AL48" s="78">
        <v>3</v>
      </c>
      <c r="AT48" s="78">
        <v>48</v>
      </c>
      <c r="AU48" s="186" t="s">
        <v>1042</v>
      </c>
      <c r="AV48" s="78">
        <v>48</v>
      </c>
    </row>
    <row r="49" spans="1:48" ht="10.8" hidden="1" thickBot="1">
      <c r="A49" s="188">
        <v>49</v>
      </c>
      <c r="E49" s="78">
        <v>3</v>
      </c>
      <c r="F49" s="78">
        <v>1</v>
      </c>
      <c r="H49" s="188"/>
      <c r="M49" s="78" t="s">
        <v>1064</v>
      </c>
      <c r="U49" s="78" t="e">
        <f t="shared" si="1"/>
        <v>#VALUE!</v>
      </c>
      <c r="V49" s="187" t="e">
        <f t="shared" si="0"/>
        <v>#VALUE!</v>
      </c>
      <c r="AB49" s="78" t="s">
        <v>624</v>
      </c>
      <c r="AC49" s="78">
        <v>0</v>
      </c>
      <c r="AD49" s="78">
        <v>0</v>
      </c>
      <c r="AE49" s="78">
        <v>40</v>
      </c>
      <c r="AF49" s="78" t="s">
        <v>309</v>
      </c>
      <c r="AG49" s="78">
        <v>1</v>
      </c>
      <c r="AH49" s="78" t="s">
        <v>1012</v>
      </c>
      <c r="AI49" s="78" t="s">
        <v>962</v>
      </c>
      <c r="AL49" s="78">
        <v>3</v>
      </c>
      <c r="AT49" s="78">
        <v>49</v>
      </c>
      <c r="AU49" s="186" t="s">
        <v>34</v>
      </c>
      <c r="AV49" s="78">
        <v>49</v>
      </c>
    </row>
    <row r="50" spans="1:48" ht="10.8" hidden="1" thickBot="1">
      <c r="A50" s="188">
        <v>50</v>
      </c>
      <c r="E50" s="78">
        <v>3</v>
      </c>
      <c r="F50" s="208">
        <v>1</v>
      </c>
      <c r="H50" s="188"/>
      <c r="M50" s="78" t="s">
        <v>1072</v>
      </c>
      <c r="U50" s="78" t="e">
        <f t="shared" si="1"/>
        <v>#VALUE!</v>
      </c>
      <c r="V50" s="187" t="e">
        <f t="shared" si="0"/>
        <v>#VALUE!</v>
      </c>
      <c r="AB50" s="78" t="s">
        <v>624</v>
      </c>
      <c r="AC50" s="78">
        <v>0</v>
      </c>
      <c r="AD50" s="78">
        <v>0</v>
      </c>
      <c r="AE50" s="78">
        <v>40</v>
      </c>
      <c r="AF50" s="78" t="s">
        <v>309</v>
      </c>
      <c r="AG50" s="78">
        <v>1</v>
      </c>
      <c r="AH50" s="78" t="s">
        <v>1012</v>
      </c>
      <c r="AI50" s="78" t="s">
        <v>962</v>
      </c>
      <c r="AL50" s="78">
        <v>3</v>
      </c>
      <c r="AT50" s="78">
        <v>50</v>
      </c>
      <c r="AU50" s="186" t="s">
        <v>1008</v>
      </c>
      <c r="AV50" s="78">
        <v>50</v>
      </c>
    </row>
    <row r="51" spans="1:48" ht="10.8" hidden="1" thickBot="1">
      <c r="A51" s="188">
        <v>51</v>
      </c>
      <c r="E51" s="78">
        <v>3</v>
      </c>
      <c r="F51" s="78">
        <v>1</v>
      </c>
      <c r="H51" s="188"/>
      <c r="M51" s="78" t="s">
        <v>1073</v>
      </c>
      <c r="U51" s="78" t="e">
        <f t="shared" si="1"/>
        <v>#VALUE!</v>
      </c>
      <c r="V51" s="187" t="e">
        <f t="shared" si="0"/>
        <v>#VALUE!</v>
      </c>
      <c r="AB51" s="78" t="s">
        <v>1074</v>
      </c>
      <c r="AC51" s="78">
        <v>1</v>
      </c>
      <c r="AD51" s="78">
        <v>5</v>
      </c>
      <c r="AE51" s="78">
        <v>20</v>
      </c>
      <c r="AF51" s="78" t="s">
        <v>309</v>
      </c>
      <c r="AG51" s="78">
        <v>1</v>
      </c>
      <c r="AH51" s="78" t="s">
        <v>1012</v>
      </c>
      <c r="AI51" s="78" t="s">
        <v>962</v>
      </c>
      <c r="AL51" s="78">
        <v>3</v>
      </c>
      <c r="AT51" s="78">
        <v>51</v>
      </c>
      <c r="AU51" s="186" t="s">
        <v>1026</v>
      </c>
      <c r="AV51" s="78">
        <v>51</v>
      </c>
    </row>
    <row r="52" spans="1:48" ht="10.8" hidden="1" thickBot="1">
      <c r="A52" s="188">
        <v>52</v>
      </c>
      <c r="E52" s="78">
        <v>3</v>
      </c>
      <c r="F52" s="208">
        <v>1</v>
      </c>
      <c r="H52" s="188"/>
      <c r="M52" s="78" t="s">
        <v>1075</v>
      </c>
      <c r="U52" s="78" t="e">
        <f t="shared" si="1"/>
        <v>#VALUE!</v>
      </c>
      <c r="V52" s="187" t="e">
        <f t="shared" si="0"/>
        <v>#VALUE!</v>
      </c>
      <c r="AB52" s="78" t="s">
        <v>1074</v>
      </c>
      <c r="AC52" s="78">
        <v>1</v>
      </c>
      <c r="AD52" s="78">
        <v>5</v>
      </c>
      <c r="AE52" s="78">
        <v>20</v>
      </c>
      <c r="AF52" s="78" t="s">
        <v>309</v>
      </c>
      <c r="AG52" s="78">
        <v>1</v>
      </c>
      <c r="AH52" s="78" t="s">
        <v>1012</v>
      </c>
      <c r="AI52" s="78" t="s">
        <v>962</v>
      </c>
      <c r="AL52" s="78">
        <v>3</v>
      </c>
      <c r="AT52" s="78">
        <v>52</v>
      </c>
      <c r="AU52" s="78" t="s">
        <v>38</v>
      </c>
      <c r="AV52" s="78">
        <v>52</v>
      </c>
    </row>
    <row r="53" spans="1:48" ht="10.8" hidden="1" thickBot="1">
      <c r="A53" s="188">
        <v>53</v>
      </c>
      <c r="E53" s="78">
        <v>3</v>
      </c>
      <c r="F53" s="78">
        <v>1</v>
      </c>
      <c r="H53" s="188"/>
      <c r="M53" s="78" t="s">
        <v>1076</v>
      </c>
      <c r="U53" s="78" t="e">
        <f t="shared" si="1"/>
        <v>#VALUE!</v>
      </c>
      <c r="V53" s="187" t="e">
        <f t="shared" si="0"/>
        <v>#VALUE!</v>
      </c>
      <c r="AB53" s="78" t="s">
        <v>1074</v>
      </c>
      <c r="AC53" s="78">
        <v>1</v>
      </c>
      <c r="AD53" s="78">
        <v>5</v>
      </c>
      <c r="AE53" s="78">
        <v>20</v>
      </c>
      <c r="AF53" s="78" t="s">
        <v>309</v>
      </c>
      <c r="AG53" s="78">
        <v>1</v>
      </c>
      <c r="AH53" s="78" t="s">
        <v>1012</v>
      </c>
      <c r="AI53" s="78" t="s">
        <v>962</v>
      </c>
      <c r="AL53" s="78">
        <v>3</v>
      </c>
      <c r="AT53" s="78">
        <v>53</v>
      </c>
      <c r="AU53" s="186" t="s">
        <v>25</v>
      </c>
      <c r="AV53" s="78">
        <v>53</v>
      </c>
    </row>
    <row r="54" spans="1:48" ht="10.8" hidden="1" thickBot="1">
      <c r="A54" s="188">
        <v>54</v>
      </c>
      <c r="E54" s="78">
        <v>3</v>
      </c>
      <c r="F54" s="208">
        <v>1</v>
      </c>
      <c r="H54" s="188"/>
      <c r="M54" s="78" t="s">
        <v>1077</v>
      </c>
      <c r="U54" s="78" t="e">
        <f t="shared" si="1"/>
        <v>#VALUE!</v>
      </c>
      <c r="V54" s="187" t="e">
        <f t="shared" si="0"/>
        <v>#VALUE!</v>
      </c>
      <c r="AB54" s="78" t="s">
        <v>1074</v>
      </c>
      <c r="AC54" s="78">
        <v>1</v>
      </c>
      <c r="AD54" s="78">
        <v>5</v>
      </c>
      <c r="AE54" s="78">
        <v>20</v>
      </c>
      <c r="AF54" s="78" t="s">
        <v>309</v>
      </c>
      <c r="AG54" s="78">
        <v>1</v>
      </c>
      <c r="AH54" s="78" t="s">
        <v>1012</v>
      </c>
      <c r="AI54" s="78" t="s">
        <v>962</v>
      </c>
      <c r="AL54" s="78">
        <v>3</v>
      </c>
      <c r="AT54" s="78">
        <v>54</v>
      </c>
      <c r="AU54" s="186" t="s">
        <v>1047</v>
      </c>
      <c r="AV54" s="78">
        <v>54</v>
      </c>
    </row>
    <row r="55" spans="1:48" ht="10.8" hidden="1" thickBot="1">
      <c r="A55" s="188">
        <v>55</v>
      </c>
      <c r="E55" s="78">
        <v>3</v>
      </c>
      <c r="F55" s="78">
        <v>1</v>
      </c>
      <c r="H55" s="188"/>
      <c r="M55" s="78" t="s">
        <v>1078</v>
      </c>
      <c r="U55" s="78" t="e">
        <f t="shared" si="1"/>
        <v>#VALUE!</v>
      </c>
      <c r="V55" s="187" t="e">
        <f t="shared" si="0"/>
        <v>#VALUE!</v>
      </c>
      <c r="AB55" s="78" t="s">
        <v>1074</v>
      </c>
      <c r="AC55" s="78">
        <v>1</v>
      </c>
      <c r="AD55" s="78">
        <v>5</v>
      </c>
      <c r="AE55" s="78">
        <v>20</v>
      </c>
      <c r="AF55" s="78" t="s">
        <v>309</v>
      </c>
      <c r="AG55" s="78">
        <v>1</v>
      </c>
      <c r="AH55" s="78" t="s">
        <v>1012</v>
      </c>
      <c r="AI55" s="78" t="s">
        <v>962</v>
      </c>
      <c r="AL55" s="78">
        <v>3</v>
      </c>
      <c r="AT55" s="78">
        <v>55</v>
      </c>
      <c r="AU55" s="186" t="s">
        <v>1013</v>
      </c>
      <c r="AV55" s="78">
        <v>55</v>
      </c>
    </row>
    <row r="56" spans="1:48" ht="10.8" hidden="1" thickBot="1">
      <c r="A56" s="188">
        <v>56</v>
      </c>
      <c r="E56" s="78">
        <v>4</v>
      </c>
      <c r="F56" s="208">
        <v>1</v>
      </c>
      <c r="H56" s="188"/>
      <c r="M56" s="78" t="s">
        <v>1079</v>
      </c>
      <c r="U56" s="78" t="e">
        <f t="shared" si="1"/>
        <v>#VALUE!</v>
      </c>
      <c r="V56" s="187" t="e">
        <f t="shared" si="0"/>
        <v>#VALUE!</v>
      </c>
      <c r="AB56" s="78" t="s">
        <v>1074</v>
      </c>
      <c r="AC56" s="78">
        <v>1</v>
      </c>
      <c r="AD56" s="78">
        <v>5</v>
      </c>
      <c r="AE56" s="78">
        <v>20</v>
      </c>
      <c r="AF56" s="78" t="s">
        <v>967</v>
      </c>
      <c r="AG56" s="78">
        <v>1.2</v>
      </c>
      <c r="AH56" s="78" t="s">
        <v>1012</v>
      </c>
      <c r="AI56" s="78" t="s">
        <v>962</v>
      </c>
      <c r="AL56" s="78">
        <v>4</v>
      </c>
      <c r="AT56" s="78">
        <v>56</v>
      </c>
      <c r="AU56" s="186" t="s">
        <v>994</v>
      </c>
      <c r="AV56" s="78">
        <v>56</v>
      </c>
    </row>
    <row r="57" spans="1:48" ht="10.8" hidden="1" thickBot="1">
      <c r="A57" s="188">
        <v>57</v>
      </c>
      <c r="E57" s="78">
        <v>4</v>
      </c>
      <c r="F57" s="78">
        <v>1</v>
      </c>
      <c r="H57" s="188"/>
      <c r="M57" s="78" t="s">
        <v>1080</v>
      </c>
      <c r="U57" s="78" t="e">
        <f t="shared" si="1"/>
        <v>#VALUE!</v>
      </c>
      <c r="V57" s="187" t="e">
        <f t="shared" si="0"/>
        <v>#VALUE!</v>
      </c>
      <c r="AB57" s="78" t="s">
        <v>1074</v>
      </c>
      <c r="AC57" s="78">
        <v>1</v>
      </c>
      <c r="AD57" s="78">
        <v>5</v>
      </c>
      <c r="AE57" s="78">
        <v>20</v>
      </c>
      <c r="AF57" s="78" t="s">
        <v>967</v>
      </c>
      <c r="AG57" s="78">
        <v>1.2</v>
      </c>
      <c r="AH57" s="78" t="s">
        <v>1012</v>
      </c>
      <c r="AI57" s="78" t="s">
        <v>962</v>
      </c>
      <c r="AL57" s="78">
        <v>4</v>
      </c>
      <c r="AT57" s="78">
        <v>57</v>
      </c>
      <c r="AU57" s="186" t="s">
        <v>1057</v>
      </c>
      <c r="AV57" s="78">
        <v>57</v>
      </c>
    </row>
    <row r="58" spans="1:48" ht="10.8" hidden="1" thickBot="1">
      <c r="A58" s="188">
        <v>58</v>
      </c>
      <c r="E58" s="78">
        <v>4</v>
      </c>
      <c r="F58" s="208">
        <v>1</v>
      </c>
      <c r="H58" s="188"/>
      <c r="M58" s="78" t="s">
        <v>1081</v>
      </c>
      <c r="U58" s="78" t="e">
        <f t="shared" si="1"/>
        <v>#VALUE!</v>
      </c>
      <c r="V58" s="187" t="e">
        <f t="shared" si="0"/>
        <v>#VALUE!</v>
      </c>
      <c r="AB58" s="78" t="s">
        <v>1074</v>
      </c>
      <c r="AC58" s="78">
        <v>1</v>
      </c>
      <c r="AD58" s="78">
        <v>5</v>
      </c>
      <c r="AE58" s="78">
        <v>20</v>
      </c>
      <c r="AF58" s="78" t="s">
        <v>967</v>
      </c>
      <c r="AG58" s="78">
        <v>1.2</v>
      </c>
      <c r="AH58" s="78" t="s">
        <v>1012</v>
      </c>
      <c r="AI58" s="78" t="s">
        <v>962</v>
      </c>
      <c r="AL58" s="78">
        <v>4</v>
      </c>
      <c r="AT58" s="78">
        <v>58</v>
      </c>
      <c r="AU58" s="186" t="s">
        <v>1045</v>
      </c>
      <c r="AV58" s="78">
        <v>58</v>
      </c>
    </row>
    <row r="59" spans="1:48" ht="10.8" hidden="1" thickBot="1">
      <c r="A59" s="188">
        <v>59</v>
      </c>
      <c r="E59" s="78">
        <v>4</v>
      </c>
      <c r="F59" s="78">
        <v>1</v>
      </c>
      <c r="H59" s="188"/>
      <c r="M59" s="78" t="s">
        <v>1082</v>
      </c>
      <c r="U59" s="78" t="e">
        <f t="shared" si="1"/>
        <v>#VALUE!</v>
      </c>
      <c r="V59" s="187" t="e">
        <f t="shared" si="0"/>
        <v>#VALUE!</v>
      </c>
      <c r="AB59" s="78" t="s">
        <v>1074</v>
      </c>
      <c r="AC59" s="78">
        <v>1</v>
      </c>
      <c r="AD59" s="78">
        <v>5</v>
      </c>
      <c r="AE59" s="78">
        <v>20</v>
      </c>
      <c r="AF59" s="78" t="s">
        <v>967</v>
      </c>
      <c r="AG59" s="78">
        <v>1.2</v>
      </c>
      <c r="AH59" s="78" t="s">
        <v>1012</v>
      </c>
      <c r="AI59" s="78" t="s">
        <v>962</v>
      </c>
      <c r="AL59" s="78">
        <v>4</v>
      </c>
      <c r="AT59" s="78">
        <v>59</v>
      </c>
      <c r="AU59" s="186" t="s">
        <v>22</v>
      </c>
      <c r="AV59" s="78">
        <v>59</v>
      </c>
    </row>
    <row r="60" spans="1:48" ht="10.8" hidden="1" thickBot="1">
      <c r="A60" s="188">
        <v>60</v>
      </c>
      <c r="E60" s="78">
        <v>4</v>
      </c>
      <c r="F60" s="208">
        <v>1</v>
      </c>
      <c r="H60" s="188"/>
      <c r="M60" s="78" t="s">
        <v>1083</v>
      </c>
      <c r="U60" s="78" t="e">
        <f t="shared" si="1"/>
        <v>#VALUE!</v>
      </c>
      <c r="V60" s="187" t="e">
        <f t="shared" si="0"/>
        <v>#VALUE!</v>
      </c>
      <c r="AB60" s="78" t="s">
        <v>1074</v>
      </c>
      <c r="AC60" s="78">
        <v>1</v>
      </c>
      <c r="AD60" s="78">
        <v>5</v>
      </c>
      <c r="AE60" s="78">
        <v>20</v>
      </c>
      <c r="AF60" s="78" t="s">
        <v>967</v>
      </c>
      <c r="AG60" s="78">
        <v>1.2</v>
      </c>
      <c r="AH60" s="78" t="s">
        <v>1012</v>
      </c>
      <c r="AI60" s="78" t="s">
        <v>962</v>
      </c>
      <c r="AL60" s="78">
        <v>4</v>
      </c>
      <c r="AT60" s="78">
        <v>60</v>
      </c>
      <c r="AU60" s="186" t="s">
        <v>968</v>
      </c>
      <c r="AV60" s="78">
        <v>60</v>
      </c>
    </row>
    <row r="61" spans="1:48" ht="10.8" hidden="1" thickBot="1">
      <c r="A61" s="188">
        <v>61</v>
      </c>
      <c r="E61" s="78">
        <v>4</v>
      </c>
      <c r="F61" s="78">
        <v>1</v>
      </c>
      <c r="H61" s="188"/>
      <c r="M61" s="78" t="s">
        <v>1084</v>
      </c>
      <c r="U61" s="78" t="e">
        <f t="shared" si="1"/>
        <v>#VALUE!</v>
      </c>
      <c r="V61" s="187" t="e">
        <f t="shared" si="0"/>
        <v>#VALUE!</v>
      </c>
      <c r="AB61" s="78" t="s">
        <v>1074</v>
      </c>
      <c r="AC61" s="78">
        <v>1</v>
      </c>
      <c r="AD61" s="78">
        <v>5</v>
      </c>
      <c r="AE61" s="78">
        <v>20</v>
      </c>
      <c r="AF61" s="78" t="s">
        <v>967</v>
      </c>
      <c r="AG61" s="78">
        <v>1.2</v>
      </c>
      <c r="AH61" s="78" t="s">
        <v>1085</v>
      </c>
      <c r="AI61" s="78" t="s">
        <v>1086</v>
      </c>
      <c r="AL61" s="78">
        <v>4</v>
      </c>
      <c r="AU61" s="78" t="s">
        <v>1087</v>
      </c>
      <c r="AV61" s="78" t="s">
        <v>1088</v>
      </c>
    </row>
    <row r="62" spans="1:48" ht="10.8" hidden="1" thickBot="1">
      <c r="A62" s="188">
        <v>62</v>
      </c>
      <c r="E62" s="78">
        <v>4</v>
      </c>
      <c r="F62" s="208">
        <v>1</v>
      </c>
      <c r="H62" s="188"/>
      <c r="M62" s="78" t="s">
        <v>1089</v>
      </c>
      <c r="U62" s="78" t="e">
        <f t="shared" si="1"/>
        <v>#VALUE!</v>
      </c>
      <c r="V62" s="187" t="e">
        <f t="shared" si="0"/>
        <v>#VALUE!</v>
      </c>
      <c r="AB62" s="78" t="s">
        <v>1074</v>
      </c>
      <c r="AC62" s="78">
        <v>1</v>
      </c>
      <c r="AD62" s="78">
        <v>5</v>
      </c>
      <c r="AE62" s="78">
        <v>20</v>
      </c>
      <c r="AF62" s="78" t="s">
        <v>967</v>
      </c>
      <c r="AG62" s="78">
        <v>1.2</v>
      </c>
      <c r="AH62" s="78" t="s">
        <v>1085</v>
      </c>
      <c r="AI62" s="78" t="s">
        <v>1086</v>
      </c>
      <c r="AL62" s="78">
        <v>4</v>
      </c>
    </row>
    <row r="63" spans="1:48" ht="10.8" hidden="1" thickBot="1">
      <c r="A63" s="188">
        <v>63</v>
      </c>
      <c r="E63" s="78">
        <v>4</v>
      </c>
      <c r="F63" s="78">
        <v>1</v>
      </c>
      <c r="H63" s="188"/>
      <c r="M63" s="78" t="s">
        <v>1080</v>
      </c>
      <c r="U63" s="78" t="e">
        <f t="shared" si="1"/>
        <v>#VALUE!</v>
      </c>
      <c r="V63" s="187" t="e">
        <f t="shared" si="0"/>
        <v>#VALUE!</v>
      </c>
      <c r="AB63" s="78" t="s">
        <v>1074</v>
      </c>
      <c r="AC63" s="78">
        <v>1</v>
      </c>
      <c r="AD63" s="78">
        <v>5</v>
      </c>
      <c r="AE63" s="78">
        <v>20</v>
      </c>
      <c r="AF63" s="78" t="s">
        <v>967</v>
      </c>
      <c r="AG63" s="78">
        <v>1.2</v>
      </c>
      <c r="AH63" s="78" t="s">
        <v>1085</v>
      </c>
      <c r="AI63" s="78" t="s">
        <v>1090</v>
      </c>
      <c r="AL63" s="78">
        <v>4</v>
      </c>
    </row>
    <row r="64" spans="1:48" ht="10.8" hidden="1" thickBot="1">
      <c r="A64" s="188">
        <v>64</v>
      </c>
      <c r="E64" s="78">
        <v>4</v>
      </c>
      <c r="F64" s="208">
        <v>1</v>
      </c>
      <c r="H64" s="188"/>
      <c r="M64" s="78" t="s">
        <v>1091</v>
      </c>
      <c r="U64" s="78" t="e">
        <f t="shared" si="1"/>
        <v>#VALUE!</v>
      </c>
      <c r="V64" s="187" t="e">
        <f t="shared" si="0"/>
        <v>#VALUE!</v>
      </c>
      <c r="AB64" s="78" t="s">
        <v>1074</v>
      </c>
      <c r="AC64" s="78">
        <v>1</v>
      </c>
      <c r="AD64" s="78">
        <v>5</v>
      </c>
      <c r="AE64" s="78">
        <v>20</v>
      </c>
      <c r="AF64" s="78" t="s">
        <v>967</v>
      </c>
      <c r="AG64" s="78">
        <v>1.2</v>
      </c>
      <c r="AH64" s="78" t="s">
        <v>1085</v>
      </c>
      <c r="AI64" s="78" t="s">
        <v>1090</v>
      </c>
      <c r="AL64" s="78">
        <v>4</v>
      </c>
    </row>
    <row r="65" spans="1:38" ht="10.8" hidden="1" thickBot="1">
      <c r="A65" s="188">
        <v>65</v>
      </c>
      <c r="E65" s="78">
        <v>4</v>
      </c>
      <c r="F65" s="78">
        <v>1</v>
      </c>
      <c r="H65" s="188"/>
      <c r="M65" s="78" t="s">
        <v>1092</v>
      </c>
      <c r="U65" s="78" t="e">
        <f t="shared" si="1"/>
        <v>#VALUE!</v>
      </c>
      <c r="V65" s="187" t="e">
        <f t="shared" ref="V65:V100" si="2">LEFT(T65,U65-1)</f>
        <v>#VALUE!</v>
      </c>
      <c r="AB65" s="78" t="s">
        <v>1074</v>
      </c>
      <c r="AC65" s="78">
        <v>1</v>
      </c>
      <c r="AD65" s="78">
        <v>5</v>
      </c>
      <c r="AE65" s="78">
        <v>20</v>
      </c>
      <c r="AF65" s="78" t="s">
        <v>967</v>
      </c>
      <c r="AG65" s="78">
        <v>1.2</v>
      </c>
      <c r="AH65" s="78" t="s">
        <v>1085</v>
      </c>
      <c r="AI65" s="78" t="s">
        <v>1090</v>
      </c>
      <c r="AL65" s="78">
        <v>4</v>
      </c>
    </row>
    <row r="66" spans="1:38" ht="10.8" hidden="1" thickBot="1">
      <c r="A66" s="188">
        <v>66</v>
      </c>
      <c r="E66" s="78">
        <v>4</v>
      </c>
      <c r="F66" s="208">
        <v>1</v>
      </c>
      <c r="H66" s="188"/>
      <c r="M66" s="78" t="s">
        <v>1093</v>
      </c>
      <c r="U66" s="78" t="e">
        <f t="shared" ref="U66:U100" si="3">FIND(":",T66)</f>
        <v>#VALUE!</v>
      </c>
      <c r="V66" s="187" t="e">
        <f t="shared" si="2"/>
        <v>#VALUE!</v>
      </c>
      <c r="AB66" s="78" t="s">
        <v>1074</v>
      </c>
      <c r="AC66" s="78">
        <v>1</v>
      </c>
      <c r="AD66" s="78">
        <v>5</v>
      </c>
      <c r="AE66" s="78">
        <v>20</v>
      </c>
      <c r="AF66" s="78" t="s">
        <v>967</v>
      </c>
      <c r="AG66" s="78">
        <v>1.2</v>
      </c>
      <c r="AH66" s="78" t="s">
        <v>1085</v>
      </c>
      <c r="AI66" s="78" t="s">
        <v>1094</v>
      </c>
      <c r="AL66" s="78">
        <v>4</v>
      </c>
    </row>
    <row r="67" spans="1:38" ht="10.8" hidden="1" thickBot="1">
      <c r="A67" s="188">
        <v>67</v>
      </c>
      <c r="E67" s="78">
        <v>4</v>
      </c>
      <c r="F67" s="78">
        <v>1</v>
      </c>
      <c r="H67" s="188"/>
      <c r="M67" s="78" t="s">
        <v>1095</v>
      </c>
      <c r="U67" s="78" t="e">
        <f t="shared" si="3"/>
        <v>#VALUE!</v>
      </c>
      <c r="V67" s="187" t="e">
        <f t="shared" si="2"/>
        <v>#VALUE!</v>
      </c>
      <c r="AB67" s="78" t="s">
        <v>1074</v>
      </c>
      <c r="AC67" s="78">
        <v>1</v>
      </c>
      <c r="AD67" s="78">
        <v>5</v>
      </c>
      <c r="AE67" s="78">
        <v>20</v>
      </c>
      <c r="AF67" s="78" t="s">
        <v>967</v>
      </c>
      <c r="AG67" s="78">
        <v>1.2</v>
      </c>
      <c r="AH67" s="78" t="s">
        <v>1085</v>
      </c>
      <c r="AI67" s="78" t="s">
        <v>1094</v>
      </c>
      <c r="AL67" s="78">
        <v>4</v>
      </c>
    </row>
    <row r="68" spans="1:38" ht="10.8" hidden="1" thickBot="1">
      <c r="A68" s="188">
        <v>68</v>
      </c>
      <c r="E68" s="78">
        <v>4</v>
      </c>
      <c r="F68" s="208">
        <v>1</v>
      </c>
      <c r="H68" s="188"/>
      <c r="M68" s="78" t="s">
        <v>1096</v>
      </c>
      <c r="U68" s="78" t="e">
        <f t="shared" si="3"/>
        <v>#VALUE!</v>
      </c>
      <c r="V68" s="187" t="e">
        <f t="shared" si="2"/>
        <v>#VALUE!</v>
      </c>
      <c r="AB68" s="78" t="s">
        <v>1074</v>
      </c>
      <c r="AC68" s="78">
        <v>1</v>
      </c>
      <c r="AD68" s="78">
        <v>5</v>
      </c>
      <c r="AE68" s="78">
        <v>20</v>
      </c>
      <c r="AF68" s="78" t="s">
        <v>967</v>
      </c>
      <c r="AG68" s="78">
        <v>1.2</v>
      </c>
      <c r="AH68" s="78" t="s">
        <v>1085</v>
      </c>
      <c r="AI68" s="78" t="s">
        <v>1094</v>
      </c>
      <c r="AL68" s="78">
        <v>4</v>
      </c>
    </row>
    <row r="69" spans="1:38" ht="10.8" hidden="1" thickBot="1">
      <c r="A69" s="188">
        <v>69</v>
      </c>
      <c r="E69" s="78">
        <v>4</v>
      </c>
      <c r="F69" s="78">
        <v>1</v>
      </c>
      <c r="H69" s="188"/>
      <c r="M69" s="78" t="s">
        <v>1097</v>
      </c>
      <c r="U69" s="78" t="e">
        <f t="shared" si="3"/>
        <v>#VALUE!</v>
      </c>
      <c r="V69" s="187" t="e">
        <f t="shared" si="2"/>
        <v>#VALUE!</v>
      </c>
      <c r="AB69" s="78" t="s">
        <v>1074</v>
      </c>
      <c r="AC69" s="78">
        <v>1</v>
      </c>
      <c r="AD69" s="78">
        <v>5</v>
      </c>
      <c r="AE69" s="78">
        <v>20</v>
      </c>
      <c r="AF69" s="78" t="s">
        <v>967</v>
      </c>
      <c r="AG69" s="78">
        <v>1.2</v>
      </c>
      <c r="AH69" s="78" t="s">
        <v>1085</v>
      </c>
      <c r="AI69" s="78" t="s">
        <v>1094</v>
      </c>
      <c r="AL69" s="78">
        <v>4</v>
      </c>
    </row>
    <row r="70" spans="1:38" ht="10.8" hidden="1" thickBot="1">
      <c r="A70" s="188">
        <v>70</v>
      </c>
      <c r="E70" s="78">
        <v>4</v>
      </c>
      <c r="F70" s="208">
        <v>1</v>
      </c>
      <c r="H70" s="188"/>
      <c r="M70" s="78" t="s">
        <v>1098</v>
      </c>
      <c r="U70" s="78" t="e">
        <f t="shared" si="3"/>
        <v>#VALUE!</v>
      </c>
      <c r="V70" s="187" t="e">
        <f t="shared" si="2"/>
        <v>#VALUE!</v>
      </c>
      <c r="AB70" s="78" t="s">
        <v>1074</v>
      </c>
      <c r="AC70" s="78">
        <v>1</v>
      </c>
      <c r="AD70" s="78">
        <v>5</v>
      </c>
      <c r="AE70" s="78">
        <v>20</v>
      </c>
      <c r="AF70" s="78" t="s">
        <v>967</v>
      </c>
      <c r="AG70" s="78">
        <v>1.2</v>
      </c>
      <c r="AH70" s="78" t="s">
        <v>1085</v>
      </c>
      <c r="AI70" s="78" t="s">
        <v>1094</v>
      </c>
      <c r="AL70" s="78">
        <v>4</v>
      </c>
    </row>
    <row r="71" spans="1:38" ht="10.8" hidden="1" thickBot="1">
      <c r="A71" s="188">
        <v>71</v>
      </c>
      <c r="E71" s="78">
        <v>4</v>
      </c>
      <c r="F71" s="78">
        <v>1</v>
      </c>
      <c r="H71" s="188"/>
      <c r="M71" s="78" t="s">
        <v>1093</v>
      </c>
      <c r="U71" s="78" t="e">
        <f t="shared" si="3"/>
        <v>#VALUE!</v>
      </c>
      <c r="V71" s="187" t="e">
        <f t="shared" si="2"/>
        <v>#VALUE!</v>
      </c>
      <c r="AB71" s="78" t="s">
        <v>1074</v>
      </c>
      <c r="AC71" s="78">
        <v>1</v>
      </c>
      <c r="AD71" s="78">
        <v>5</v>
      </c>
      <c r="AE71" s="78">
        <v>20</v>
      </c>
      <c r="AF71" s="78" t="s">
        <v>967</v>
      </c>
      <c r="AG71" s="78">
        <v>1.2</v>
      </c>
      <c r="AH71" s="78" t="s">
        <v>947</v>
      </c>
      <c r="AI71" s="78" t="s">
        <v>1099</v>
      </c>
      <c r="AL71" s="78">
        <v>4</v>
      </c>
    </row>
    <row r="72" spans="1:38" ht="10.8" hidden="1" thickBot="1">
      <c r="A72" s="188">
        <v>72</v>
      </c>
      <c r="E72" s="78">
        <v>4</v>
      </c>
      <c r="F72" s="208">
        <v>1</v>
      </c>
      <c r="H72" s="188"/>
      <c r="M72" s="78" t="s">
        <v>1100</v>
      </c>
      <c r="U72" s="78" t="e">
        <f t="shared" si="3"/>
        <v>#VALUE!</v>
      </c>
      <c r="V72" s="187" t="e">
        <f t="shared" si="2"/>
        <v>#VALUE!</v>
      </c>
      <c r="AB72" s="78" t="s">
        <v>1074</v>
      </c>
      <c r="AC72" s="78">
        <v>1</v>
      </c>
      <c r="AD72" s="78">
        <v>5</v>
      </c>
      <c r="AE72" s="78">
        <v>20</v>
      </c>
      <c r="AF72" s="78" t="s">
        <v>967</v>
      </c>
      <c r="AG72" s="78">
        <v>1.2</v>
      </c>
      <c r="AH72" s="78" t="s">
        <v>947</v>
      </c>
      <c r="AI72" s="78" t="s">
        <v>1101</v>
      </c>
      <c r="AL72" s="78">
        <v>4</v>
      </c>
    </row>
    <row r="73" spans="1:38" ht="10.8" hidden="1" thickBot="1">
      <c r="A73" s="188">
        <v>73</v>
      </c>
      <c r="E73" s="78">
        <v>4</v>
      </c>
      <c r="F73" s="78">
        <v>1</v>
      </c>
      <c r="H73" s="188"/>
      <c r="M73" s="78" t="s">
        <v>1102</v>
      </c>
      <c r="U73" s="78" t="e">
        <f t="shared" si="3"/>
        <v>#VALUE!</v>
      </c>
      <c r="V73" s="187" t="e">
        <f t="shared" si="2"/>
        <v>#VALUE!</v>
      </c>
      <c r="AB73" s="78" t="s">
        <v>1074</v>
      </c>
      <c r="AC73" s="78">
        <v>1</v>
      </c>
      <c r="AD73" s="78">
        <v>5</v>
      </c>
      <c r="AE73" s="78">
        <v>20</v>
      </c>
      <c r="AF73" s="78" t="s">
        <v>967</v>
      </c>
      <c r="AG73" s="78">
        <v>1.2</v>
      </c>
      <c r="AH73" s="78" t="s">
        <v>947</v>
      </c>
      <c r="AI73" s="78" t="s">
        <v>1101</v>
      </c>
      <c r="AL73" s="78">
        <v>4</v>
      </c>
    </row>
    <row r="74" spans="1:38" ht="10.8" hidden="1" thickBot="1">
      <c r="A74" s="188">
        <v>74</v>
      </c>
      <c r="E74" s="78">
        <v>4</v>
      </c>
      <c r="F74" s="208">
        <v>1</v>
      </c>
      <c r="H74" s="188"/>
      <c r="M74" s="78" t="s">
        <v>1103</v>
      </c>
      <c r="U74" s="78" t="e">
        <f t="shared" si="3"/>
        <v>#VALUE!</v>
      </c>
      <c r="V74" s="187" t="e">
        <f t="shared" si="2"/>
        <v>#VALUE!</v>
      </c>
      <c r="AB74" s="78" t="s">
        <v>1074</v>
      </c>
      <c r="AC74" s="78">
        <v>1</v>
      </c>
      <c r="AD74" s="78">
        <v>5</v>
      </c>
      <c r="AE74" s="78">
        <v>20</v>
      </c>
      <c r="AF74" s="78" t="s">
        <v>967</v>
      </c>
      <c r="AG74" s="78">
        <v>1.2</v>
      </c>
      <c r="AH74" s="78" t="s">
        <v>947</v>
      </c>
      <c r="AI74" s="78" t="s">
        <v>1101</v>
      </c>
      <c r="AL74" s="78">
        <v>4</v>
      </c>
    </row>
    <row r="75" spans="1:38" ht="10.8" hidden="1" thickBot="1">
      <c r="A75" s="188">
        <v>75</v>
      </c>
      <c r="E75" s="78">
        <v>4</v>
      </c>
      <c r="F75" s="78">
        <v>1</v>
      </c>
      <c r="H75" s="188"/>
      <c r="M75" s="78" t="s">
        <v>1104</v>
      </c>
      <c r="U75" s="78" t="e">
        <f t="shared" si="3"/>
        <v>#VALUE!</v>
      </c>
      <c r="V75" s="187" t="e">
        <f t="shared" si="2"/>
        <v>#VALUE!</v>
      </c>
      <c r="AB75" s="78" t="s">
        <v>1074</v>
      </c>
      <c r="AC75" s="78">
        <v>1</v>
      </c>
      <c r="AD75" s="78">
        <v>5</v>
      </c>
      <c r="AE75" s="78">
        <v>20</v>
      </c>
      <c r="AF75" s="78" t="s">
        <v>967</v>
      </c>
      <c r="AG75" s="78">
        <v>1.2</v>
      </c>
      <c r="AH75" s="78" t="s">
        <v>947</v>
      </c>
      <c r="AI75" s="78" t="s">
        <v>1101</v>
      </c>
      <c r="AL75" s="78">
        <v>4</v>
      </c>
    </row>
    <row r="76" spans="1:38" ht="10.8" hidden="1" thickBot="1">
      <c r="A76" s="188">
        <v>76</v>
      </c>
      <c r="E76" s="78">
        <v>5</v>
      </c>
      <c r="F76" s="208">
        <v>1</v>
      </c>
      <c r="H76" s="188"/>
      <c r="M76" s="78" t="s">
        <v>963</v>
      </c>
      <c r="U76" s="78" t="e">
        <f t="shared" si="3"/>
        <v>#VALUE!</v>
      </c>
      <c r="V76" s="187" t="e">
        <f t="shared" si="2"/>
        <v>#VALUE!</v>
      </c>
      <c r="AB76" s="78" t="s">
        <v>204</v>
      </c>
      <c r="AC76" s="78">
        <v>2</v>
      </c>
      <c r="AD76" s="78">
        <v>10</v>
      </c>
      <c r="AE76" s="78">
        <v>5</v>
      </c>
      <c r="AF76" s="78" t="s">
        <v>967</v>
      </c>
      <c r="AG76" s="78">
        <v>1.2</v>
      </c>
      <c r="AH76" s="78" t="s">
        <v>1105</v>
      </c>
      <c r="AI76" s="78" t="s">
        <v>1101</v>
      </c>
      <c r="AL76" s="78">
        <v>5</v>
      </c>
    </row>
    <row r="77" spans="1:38" ht="10.8" hidden="1" thickBot="1">
      <c r="A77" s="188">
        <v>77</v>
      </c>
      <c r="E77" s="78">
        <v>5</v>
      </c>
      <c r="F77" s="78">
        <v>1</v>
      </c>
      <c r="H77" s="188"/>
      <c r="M77" s="78" t="s">
        <v>1106</v>
      </c>
      <c r="U77" s="78" t="e">
        <f t="shared" si="3"/>
        <v>#VALUE!</v>
      </c>
      <c r="V77" s="187" t="e">
        <f t="shared" si="2"/>
        <v>#VALUE!</v>
      </c>
      <c r="AB77" s="78" t="s">
        <v>204</v>
      </c>
      <c r="AC77" s="78">
        <v>2</v>
      </c>
      <c r="AD77" s="78">
        <v>10</v>
      </c>
      <c r="AE77" s="78">
        <v>5</v>
      </c>
      <c r="AF77" s="78" t="s">
        <v>967</v>
      </c>
      <c r="AG77" s="78">
        <v>1.2</v>
      </c>
      <c r="AH77" s="78" t="s">
        <v>1105</v>
      </c>
      <c r="AI77" s="78" t="s">
        <v>1101</v>
      </c>
      <c r="AL77" s="78">
        <v>5</v>
      </c>
    </row>
    <row r="78" spans="1:38" ht="10.8" hidden="1" thickBot="1">
      <c r="A78" s="188">
        <v>78</v>
      </c>
      <c r="E78" s="78">
        <v>5</v>
      </c>
      <c r="F78" s="208">
        <v>1</v>
      </c>
      <c r="H78" s="188"/>
      <c r="M78" s="78" t="s">
        <v>1107</v>
      </c>
      <c r="U78" s="78" t="e">
        <f t="shared" si="3"/>
        <v>#VALUE!</v>
      </c>
      <c r="V78" s="187" t="e">
        <f t="shared" si="2"/>
        <v>#VALUE!</v>
      </c>
      <c r="AB78" s="78" t="s">
        <v>204</v>
      </c>
      <c r="AC78" s="78">
        <v>2</v>
      </c>
      <c r="AD78" s="78">
        <v>10</v>
      </c>
      <c r="AE78" s="78">
        <v>5</v>
      </c>
      <c r="AF78" s="78" t="s">
        <v>967</v>
      </c>
      <c r="AG78" s="78">
        <v>1.2</v>
      </c>
      <c r="AH78" s="78" t="s">
        <v>1105</v>
      </c>
      <c r="AI78" s="78" t="s">
        <v>1101</v>
      </c>
      <c r="AL78" s="78">
        <v>5</v>
      </c>
    </row>
    <row r="79" spans="1:38" ht="10.8" hidden="1" thickBot="1">
      <c r="A79" s="188">
        <v>79</v>
      </c>
      <c r="E79" s="78">
        <v>5</v>
      </c>
      <c r="F79" s="78">
        <v>1</v>
      </c>
      <c r="H79" s="188"/>
      <c r="M79" s="78" t="s">
        <v>1107</v>
      </c>
      <c r="U79" s="78" t="e">
        <f t="shared" si="3"/>
        <v>#VALUE!</v>
      </c>
      <c r="V79" s="187" t="e">
        <f t="shared" si="2"/>
        <v>#VALUE!</v>
      </c>
      <c r="AB79" s="78" t="s">
        <v>204</v>
      </c>
      <c r="AC79" s="78">
        <v>2</v>
      </c>
      <c r="AD79" s="78">
        <v>10</v>
      </c>
      <c r="AE79" s="78">
        <v>5</v>
      </c>
      <c r="AF79" s="78" t="s">
        <v>967</v>
      </c>
      <c r="AG79" s="78">
        <v>1.2</v>
      </c>
      <c r="AH79" s="78" t="s">
        <v>1105</v>
      </c>
      <c r="AI79" s="78" t="s">
        <v>1101</v>
      </c>
      <c r="AL79" s="78">
        <v>5</v>
      </c>
    </row>
    <row r="80" spans="1:38" ht="10.8" hidden="1" thickBot="1">
      <c r="A80" s="188">
        <v>80</v>
      </c>
      <c r="E80" s="78">
        <v>5</v>
      </c>
      <c r="F80" s="208">
        <v>1</v>
      </c>
      <c r="H80" s="188"/>
      <c r="M80" s="78" t="s">
        <v>1107</v>
      </c>
      <c r="U80" s="78" t="e">
        <f t="shared" si="3"/>
        <v>#VALUE!</v>
      </c>
      <c r="V80" s="187" t="e">
        <f t="shared" si="2"/>
        <v>#VALUE!</v>
      </c>
      <c r="AB80" s="78" t="s">
        <v>204</v>
      </c>
      <c r="AC80" s="78">
        <v>2</v>
      </c>
      <c r="AD80" s="78">
        <v>10</v>
      </c>
      <c r="AE80" s="78">
        <v>5</v>
      </c>
      <c r="AF80" s="78" t="s">
        <v>967</v>
      </c>
      <c r="AG80" s="78">
        <v>1.2</v>
      </c>
      <c r="AH80" s="78" t="s">
        <v>1105</v>
      </c>
      <c r="AI80" s="78" t="s">
        <v>1108</v>
      </c>
      <c r="AL80" s="78">
        <v>5</v>
      </c>
    </row>
    <row r="81" spans="1:38" ht="10.8" hidden="1" thickBot="1">
      <c r="A81" s="188">
        <v>81</v>
      </c>
      <c r="E81" s="78">
        <v>5</v>
      </c>
      <c r="F81" s="78">
        <v>1.1000000000000001</v>
      </c>
      <c r="H81" s="188"/>
      <c r="M81" s="78" t="s">
        <v>943</v>
      </c>
      <c r="U81" s="78" t="e">
        <f t="shared" si="3"/>
        <v>#VALUE!</v>
      </c>
      <c r="V81" s="187" t="e">
        <f t="shared" si="2"/>
        <v>#VALUE!</v>
      </c>
      <c r="AB81" s="78" t="s">
        <v>204</v>
      </c>
      <c r="AC81" s="78">
        <v>2</v>
      </c>
      <c r="AD81" s="78">
        <v>10</v>
      </c>
      <c r="AE81" s="78">
        <v>5</v>
      </c>
      <c r="AF81" s="78" t="s">
        <v>967</v>
      </c>
      <c r="AG81" s="78">
        <v>1.2</v>
      </c>
      <c r="AH81" s="78" t="s">
        <v>1105</v>
      </c>
      <c r="AI81" s="78" t="s">
        <v>1108</v>
      </c>
      <c r="AL81" s="78">
        <v>5</v>
      </c>
    </row>
    <row r="82" spans="1:38" ht="10.8" hidden="1" thickBot="1">
      <c r="A82" s="188">
        <v>82</v>
      </c>
      <c r="E82" s="78">
        <v>5</v>
      </c>
      <c r="F82" s="78">
        <v>1.1000000000000001</v>
      </c>
      <c r="H82" s="188"/>
      <c r="M82" s="78" t="s">
        <v>943</v>
      </c>
      <c r="U82" s="78" t="e">
        <f t="shared" si="3"/>
        <v>#VALUE!</v>
      </c>
      <c r="V82" s="187" t="e">
        <f t="shared" si="2"/>
        <v>#VALUE!</v>
      </c>
      <c r="AB82" s="78" t="s">
        <v>204</v>
      </c>
      <c r="AC82" s="78">
        <v>2</v>
      </c>
      <c r="AD82" s="78">
        <v>10</v>
      </c>
      <c r="AE82" s="78">
        <v>5</v>
      </c>
      <c r="AF82" s="78" t="s">
        <v>967</v>
      </c>
      <c r="AG82" s="78">
        <v>1.2</v>
      </c>
      <c r="AH82" s="78" t="s">
        <v>1105</v>
      </c>
      <c r="AI82" s="78" t="s">
        <v>1108</v>
      </c>
      <c r="AL82" s="78">
        <v>5</v>
      </c>
    </row>
    <row r="83" spans="1:38" ht="10.8" hidden="1" thickBot="1">
      <c r="A83" s="188">
        <v>83</v>
      </c>
      <c r="E83" s="78">
        <v>5</v>
      </c>
      <c r="F83" s="78">
        <v>1.1000000000000001</v>
      </c>
      <c r="H83" s="188"/>
      <c r="M83" s="78" t="s">
        <v>647</v>
      </c>
      <c r="U83" s="78" t="e">
        <f t="shared" si="3"/>
        <v>#VALUE!</v>
      </c>
      <c r="V83" s="187" t="e">
        <f t="shared" si="2"/>
        <v>#VALUE!</v>
      </c>
      <c r="AB83" s="78" t="s">
        <v>204</v>
      </c>
      <c r="AC83" s="78">
        <v>2</v>
      </c>
      <c r="AD83" s="78">
        <v>10</v>
      </c>
      <c r="AE83" s="78">
        <v>5</v>
      </c>
      <c r="AF83" s="78" t="s">
        <v>967</v>
      </c>
      <c r="AG83" s="78">
        <v>1.2</v>
      </c>
      <c r="AH83" s="78" t="s">
        <v>1105</v>
      </c>
      <c r="AI83" s="78" t="s">
        <v>1108</v>
      </c>
      <c r="AL83" s="78">
        <v>5</v>
      </c>
    </row>
    <row r="84" spans="1:38" ht="10.8" hidden="1" thickBot="1">
      <c r="A84" s="188">
        <v>84</v>
      </c>
      <c r="E84" s="78">
        <v>5</v>
      </c>
      <c r="F84" s="78">
        <v>1.1000000000000001</v>
      </c>
      <c r="H84" s="188"/>
      <c r="M84" s="78" t="s">
        <v>1109</v>
      </c>
      <c r="U84" s="78" t="e">
        <f t="shared" si="3"/>
        <v>#VALUE!</v>
      </c>
      <c r="V84" s="187" t="e">
        <f t="shared" si="2"/>
        <v>#VALUE!</v>
      </c>
      <c r="AB84" s="78" t="s">
        <v>204</v>
      </c>
      <c r="AC84" s="78">
        <v>2</v>
      </c>
      <c r="AD84" s="78">
        <v>10</v>
      </c>
      <c r="AE84" s="78">
        <v>5</v>
      </c>
      <c r="AF84" s="78" t="s">
        <v>967</v>
      </c>
      <c r="AG84" s="78">
        <v>1.2</v>
      </c>
      <c r="AH84" s="78" t="s">
        <v>1105</v>
      </c>
      <c r="AI84" s="78" t="s">
        <v>1108</v>
      </c>
      <c r="AL84" s="78">
        <v>5</v>
      </c>
    </row>
    <row r="85" spans="1:38" ht="10.8" hidden="1" thickBot="1">
      <c r="A85" s="188">
        <v>85</v>
      </c>
      <c r="E85" s="78">
        <v>5</v>
      </c>
      <c r="F85" s="78">
        <v>1.1000000000000001</v>
      </c>
      <c r="H85" s="188"/>
      <c r="M85" s="78" t="s">
        <v>645</v>
      </c>
      <c r="U85" s="78" t="e">
        <f t="shared" si="3"/>
        <v>#VALUE!</v>
      </c>
      <c r="V85" s="187" t="e">
        <f t="shared" si="2"/>
        <v>#VALUE!</v>
      </c>
      <c r="AB85" s="78" t="s">
        <v>204</v>
      </c>
      <c r="AC85" s="78">
        <v>2</v>
      </c>
      <c r="AD85" s="78">
        <v>10</v>
      </c>
      <c r="AE85" s="78">
        <v>5</v>
      </c>
      <c r="AF85" s="78" t="s">
        <v>967</v>
      </c>
      <c r="AG85" s="78">
        <v>1.2</v>
      </c>
      <c r="AH85" s="78" t="s">
        <v>1105</v>
      </c>
      <c r="AI85" s="78" t="s">
        <v>1108</v>
      </c>
      <c r="AL85" s="78">
        <v>5</v>
      </c>
    </row>
    <row r="86" spans="1:38" ht="10.8" hidden="1" thickBot="1">
      <c r="A86" s="188">
        <v>86</v>
      </c>
      <c r="E86" s="78">
        <v>5</v>
      </c>
      <c r="F86" s="78">
        <v>1.1000000000000001</v>
      </c>
      <c r="H86" s="188"/>
      <c r="M86" s="78" t="s">
        <v>1054</v>
      </c>
      <c r="U86" s="78" t="e">
        <f t="shared" si="3"/>
        <v>#VALUE!</v>
      </c>
      <c r="V86" s="187" t="e">
        <f t="shared" si="2"/>
        <v>#VALUE!</v>
      </c>
      <c r="AB86" s="78" t="s">
        <v>204</v>
      </c>
      <c r="AC86" s="78">
        <v>2</v>
      </c>
      <c r="AD86" s="78">
        <v>10</v>
      </c>
      <c r="AE86" s="78">
        <v>5</v>
      </c>
      <c r="AF86" s="78" t="s">
        <v>1110</v>
      </c>
      <c r="AG86" s="78">
        <v>1.5</v>
      </c>
      <c r="AH86" s="78" t="s">
        <v>1105</v>
      </c>
      <c r="AI86" s="78" t="s">
        <v>1108</v>
      </c>
      <c r="AL86" s="78">
        <v>5</v>
      </c>
    </row>
    <row r="87" spans="1:38" ht="10.8" hidden="1" thickBot="1">
      <c r="A87" s="188">
        <v>87</v>
      </c>
      <c r="E87" s="78">
        <v>5</v>
      </c>
      <c r="F87" s="78">
        <v>1.1000000000000001</v>
      </c>
      <c r="H87" s="188"/>
      <c r="M87" s="78" t="s">
        <v>617</v>
      </c>
      <c r="U87" s="78" t="e">
        <f t="shared" si="3"/>
        <v>#VALUE!</v>
      </c>
      <c r="V87" s="187" t="e">
        <f t="shared" si="2"/>
        <v>#VALUE!</v>
      </c>
      <c r="AB87" s="78" t="s">
        <v>204</v>
      </c>
      <c r="AC87" s="78">
        <v>2</v>
      </c>
      <c r="AD87" s="78">
        <v>10</v>
      </c>
      <c r="AE87" s="78">
        <v>5</v>
      </c>
      <c r="AF87" s="78" t="s">
        <v>1110</v>
      </c>
      <c r="AG87" s="78">
        <v>1.5</v>
      </c>
      <c r="AH87" s="78" t="s">
        <v>1105</v>
      </c>
      <c r="AI87" s="78" t="s">
        <v>1108</v>
      </c>
      <c r="AL87" s="78">
        <v>5</v>
      </c>
    </row>
    <row r="88" spans="1:38" ht="10.8" hidden="1" thickBot="1">
      <c r="A88" s="188">
        <v>88</v>
      </c>
      <c r="E88" s="78">
        <v>5</v>
      </c>
      <c r="F88" s="78">
        <v>1.1000000000000001</v>
      </c>
      <c r="H88" s="188"/>
      <c r="M88" s="78" t="s">
        <v>1111</v>
      </c>
      <c r="U88" s="78" t="e">
        <f t="shared" si="3"/>
        <v>#VALUE!</v>
      </c>
      <c r="V88" s="187" t="e">
        <f t="shared" si="2"/>
        <v>#VALUE!</v>
      </c>
      <c r="AB88" s="78" t="s">
        <v>204</v>
      </c>
      <c r="AC88" s="78">
        <v>2</v>
      </c>
      <c r="AD88" s="78">
        <v>10</v>
      </c>
      <c r="AE88" s="78">
        <v>5</v>
      </c>
      <c r="AF88" s="78" t="s">
        <v>1110</v>
      </c>
      <c r="AG88" s="78">
        <v>1.5</v>
      </c>
      <c r="AH88" s="78" t="s">
        <v>1105</v>
      </c>
      <c r="AI88" s="78" t="s">
        <v>1108</v>
      </c>
      <c r="AL88" s="78">
        <v>5</v>
      </c>
    </row>
    <row r="89" spans="1:38" ht="10.8" hidden="1" thickBot="1">
      <c r="A89" s="188">
        <v>89</v>
      </c>
      <c r="E89" s="78">
        <v>5</v>
      </c>
      <c r="F89" s="78">
        <v>1.1000000000000001</v>
      </c>
      <c r="H89" s="188"/>
      <c r="M89" s="78" t="s">
        <v>1112</v>
      </c>
      <c r="U89" s="78" t="e">
        <f t="shared" si="3"/>
        <v>#VALUE!</v>
      </c>
      <c r="V89" s="187" t="e">
        <f t="shared" si="2"/>
        <v>#VALUE!</v>
      </c>
      <c r="AB89" s="78" t="s">
        <v>204</v>
      </c>
      <c r="AC89" s="78">
        <v>2</v>
      </c>
      <c r="AD89" s="78">
        <v>10</v>
      </c>
      <c r="AE89" s="78">
        <v>5</v>
      </c>
      <c r="AF89" s="78" t="s">
        <v>1110</v>
      </c>
      <c r="AG89" s="78">
        <v>1.5</v>
      </c>
      <c r="AH89" s="78" t="s">
        <v>1105</v>
      </c>
      <c r="AI89" s="78" t="s">
        <v>1108</v>
      </c>
      <c r="AL89" s="78">
        <v>5</v>
      </c>
    </row>
    <row r="90" spans="1:38" ht="10.8" hidden="1" thickBot="1">
      <c r="A90" s="188">
        <v>90</v>
      </c>
      <c r="E90" s="78">
        <v>5</v>
      </c>
      <c r="F90" s="78">
        <v>1.1000000000000001</v>
      </c>
      <c r="H90" s="188"/>
      <c r="M90" s="78" t="s">
        <v>1113</v>
      </c>
      <c r="U90" s="78" t="e">
        <f t="shared" si="3"/>
        <v>#VALUE!</v>
      </c>
      <c r="V90" s="187" t="e">
        <f t="shared" si="2"/>
        <v>#VALUE!</v>
      </c>
      <c r="AB90" s="78" t="s">
        <v>204</v>
      </c>
      <c r="AC90" s="78">
        <v>2</v>
      </c>
      <c r="AD90" s="78">
        <v>10</v>
      </c>
      <c r="AE90" s="78">
        <v>5</v>
      </c>
      <c r="AF90" s="78" t="s">
        <v>1110</v>
      </c>
      <c r="AG90" s="78">
        <v>1.5</v>
      </c>
      <c r="AH90" s="78" t="s">
        <v>1105</v>
      </c>
      <c r="AI90" s="78" t="s">
        <v>1108</v>
      </c>
      <c r="AL90" s="78">
        <v>5</v>
      </c>
    </row>
    <row r="91" spans="1:38" ht="10.8" hidden="1" thickBot="1">
      <c r="A91" s="188">
        <v>91</v>
      </c>
      <c r="E91" s="78">
        <v>6</v>
      </c>
      <c r="F91" s="78">
        <v>1.1000000000000001</v>
      </c>
      <c r="H91" s="188"/>
      <c r="M91" s="78" t="s">
        <v>1114</v>
      </c>
      <c r="U91" s="78" t="e">
        <f t="shared" si="3"/>
        <v>#VALUE!</v>
      </c>
      <c r="V91" s="187" t="e">
        <f t="shared" si="2"/>
        <v>#VALUE!</v>
      </c>
      <c r="AB91" s="78" t="s">
        <v>208</v>
      </c>
      <c r="AC91" s="78">
        <v>-1</v>
      </c>
      <c r="AD91" s="78">
        <v>-10</v>
      </c>
      <c r="AE91" s="78">
        <v>30</v>
      </c>
      <c r="AF91" s="78" t="s">
        <v>1110</v>
      </c>
      <c r="AG91" s="78">
        <v>1.5</v>
      </c>
      <c r="AH91" s="78" t="s">
        <v>1105</v>
      </c>
      <c r="AI91" s="78" t="s">
        <v>1108</v>
      </c>
      <c r="AL91" s="78">
        <v>6</v>
      </c>
    </row>
    <row r="92" spans="1:38" ht="10.8" hidden="1" thickBot="1">
      <c r="A92" s="188">
        <v>92</v>
      </c>
      <c r="E92" s="78">
        <v>6</v>
      </c>
      <c r="F92" s="78">
        <v>1.1000000000000001</v>
      </c>
      <c r="H92" s="188"/>
      <c r="M92" s="78" t="s">
        <v>1115</v>
      </c>
      <c r="U92" s="78" t="e">
        <f t="shared" si="3"/>
        <v>#VALUE!</v>
      </c>
      <c r="V92" s="187" t="e">
        <f t="shared" si="2"/>
        <v>#VALUE!</v>
      </c>
      <c r="AB92" s="78" t="s">
        <v>208</v>
      </c>
      <c r="AC92" s="78">
        <v>-1</v>
      </c>
      <c r="AD92" s="78">
        <v>-10</v>
      </c>
      <c r="AE92" s="78">
        <v>30</v>
      </c>
      <c r="AF92" s="78" t="s">
        <v>1110</v>
      </c>
      <c r="AG92" s="78">
        <v>1.5</v>
      </c>
      <c r="AH92" s="78" t="s">
        <v>1105</v>
      </c>
      <c r="AI92" s="78" t="s">
        <v>1108</v>
      </c>
      <c r="AL92" s="78">
        <v>6</v>
      </c>
    </row>
    <row r="93" spans="1:38" ht="10.8" hidden="1" thickBot="1">
      <c r="A93" s="188">
        <v>93</v>
      </c>
      <c r="E93" s="78">
        <v>6</v>
      </c>
      <c r="F93" s="78">
        <v>1.1000000000000001</v>
      </c>
      <c r="H93" s="188"/>
      <c r="M93" s="78" t="s">
        <v>1116</v>
      </c>
      <c r="U93" s="78" t="e">
        <f t="shared" si="3"/>
        <v>#VALUE!</v>
      </c>
      <c r="V93" s="187" t="e">
        <f t="shared" si="2"/>
        <v>#VALUE!</v>
      </c>
      <c r="AB93" s="78" t="s">
        <v>208</v>
      </c>
      <c r="AC93" s="78">
        <v>-1</v>
      </c>
      <c r="AD93" s="78">
        <v>-10</v>
      </c>
      <c r="AE93" s="78">
        <v>30</v>
      </c>
      <c r="AF93" s="78" t="s">
        <v>1110</v>
      </c>
      <c r="AG93" s="78">
        <v>1.5</v>
      </c>
      <c r="AH93" s="78" t="s">
        <v>1105</v>
      </c>
      <c r="AI93" s="78" t="s">
        <v>1108</v>
      </c>
      <c r="AL93" s="78">
        <v>6</v>
      </c>
    </row>
    <row r="94" spans="1:38" ht="10.8" hidden="1" thickBot="1">
      <c r="A94" s="188">
        <v>94</v>
      </c>
      <c r="E94" s="78">
        <v>6</v>
      </c>
      <c r="F94" s="78">
        <v>1.1000000000000001</v>
      </c>
      <c r="H94" s="188"/>
      <c r="M94" s="78" t="s">
        <v>1117</v>
      </c>
      <c r="U94" s="78" t="e">
        <f t="shared" si="3"/>
        <v>#VALUE!</v>
      </c>
      <c r="V94" s="187" t="e">
        <f t="shared" si="2"/>
        <v>#VALUE!</v>
      </c>
      <c r="AB94" s="78" t="s">
        <v>208</v>
      </c>
      <c r="AC94" s="78">
        <v>-1</v>
      </c>
      <c r="AD94" s="78">
        <v>-10</v>
      </c>
      <c r="AE94" s="78">
        <v>30</v>
      </c>
      <c r="AF94" s="78" t="s">
        <v>1110</v>
      </c>
      <c r="AG94" s="78">
        <v>1.5</v>
      </c>
      <c r="AH94" s="78" t="s">
        <v>1105</v>
      </c>
      <c r="AI94" s="78" t="s">
        <v>1108</v>
      </c>
      <c r="AL94" s="78">
        <v>6</v>
      </c>
    </row>
    <row r="95" spans="1:38" ht="10.8" hidden="1" thickBot="1">
      <c r="A95" s="188">
        <v>95</v>
      </c>
      <c r="E95" s="78">
        <v>7</v>
      </c>
      <c r="F95" s="78">
        <v>1.1000000000000001</v>
      </c>
      <c r="H95" s="188"/>
      <c r="M95" s="78" t="s">
        <v>1118</v>
      </c>
      <c r="U95" s="78" t="e">
        <f t="shared" si="3"/>
        <v>#VALUE!</v>
      </c>
      <c r="V95" s="187" t="e">
        <f t="shared" si="2"/>
        <v>#VALUE!</v>
      </c>
      <c r="AB95" s="78" t="s">
        <v>208</v>
      </c>
      <c r="AC95" s="78">
        <v>-1</v>
      </c>
      <c r="AD95" s="78">
        <v>-10</v>
      </c>
      <c r="AE95" s="78">
        <v>30</v>
      </c>
      <c r="AF95" s="78" t="s">
        <v>1110</v>
      </c>
      <c r="AG95" s="78">
        <v>1.5</v>
      </c>
      <c r="AH95" s="78" t="s">
        <v>1105</v>
      </c>
      <c r="AI95" s="78" t="s">
        <v>1108</v>
      </c>
      <c r="AL95" s="78">
        <v>7</v>
      </c>
    </row>
    <row r="96" spans="1:38" ht="10.8" hidden="1" thickBot="1">
      <c r="A96" s="188">
        <v>96</v>
      </c>
      <c r="E96" s="78">
        <v>7</v>
      </c>
      <c r="F96" s="78">
        <v>1.3</v>
      </c>
      <c r="H96" s="188"/>
      <c r="M96" s="78" t="s">
        <v>1119</v>
      </c>
      <c r="U96" s="78" t="e">
        <f t="shared" si="3"/>
        <v>#VALUE!</v>
      </c>
      <c r="V96" s="187" t="e">
        <f t="shared" si="2"/>
        <v>#VALUE!</v>
      </c>
      <c r="AB96" s="78" t="s">
        <v>208</v>
      </c>
      <c r="AC96" s="78">
        <v>-1</v>
      </c>
      <c r="AD96" s="78">
        <v>-10</v>
      </c>
      <c r="AE96" s="78">
        <v>30</v>
      </c>
      <c r="AF96" s="78" t="s">
        <v>1110</v>
      </c>
      <c r="AG96" s="78">
        <v>1.5</v>
      </c>
      <c r="AH96" s="78" t="s">
        <v>1105</v>
      </c>
      <c r="AI96" s="78" t="s">
        <v>1108</v>
      </c>
      <c r="AL96" s="78">
        <v>7</v>
      </c>
    </row>
    <row r="97" spans="1:38" ht="10.8" hidden="1" thickBot="1">
      <c r="A97" s="188">
        <v>97</v>
      </c>
      <c r="E97" s="78">
        <v>7</v>
      </c>
      <c r="F97" s="78">
        <v>1.3</v>
      </c>
      <c r="H97" s="188"/>
      <c r="M97" s="78" t="s">
        <v>1120</v>
      </c>
      <c r="U97" s="78" t="e">
        <f t="shared" si="3"/>
        <v>#VALUE!</v>
      </c>
      <c r="V97" s="187" t="e">
        <f t="shared" si="2"/>
        <v>#VALUE!</v>
      </c>
      <c r="AB97" s="78" t="s">
        <v>208</v>
      </c>
      <c r="AC97" s="78">
        <v>-1</v>
      </c>
      <c r="AD97" s="78">
        <v>-10</v>
      </c>
      <c r="AE97" s="78">
        <v>30</v>
      </c>
      <c r="AF97" s="78" t="s">
        <v>1110</v>
      </c>
      <c r="AG97" s="78">
        <v>1.5</v>
      </c>
      <c r="AH97" s="78" t="s">
        <v>1105</v>
      </c>
      <c r="AI97" s="78" t="s">
        <v>1108</v>
      </c>
      <c r="AL97" s="78">
        <v>7</v>
      </c>
    </row>
    <row r="98" spans="1:38" ht="10.8" hidden="1" thickBot="1">
      <c r="A98" s="188">
        <v>98</v>
      </c>
      <c r="E98" s="78">
        <v>8</v>
      </c>
      <c r="F98" s="78">
        <v>1.3</v>
      </c>
      <c r="H98" s="188"/>
      <c r="M98" s="78" t="s">
        <v>1121</v>
      </c>
      <c r="U98" s="78" t="e">
        <f t="shared" si="3"/>
        <v>#VALUE!</v>
      </c>
      <c r="V98" s="187" t="e">
        <f t="shared" si="2"/>
        <v>#VALUE!</v>
      </c>
      <c r="AB98" s="78" t="s">
        <v>208</v>
      </c>
      <c r="AC98" s="78">
        <v>-1</v>
      </c>
      <c r="AD98" s="78">
        <v>-10</v>
      </c>
      <c r="AE98" s="78">
        <v>30</v>
      </c>
      <c r="AF98" s="78" t="s">
        <v>1110</v>
      </c>
      <c r="AG98" s="78">
        <v>1.5</v>
      </c>
      <c r="AH98" s="78" t="s">
        <v>1105</v>
      </c>
      <c r="AI98" s="78" t="s">
        <v>1108</v>
      </c>
      <c r="AL98" s="78">
        <v>8</v>
      </c>
    </row>
    <row r="99" spans="1:38" ht="10.8" hidden="1" thickBot="1">
      <c r="A99" s="188">
        <v>99</v>
      </c>
      <c r="E99" s="78">
        <v>8</v>
      </c>
      <c r="F99" s="78">
        <v>1.3</v>
      </c>
      <c r="H99" s="188"/>
      <c r="M99" s="78" t="s">
        <v>1122</v>
      </c>
      <c r="U99" s="78" t="e">
        <f t="shared" si="3"/>
        <v>#VALUE!</v>
      </c>
      <c r="V99" s="187" t="e">
        <f t="shared" si="2"/>
        <v>#VALUE!</v>
      </c>
      <c r="AB99" s="78" t="s">
        <v>208</v>
      </c>
      <c r="AC99" s="78">
        <v>-1</v>
      </c>
      <c r="AD99" s="78">
        <v>-10</v>
      </c>
      <c r="AE99" s="78">
        <v>30</v>
      </c>
      <c r="AF99" s="78" t="s">
        <v>1110</v>
      </c>
      <c r="AG99" s="78">
        <v>1.5</v>
      </c>
      <c r="AH99" s="78" t="s">
        <v>1105</v>
      </c>
      <c r="AI99" s="78" t="s">
        <v>1108</v>
      </c>
      <c r="AL99" s="78">
        <v>8</v>
      </c>
    </row>
    <row r="100" spans="1:38" ht="10.8" hidden="1" thickBot="1">
      <c r="A100" s="194">
        <v>100</v>
      </c>
      <c r="E100" s="78">
        <v>9</v>
      </c>
      <c r="F100" s="78">
        <v>1.3</v>
      </c>
      <c r="H100" s="194"/>
      <c r="M100" s="78" t="s">
        <v>1123</v>
      </c>
      <c r="U100" s="78" t="e">
        <f t="shared" si="3"/>
        <v>#VALUE!</v>
      </c>
      <c r="V100" s="187" t="e">
        <f t="shared" si="2"/>
        <v>#VALUE!</v>
      </c>
      <c r="AB100" s="78" t="s">
        <v>208</v>
      </c>
      <c r="AC100" s="78">
        <v>-1</v>
      </c>
      <c r="AD100" s="78">
        <v>-10</v>
      </c>
      <c r="AE100" s="78">
        <v>30</v>
      </c>
      <c r="AF100" s="78" t="s">
        <v>1110</v>
      </c>
      <c r="AG100" s="78">
        <v>1.5</v>
      </c>
      <c r="AH100" s="78" t="s">
        <v>1105</v>
      </c>
      <c r="AI100" s="78" t="s">
        <v>1108</v>
      </c>
      <c r="AL100" s="78">
        <v>9</v>
      </c>
    </row>
    <row r="101" spans="1:38" s="106" customFormat="1" ht="10.8" hidden="1" thickBot="1">
      <c r="A101" s="209" t="s">
        <v>560</v>
      </c>
      <c r="B101" s="210"/>
      <c r="D101" s="211"/>
      <c r="E101" s="209" t="s">
        <v>1124</v>
      </c>
      <c r="F101" s="212" t="s">
        <v>1125</v>
      </c>
      <c r="G101" s="213"/>
      <c r="H101" s="209"/>
      <c r="I101" s="210"/>
      <c r="J101" s="213"/>
      <c r="K101" s="213"/>
      <c r="L101" s="213"/>
      <c r="M101" s="213" t="s">
        <v>1126</v>
      </c>
      <c r="N101" s="214"/>
      <c r="O101" s="214"/>
      <c r="P101" s="214"/>
      <c r="Q101" s="215"/>
      <c r="R101" s="213"/>
      <c r="S101" s="213"/>
      <c r="T101" s="215"/>
      <c r="V101" s="213"/>
      <c r="W101" s="213"/>
      <c r="Y101" s="213"/>
      <c r="Z101" s="213"/>
      <c r="AA101" s="216"/>
      <c r="AB101" s="210" t="s">
        <v>1127</v>
      </c>
      <c r="AC101" s="213" t="s">
        <v>1128</v>
      </c>
      <c r="AD101" s="213" t="s">
        <v>1129</v>
      </c>
      <c r="AE101" s="213" t="s">
        <v>1130</v>
      </c>
      <c r="AF101" s="213" t="s">
        <v>152</v>
      </c>
      <c r="AG101" s="213" t="s">
        <v>1131</v>
      </c>
      <c r="AH101" s="213" t="s">
        <v>1132</v>
      </c>
      <c r="AI101" s="213" t="s">
        <v>1133</v>
      </c>
      <c r="AL101" s="217" t="s">
        <v>1134</v>
      </c>
    </row>
    <row r="102" spans="1:38" ht="18.600000000000001" hidden="1" thickBot="1">
      <c r="A102" s="218"/>
      <c r="B102" s="218"/>
      <c r="C102" s="218"/>
      <c r="D102" s="187"/>
      <c r="E102" s="218"/>
      <c r="F102" s="218"/>
      <c r="G102" s="218"/>
      <c r="H102" s="218"/>
      <c r="I102" s="218"/>
    </row>
    <row r="103" spans="1:38" ht="14.1" customHeight="1" thickBot="1">
      <c r="A103" s="219">
        <v>1</v>
      </c>
      <c r="B103" s="218"/>
      <c r="C103" s="218"/>
      <c r="D103" s="187"/>
      <c r="E103" s="218"/>
      <c r="F103" s="218"/>
      <c r="G103" s="218"/>
      <c r="H103" s="218"/>
      <c r="I103" s="218"/>
    </row>
    <row r="104" spans="1:38" s="230" customFormat="1" ht="11.25" customHeight="1">
      <c r="A104" s="220">
        <f ca="1">LOOKUP(RANDBETWEEN(1,10),de100X,de10X)</f>
        <v>4</v>
      </c>
      <c r="B104" s="221" t="s">
        <v>1134</v>
      </c>
      <c r="C104" s="222" t="s">
        <v>1135</v>
      </c>
      <c r="D104" s="223" t="s">
        <v>709</v>
      </c>
      <c r="E104" s="224" t="s">
        <v>1136</v>
      </c>
      <c r="F104" s="224" t="s">
        <v>1137</v>
      </c>
      <c r="G104" s="225" t="s">
        <v>1138</v>
      </c>
      <c r="H104" s="226" t="s">
        <v>1139</v>
      </c>
      <c r="I104" s="226" t="s">
        <v>1140</v>
      </c>
      <c r="J104" s="227" t="s">
        <v>1141</v>
      </c>
      <c r="K104" s="228" t="s">
        <v>1142</v>
      </c>
      <c r="L104" s="229"/>
      <c r="N104" s="231"/>
      <c r="O104" s="231"/>
      <c r="P104" s="231"/>
      <c r="Q104" s="232"/>
      <c r="S104" s="233"/>
      <c r="T104" s="232"/>
      <c r="AA104" s="231"/>
    </row>
    <row r="105" spans="1:38" s="230" customFormat="1" ht="11.25" customHeight="1">
      <c r="A105" s="78">
        <f ca="1">RANDBETWEEN(1,10)+NS</f>
        <v>12</v>
      </c>
      <c r="B105" s="234">
        <f ca="1">LOOKUP(RANDBETWEEN(1,100),de100X,NSX)</f>
        <v>5</v>
      </c>
      <c r="C105" s="232">
        <f ca="1">LOOKUP(RANDBETWEEN(1,100),de100X,RICx)</f>
        <v>0.8</v>
      </c>
      <c r="D105" s="235" t="str">
        <f ca="1">LOOKUP(A106,de100X,tailleX)</f>
        <v>grande</v>
      </c>
      <c r="E105" s="236">
        <f ca="1">LOOKUP(A106,de100X,longueurX)*C105</f>
        <v>6.4</v>
      </c>
      <c r="F105" s="236">
        <f ca="1">LOOKUP(A105,de100X,longueurX)*C105</f>
        <v>5.6000000000000005</v>
      </c>
      <c r="G105" s="237" t="str">
        <f ca="1">LOOKUP(RANDBETWEEN(1,10),de100X,FormeX)</f>
        <v>FormeX</v>
      </c>
      <c r="H105" s="238" t="str">
        <f ca="1">LOOKUP(RANDBETWEEN(1,10),de100X,SituationX)</f>
        <v>contrebas</v>
      </c>
      <c r="I105" s="238" t="str">
        <f ca="1">LOOKUP(RANDBETWEEN(1,10)+B105,de100X,MatièreX)</f>
        <v>pierre/bois</v>
      </c>
      <c r="J105" s="239">
        <f ca="1">ROUNDDOWN((LOOKUP(RANDBETWEEN(1,10),de100X,de10X)+LOOKUP(RANDBETWEEN(1,10),de100X,de10X)-2)/((11-B105)/2),0)</f>
        <v>1</v>
      </c>
      <c r="K105" s="240">
        <f ca="1">ROUNDDOWN((LOOKUP(RANDBETWEEN(1,10),de100X,de10X)+LOOKUP(RANDBETWEEN(1,10),de100X,de10X)-2)/((10-B105)/2),0)</f>
        <v>0</v>
      </c>
      <c r="L105" s="241"/>
      <c r="N105" s="231"/>
      <c r="O105" s="231"/>
      <c r="P105" s="231"/>
      <c r="Q105" s="232"/>
      <c r="T105" s="232"/>
      <c r="AA105" s="231"/>
      <c r="AI105" s="242" t="s">
        <v>1143</v>
      </c>
    </row>
    <row r="106" spans="1:38" s="230" customFormat="1" ht="11.25" customHeight="1" thickBot="1">
      <c r="A106" s="78">
        <f ca="1">RANDBETWEEN(1,10)+B105</f>
        <v>13</v>
      </c>
      <c r="B106" s="243"/>
      <c r="C106" s="244"/>
      <c r="D106" s="245" t="s">
        <v>1144</v>
      </c>
      <c r="E106" s="246" t="str">
        <f ca="1">LOOKUP(RANDBETWEEN(1,10),de100X,PorteX)</f>
        <v>barres métal</v>
      </c>
      <c r="F106" s="246"/>
      <c r="G106" s="247" t="str">
        <f ca="1">LOOKUP(RANDBETWEEN(1,10),de100X,VisionX)</f>
        <v>œillet</v>
      </c>
      <c r="H106" s="248">
        <f ca="1">LOOKUP(RANDBETWEEN(1,10),de100X,de10X)-1</f>
        <v>0</v>
      </c>
      <c r="I106" s="249" t="s">
        <v>1145</v>
      </c>
      <c r="J106" s="250" t="str">
        <f ca="1">IF(H106&gt;0,LOOKUP(RANDBETWEEN(1,100),de100X,AttributX),"-")</f>
        <v>-</v>
      </c>
      <c r="K106" s="250" t="str">
        <f ca="1">IF(H106&gt;1,LOOKUP(RANDBETWEEN(1,100),de100X,AttributX),"-")</f>
        <v>-</v>
      </c>
      <c r="L106" s="251" t="str">
        <f ca="1">IF(H106&gt;2,LOOKUP(RANDBETWEEN(1,100),de100X,AttributX),"-")</f>
        <v>-</v>
      </c>
      <c r="N106" s="231"/>
      <c r="O106" s="231"/>
      <c r="P106" s="231"/>
      <c r="Q106" s="232"/>
      <c r="T106" s="232"/>
      <c r="AA106" s="231"/>
      <c r="AI106" s="242" t="s">
        <v>1146</v>
      </c>
    </row>
    <row r="107" spans="1:38" s="230" customFormat="1" ht="14.1" customHeight="1" thickBot="1">
      <c r="A107" s="219">
        <v>2</v>
      </c>
      <c r="N107" s="231"/>
      <c r="O107" s="231"/>
      <c r="P107" s="231"/>
      <c r="Q107" s="232"/>
      <c r="T107" s="232"/>
      <c r="AA107" s="231"/>
      <c r="AI107" s="242" t="s">
        <v>1147</v>
      </c>
    </row>
    <row r="108" spans="1:38" s="230" customFormat="1" ht="11.25" customHeight="1">
      <c r="A108" s="220">
        <f ca="1">LOOKUP(RANDBETWEEN(1,10),de100X,de10X)</f>
        <v>3</v>
      </c>
      <c r="B108" s="221" t="s">
        <v>1134</v>
      </c>
      <c r="C108" s="222" t="s">
        <v>1135</v>
      </c>
      <c r="D108" s="223" t="s">
        <v>709</v>
      </c>
      <c r="E108" s="224" t="s">
        <v>1136</v>
      </c>
      <c r="F108" s="224" t="s">
        <v>1137</v>
      </c>
      <c r="G108" s="225" t="s">
        <v>1138</v>
      </c>
      <c r="H108" s="226" t="s">
        <v>1139</v>
      </c>
      <c r="I108" s="226" t="s">
        <v>1140</v>
      </c>
      <c r="J108" s="227" t="s">
        <v>1141</v>
      </c>
      <c r="K108" s="228" t="s">
        <v>1142</v>
      </c>
      <c r="L108" s="229"/>
      <c r="N108" s="231"/>
      <c r="O108" s="231"/>
      <c r="P108" s="231"/>
      <c r="Q108" s="232"/>
      <c r="T108" s="232"/>
      <c r="AA108" s="231"/>
      <c r="AI108" s="242" t="s">
        <v>1148</v>
      </c>
    </row>
    <row r="109" spans="1:38" s="230" customFormat="1" ht="11.25" customHeight="1">
      <c r="A109" s="78">
        <f ca="1">RANDBETWEEN(1,10)+NS</f>
        <v>8</v>
      </c>
      <c r="B109" s="234">
        <f ca="1">LOOKUP(RANDBETWEEN(1,100),de100X,NSX)</f>
        <v>2</v>
      </c>
      <c r="C109" s="232">
        <f ca="1">LOOKUP(RANDBETWEEN(1,100),de100X,RICx)</f>
        <v>0.5</v>
      </c>
      <c r="D109" s="235" t="str">
        <f ca="1">LOOKUP(A110,de100X,tailleX)</f>
        <v>très petite</v>
      </c>
      <c r="E109" s="236">
        <f ca="1">LOOKUP(A110,de100X,longueurX)*C109</f>
        <v>1.5</v>
      </c>
      <c r="F109" s="236">
        <f ca="1">LOOKUP(A109,de100X,longueurX)*C109</f>
        <v>3</v>
      </c>
      <c r="G109" s="237" t="str">
        <f ca="1">LOOKUP(RANDBETWEEN(1,10),de100X,FormeX)</f>
        <v>FormeX</v>
      </c>
      <c r="H109" s="238" t="str">
        <f ca="1">LOOKUP(RANDBETWEEN(1,10),de100X,SituationX)</f>
        <v>en cour</v>
      </c>
      <c r="I109" s="238" t="str">
        <f ca="1">LOOKUP(RANDBETWEEN(1,10)+B109,de100X,MatièreX)</f>
        <v>pierre/bois</v>
      </c>
      <c r="J109" s="239">
        <f ca="1">ROUNDDOWN((LOOKUP(RANDBETWEEN(1,10),de100X,de10X)+LOOKUP(RANDBETWEEN(1,10),de100X,de10X)-2)/((11-B109)/2),0)</f>
        <v>1</v>
      </c>
      <c r="K109" s="240">
        <f ca="1">ROUNDDOWN((LOOKUP(RANDBETWEEN(1,10),de100X,de10X)+LOOKUP(RANDBETWEEN(1,10),de100X,de10X)-2)/((10-B109)/2),0)</f>
        <v>0</v>
      </c>
      <c r="L109" s="241"/>
      <c r="N109" s="231"/>
      <c r="O109" s="231"/>
      <c r="P109" s="231"/>
      <c r="Q109" s="232"/>
      <c r="T109" s="232"/>
      <c r="AA109" s="231"/>
      <c r="AI109" s="242" t="s">
        <v>1149</v>
      </c>
    </row>
    <row r="110" spans="1:38" s="230" customFormat="1" ht="11.25" customHeight="1" thickBot="1">
      <c r="A110" s="78">
        <f ca="1">RANDBETWEEN(1,10)+B109</f>
        <v>4</v>
      </c>
      <c r="B110" s="243"/>
      <c r="C110" s="244"/>
      <c r="D110" s="245" t="s">
        <v>1144</v>
      </c>
      <c r="E110" s="246" t="str">
        <f ca="1">LOOKUP(RANDBETWEEN(1,10),de100X,PorteX)</f>
        <v>peau</v>
      </c>
      <c r="F110" s="246"/>
      <c r="G110" s="247" t="str">
        <f ca="1">LOOKUP(RANDBETWEEN(1,10),de100X,VisionX)</f>
        <v>judas</v>
      </c>
      <c r="H110" s="248">
        <f ca="1">LOOKUP(RANDBETWEEN(1,10),de100X,de10X)-1</f>
        <v>3</v>
      </c>
      <c r="I110" s="249" t="s">
        <v>1145</v>
      </c>
      <c r="J110" s="250" t="str">
        <f ca="1">IF(H110&gt;0,LOOKUP(RANDBETWEEN(1,100),de100X,AttributX),"-")</f>
        <v>chemin bois</v>
      </c>
      <c r="K110" s="250" t="str">
        <f ca="1">IF(H110&gt;1,LOOKUP(RANDBETWEEN(1,100),de100X,AttributX),"-")</f>
        <v>6 colonnes</v>
      </c>
      <c r="L110" s="251" t="str">
        <f ca="1">IF(H110&gt;2,LOOKUP(RANDBETWEEN(1,100),de100X,AttributX),"-")</f>
        <v>grande cave</v>
      </c>
      <c r="N110" s="231"/>
      <c r="O110" s="231"/>
      <c r="P110" s="231"/>
      <c r="Q110" s="232"/>
      <c r="T110" s="232"/>
      <c r="AA110" s="231"/>
      <c r="AI110" s="242" t="s">
        <v>1150</v>
      </c>
    </row>
    <row r="111" spans="1:38" s="230" customFormat="1" ht="14.1" customHeight="1" thickBot="1">
      <c r="A111" s="219">
        <v>3</v>
      </c>
      <c r="N111" s="231"/>
      <c r="O111" s="231"/>
      <c r="P111" s="231"/>
      <c r="Q111" s="232"/>
      <c r="T111" s="232"/>
      <c r="AA111" s="231"/>
      <c r="AI111" s="242" t="s">
        <v>1151</v>
      </c>
    </row>
    <row r="112" spans="1:38" s="230" customFormat="1" ht="11.25" customHeight="1">
      <c r="A112" s="220">
        <f ca="1">LOOKUP(RANDBETWEEN(1,10),de100X,de10X)</f>
        <v>2</v>
      </c>
      <c r="B112" s="221" t="s">
        <v>1134</v>
      </c>
      <c r="C112" s="222" t="s">
        <v>1135</v>
      </c>
      <c r="D112" s="223" t="s">
        <v>709</v>
      </c>
      <c r="E112" s="224" t="s">
        <v>1136</v>
      </c>
      <c r="F112" s="224" t="s">
        <v>1137</v>
      </c>
      <c r="G112" s="225" t="s">
        <v>1138</v>
      </c>
      <c r="H112" s="226" t="s">
        <v>1139</v>
      </c>
      <c r="I112" s="226" t="s">
        <v>1140</v>
      </c>
      <c r="J112" s="227" t="s">
        <v>1141</v>
      </c>
      <c r="K112" s="228" t="s">
        <v>1142</v>
      </c>
      <c r="L112" s="229"/>
      <c r="N112" s="231"/>
      <c r="O112" s="231"/>
      <c r="P112" s="231"/>
      <c r="Q112" s="232"/>
      <c r="T112" s="232"/>
      <c r="AA112" s="231"/>
      <c r="AI112" s="242" t="s">
        <v>1152</v>
      </c>
    </row>
    <row r="113" spans="1:35" s="230" customFormat="1" ht="11.25" customHeight="1">
      <c r="A113" s="78">
        <f ca="1">RANDBETWEEN(1,10)+NS</f>
        <v>6</v>
      </c>
      <c r="B113" s="234">
        <f ca="1">LOOKUP(RANDBETWEEN(1,100),de100X,NSX)</f>
        <v>1</v>
      </c>
      <c r="C113" s="232">
        <f ca="1">LOOKUP(RANDBETWEEN(1,100),de100X,RICx)</f>
        <v>1</v>
      </c>
      <c r="D113" s="235" t="str">
        <f ca="1">LOOKUP(A114,de100X,tailleX)</f>
        <v>moyenne</v>
      </c>
      <c r="E113" s="236">
        <f ca="1">LOOKUP(A114,de100X,longueurX)*C113</f>
        <v>6</v>
      </c>
      <c r="F113" s="236">
        <f ca="1">LOOKUP(A113,de100X,longueurX)*C113</f>
        <v>4</v>
      </c>
      <c r="G113" s="237" t="str">
        <f ca="1">LOOKUP(RANDBETWEEN(1,10),de100X,FormeX)</f>
        <v>carrée</v>
      </c>
      <c r="H113" s="238" t="str">
        <f ca="1">LOOKUP(RANDBETWEEN(1,10),de100X,SituationX)</f>
        <v>isolée</v>
      </c>
      <c r="I113" s="238" t="str">
        <f ca="1">LOOKUP(RANDBETWEEN(1,10)+B113,de100X,MatièreX)</f>
        <v>planche</v>
      </c>
      <c r="J113" s="239">
        <f ca="1">ROUNDDOWN((LOOKUP(RANDBETWEEN(1,10),de100X,de10X)+LOOKUP(RANDBETWEEN(1,10),de100X,de10X)-2)/((11-B113)/2),0)</f>
        <v>0</v>
      </c>
      <c r="K113" s="240">
        <f ca="1">ROUNDDOWN((LOOKUP(RANDBETWEEN(1,10),de100X,de10X)+LOOKUP(RANDBETWEEN(1,10),de100X,de10X)-2)/((10-B113)/2),0)</f>
        <v>0</v>
      </c>
      <c r="L113" s="241"/>
      <c r="N113" s="231"/>
      <c r="O113" s="231"/>
      <c r="P113" s="231"/>
      <c r="Q113" s="232"/>
      <c r="T113" s="232"/>
      <c r="AA113" s="231"/>
      <c r="AI113" s="242" t="s">
        <v>1153</v>
      </c>
    </row>
    <row r="114" spans="1:35" s="230" customFormat="1" ht="11.25" customHeight="1" thickBot="1">
      <c r="A114" s="78">
        <f ca="1">RANDBETWEEN(1,10)+B113</f>
        <v>9</v>
      </c>
      <c r="B114" s="243"/>
      <c r="C114" s="244"/>
      <c r="D114" s="245" t="s">
        <v>1144</v>
      </c>
      <c r="E114" s="246" t="str">
        <f ca="1">LOOKUP(RANDBETWEEN(1,10),de100X,PorteX)</f>
        <v>peau</v>
      </c>
      <c r="F114" s="246"/>
      <c r="G114" s="247" t="str">
        <f ca="1">LOOKUP(RANDBETWEEN(1,10),de100X,VisionX)</f>
        <v>-</v>
      </c>
      <c r="H114" s="248">
        <f ca="1">LOOKUP(RANDBETWEEN(1,10),de100X,de10X)-1</f>
        <v>1</v>
      </c>
      <c r="I114" s="249" t="s">
        <v>1145</v>
      </c>
      <c r="J114" s="250" t="str">
        <f ca="1">IF(H114&gt;0,LOOKUP(RANDBETWEEN(1,100),de100X,AttributX),"-")</f>
        <v>2 chiens</v>
      </c>
      <c r="K114" s="250" t="str">
        <f ca="1">IF(H114&gt;1,LOOKUP(RANDBETWEEN(1,100),de100X,AttributX),"-")</f>
        <v>-</v>
      </c>
      <c r="L114" s="251" t="str">
        <f ca="1">IF(H114&gt;2,LOOKUP(RANDBETWEEN(1,100),de100X,AttributX),"-")</f>
        <v>-</v>
      </c>
      <c r="N114" s="231"/>
      <c r="O114" s="231"/>
      <c r="P114" s="231"/>
      <c r="Q114" s="232"/>
      <c r="T114" s="232"/>
      <c r="AA114" s="231"/>
      <c r="AI114" s="242" t="s">
        <v>1154</v>
      </c>
    </row>
    <row r="115" spans="1:35" s="230" customFormat="1" ht="14.1" customHeight="1" thickBot="1">
      <c r="A115" s="219">
        <v>4</v>
      </c>
      <c r="N115" s="231"/>
      <c r="O115" s="231"/>
      <c r="P115" s="231"/>
      <c r="Q115" s="232"/>
      <c r="T115" s="232"/>
      <c r="AA115" s="231"/>
      <c r="AI115" s="252" t="s">
        <v>1155</v>
      </c>
    </row>
    <row r="116" spans="1:35" s="230" customFormat="1" ht="11.25" customHeight="1">
      <c r="A116" s="220">
        <f ca="1">LOOKUP(RANDBETWEEN(1,10),de100X,de10X)</f>
        <v>1</v>
      </c>
      <c r="B116" s="221" t="s">
        <v>1134</v>
      </c>
      <c r="C116" s="222" t="s">
        <v>1135</v>
      </c>
      <c r="D116" s="223" t="s">
        <v>709</v>
      </c>
      <c r="E116" s="224" t="s">
        <v>1136</v>
      </c>
      <c r="F116" s="224" t="s">
        <v>1137</v>
      </c>
      <c r="G116" s="225" t="s">
        <v>1138</v>
      </c>
      <c r="H116" s="226" t="s">
        <v>1139</v>
      </c>
      <c r="I116" s="226" t="s">
        <v>1140</v>
      </c>
      <c r="J116" s="227" t="s">
        <v>1141</v>
      </c>
      <c r="K116" s="228" t="s">
        <v>1142</v>
      </c>
      <c r="L116" s="229"/>
      <c r="N116" s="231"/>
      <c r="O116" s="231"/>
      <c r="P116" s="231"/>
      <c r="Q116" s="232"/>
      <c r="T116" s="232"/>
      <c r="AA116" s="231"/>
      <c r="AI116" s="253" t="s">
        <v>1156</v>
      </c>
    </row>
    <row r="117" spans="1:35" s="230" customFormat="1" ht="11.25" customHeight="1">
      <c r="A117" s="78">
        <f ca="1">RANDBETWEEN(1,10)+NS</f>
        <v>8</v>
      </c>
      <c r="B117" s="234">
        <f ca="1">LOOKUP(RANDBETWEEN(1,100),de100X,NSX)</f>
        <v>3</v>
      </c>
      <c r="C117" s="232">
        <f ca="1">LOOKUP(RANDBETWEEN(1,100),de100X,RICx)</f>
        <v>1.1000000000000001</v>
      </c>
      <c r="D117" s="235" t="str">
        <f ca="1">LOOKUP(A118,de100X,tailleX)</f>
        <v>grande</v>
      </c>
      <c r="E117" s="236">
        <f ca="1">LOOKUP(A118,de100X,longueurX)*C117</f>
        <v>8.8000000000000007</v>
      </c>
      <c r="F117" s="236">
        <f ca="1">LOOKUP(A117,de100X,longueurX)*C117</f>
        <v>6.6000000000000005</v>
      </c>
      <c r="G117" s="237" t="str">
        <f ca="1">LOOKUP(RANDBETWEEN(1,10),de100X,FormeX)</f>
        <v>en L</v>
      </c>
      <c r="H117" s="238" t="str">
        <f ca="1">LOOKUP(RANDBETWEEN(1,10),de100X,SituationX)</f>
        <v>coin de rue</v>
      </c>
      <c r="I117" s="238" t="str">
        <f ca="1">LOOKUP(RANDBETWEEN(1,10)+B117,de100X,MatièreX)</f>
        <v>planche</v>
      </c>
      <c r="J117" s="239">
        <f ca="1">ROUNDDOWN((LOOKUP(RANDBETWEEN(1,10),de100X,de10X)+LOOKUP(RANDBETWEEN(1,10),de100X,de10X)-2)/((11-B117)/2),0)</f>
        <v>0</v>
      </c>
      <c r="K117" s="240">
        <f ca="1">ROUNDDOWN((LOOKUP(RANDBETWEEN(1,10),de100X,de10X)+LOOKUP(RANDBETWEEN(1,10),de100X,de10X)-2)/((10-B117)/2),0)</f>
        <v>1</v>
      </c>
      <c r="L117" s="241"/>
      <c r="N117" s="231"/>
      <c r="O117" s="231"/>
      <c r="P117" s="231"/>
      <c r="Q117" s="232"/>
      <c r="T117" s="232"/>
      <c r="AA117" s="231"/>
      <c r="AI117" s="253" t="s">
        <v>1157</v>
      </c>
    </row>
    <row r="118" spans="1:35" s="230" customFormat="1" ht="11.25" customHeight="1" thickBot="1">
      <c r="A118" s="78">
        <f ca="1">RANDBETWEEN(1,10)+B117</f>
        <v>10</v>
      </c>
      <c r="B118" s="243"/>
      <c r="C118" s="244"/>
      <c r="D118" s="245" t="s">
        <v>1144</v>
      </c>
      <c r="E118" s="246" t="str">
        <f ca="1">LOOKUP(RANDBETWEEN(1,10),de100X,PorteX)</f>
        <v>bois</v>
      </c>
      <c r="F118" s="246"/>
      <c r="G118" s="247" t="str">
        <f ca="1">LOOKUP(RANDBETWEEN(1,10),de100X,VisionX)</f>
        <v>grille</v>
      </c>
      <c r="H118" s="248">
        <f ca="1">LOOKUP(RANDBETWEEN(1,10),de100X,de10X)-1</f>
        <v>1</v>
      </c>
      <c r="I118" s="249" t="s">
        <v>1145</v>
      </c>
      <c r="J118" s="250" t="str">
        <f ca="1">IF(H118&gt;0,LOOKUP(RANDBETWEEN(1,100),de100X,AttributX),"-")</f>
        <v>puits</v>
      </c>
      <c r="K118" s="250" t="str">
        <f ca="1">IF(H118&gt;1,LOOKUP(RANDBETWEEN(1,100),de100X,AttributX),"-")</f>
        <v>-</v>
      </c>
      <c r="L118" s="251" t="str">
        <f ca="1">IF(H118&gt;2,LOOKUP(RANDBETWEEN(1,100),de100X,AttributX),"-")</f>
        <v>-</v>
      </c>
      <c r="N118" s="231"/>
      <c r="O118" s="231"/>
      <c r="P118" s="231"/>
      <c r="Q118" s="232"/>
      <c r="T118" s="232"/>
      <c r="AA118" s="231"/>
      <c r="AI118" s="253" t="s">
        <v>1158</v>
      </c>
    </row>
    <row r="119" spans="1:35" s="230" customFormat="1" ht="14.1" customHeight="1" thickBot="1">
      <c r="A119" s="219">
        <v>5</v>
      </c>
      <c r="N119" s="231"/>
      <c r="O119" s="231"/>
      <c r="P119" s="231"/>
      <c r="Q119" s="232"/>
      <c r="T119" s="232"/>
      <c r="AA119" s="231"/>
      <c r="AI119" s="253" t="s">
        <v>1159</v>
      </c>
    </row>
    <row r="120" spans="1:35" s="230" customFormat="1" ht="11.25" customHeight="1">
      <c r="A120" s="220">
        <f ca="1">LOOKUP(RANDBETWEEN(1,10),de100X,de10X)</f>
        <v>1</v>
      </c>
      <c r="B120" s="221" t="s">
        <v>1134</v>
      </c>
      <c r="C120" s="222" t="s">
        <v>1135</v>
      </c>
      <c r="D120" s="223" t="s">
        <v>709</v>
      </c>
      <c r="E120" s="224" t="s">
        <v>1136</v>
      </c>
      <c r="F120" s="224" t="s">
        <v>1137</v>
      </c>
      <c r="G120" s="225" t="s">
        <v>1138</v>
      </c>
      <c r="H120" s="226" t="s">
        <v>1139</v>
      </c>
      <c r="I120" s="226" t="s">
        <v>1140</v>
      </c>
      <c r="J120" s="227" t="s">
        <v>1141</v>
      </c>
      <c r="K120" s="228" t="s">
        <v>1142</v>
      </c>
      <c r="L120" s="229"/>
      <c r="N120" s="231"/>
      <c r="O120" s="231"/>
      <c r="P120" s="231"/>
      <c r="Q120" s="232"/>
      <c r="T120" s="232"/>
      <c r="AA120" s="231"/>
      <c r="AI120" s="253" t="s">
        <v>1160</v>
      </c>
    </row>
    <row r="121" spans="1:35" s="230" customFormat="1" ht="11.25" customHeight="1">
      <c r="A121" s="78">
        <f ca="1">RANDBETWEEN(1,10)+NS</f>
        <v>6</v>
      </c>
      <c r="B121" s="234">
        <f ca="1">LOOKUP(RANDBETWEEN(1,100),de100X,NSX)</f>
        <v>3</v>
      </c>
      <c r="C121" s="232">
        <f ca="1">LOOKUP(RANDBETWEEN(1,100),de100X,RICx)</f>
        <v>1</v>
      </c>
      <c r="D121" s="235" t="str">
        <f ca="1">LOOKUP(A122,de100X,tailleX)</f>
        <v>petite</v>
      </c>
      <c r="E121" s="236">
        <f ca="1">LOOKUP(A122,de100X,longueurX)*C121</f>
        <v>4</v>
      </c>
      <c r="F121" s="236">
        <f ca="1">LOOKUP(A121,de100X,longueurX)*C121</f>
        <v>4</v>
      </c>
      <c r="G121" s="237" t="str">
        <f ca="1">LOOKUP(RANDBETWEEN(1,10),de100X,FormeX)</f>
        <v>carrée</v>
      </c>
      <c r="H121" s="238" t="str">
        <f ca="1">LOOKUP(RANDBETWEEN(1,10),de100X,SituationX)</f>
        <v>en cour</v>
      </c>
      <c r="I121" s="238" t="str">
        <f ca="1">LOOKUP(RANDBETWEEN(1,10)+B121,de100X,MatièreX)</f>
        <v>pierre/bois</v>
      </c>
      <c r="J121" s="239">
        <f ca="1">ROUNDDOWN((LOOKUP(RANDBETWEEN(1,10),de100X,de10X)+LOOKUP(RANDBETWEEN(1,10),de100X,de10X)-2)/((11-B121)/2),0)</f>
        <v>0</v>
      </c>
      <c r="K121" s="240">
        <f ca="1">ROUNDDOWN((LOOKUP(RANDBETWEEN(1,10),de100X,de10X)+LOOKUP(RANDBETWEEN(1,10),de100X,de10X)-2)/((10-B121)/2),0)</f>
        <v>0</v>
      </c>
      <c r="L121" s="241"/>
      <c r="N121" s="231"/>
      <c r="O121" s="231"/>
      <c r="P121" s="231"/>
      <c r="Q121" s="232"/>
      <c r="T121" s="232"/>
      <c r="AA121" s="231"/>
      <c r="AI121" s="253" t="s">
        <v>1161</v>
      </c>
    </row>
    <row r="122" spans="1:35" s="230" customFormat="1" ht="11.25" customHeight="1" thickBot="1">
      <c r="A122" s="78">
        <f ca="1">RANDBETWEEN(1,10)+B121</f>
        <v>6</v>
      </c>
      <c r="B122" s="243"/>
      <c r="C122" s="244"/>
      <c r="D122" s="245" t="s">
        <v>1144</v>
      </c>
      <c r="E122" s="246" t="str">
        <f ca="1">LOOKUP(RANDBETWEEN(1,10),de100X,PorteX)</f>
        <v>bois</v>
      </c>
      <c r="F122" s="246"/>
      <c r="G122" s="247" t="str">
        <f ca="1">LOOKUP(RANDBETWEEN(1,10),de100X,VisionX)</f>
        <v>grille</v>
      </c>
      <c r="H122" s="248">
        <f ca="1">LOOKUP(RANDBETWEEN(1,10),de100X,de10X)-1</f>
        <v>1</v>
      </c>
      <c r="I122" s="249" t="s">
        <v>1145</v>
      </c>
      <c r="J122" s="250" t="str">
        <f ca="1">IF(H122&gt;0,LOOKUP(RANDBETWEEN(1,100),de100X,AttributX),"-")</f>
        <v>2 colonnes</v>
      </c>
      <c r="K122" s="250" t="str">
        <f ca="1">IF(H122&gt;1,LOOKUP(RANDBETWEEN(1,100),de100X,AttributX),"-")</f>
        <v>-</v>
      </c>
      <c r="L122" s="251" t="str">
        <f ca="1">IF(H122&gt;2,LOOKUP(RANDBETWEEN(1,100),de100X,AttributX),"-")</f>
        <v>-</v>
      </c>
      <c r="N122" s="231"/>
      <c r="O122" s="231"/>
      <c r="P122" s="231"/>
      <c r="Q122" s="232"/>
      <c r="T122" s="232"/>
      <c r="AA122" s="231"/>
      <c r="AI122" s="253" t="s">
        <v>1162</v>
      </c>
    </row>
    <row r="123" spans="1:35" s="230" customFormat="1" ht="14.1" customHeight="1" thickBot="1">
      <c r="A123" s="219">
        <v>6</v>
      </c>
      <c r="N123" s="231"/>
      <c r="O123" s="231"/>
      <c r="P123" s="231"/>
      <c r="Q123" s="232"/>
      <c r="T123" s="232"/>
      <c r="AA123" s="231"/>
      <c r="AI123" s="253" t="s">
        <v>1163</v>
      </c>
    </row>
    <row r="124" spans="1:35" s="230" customFormat="1" ht="11.25" customHeight="1">
      <c r="A124" s="220">
        <f ca="1">LOOKUP(RANDBETWEEN(1,10),de100X,de10X)</f>
        <v>3</v>
      </c>
      <c r="B124" s="221" t="s">
        <v>1134</v>
      </c>
      <c r="C124" s="222" t="s">
        <v>1135</v>
      </c>
      <c r="D124" s="223" t="s">
        <v>709</v>
      </c>
      <c r="E124" s="224" t="s">
        <v>1136</v>
      </c>
      <c r="F124" s="224" t="s">
        <v>1137</v>
      </c>
      <c r="G124" s="225" t="s">
        <v>1138</v>
      </c>
      <c r="H124" s="226" t="s">
        <v>1139</v>
      </c>
      <c r="I124" s="226" t="s">
        <v>1140</v>
      </c>
      <c r="J124" s="227" t="s">
        <v>1141</v>
      </c>
      <c r="K124" s="228" t="s">
        <v>1142</v>
      </c>
      <c r="L124" s="229"/>
      <c r="N124" s="231"/>
      <c r="O124" s="231"/>
      <c r="P124" s="231"/>
      <c r="Q124" s="232"/>
      <c r="T124" s="232"/>
      <c r="AA124" s="231"/>
      <c r="AI124" s="253" t="s">
        <v>1164</v>
      </c>
    </row>
    <row r="125" spans="1:35" s="230" customFormat="1" ht="11.25" customHeight="1">
      <c r="A125" s="78">
        <f ca="1">RANDBETWEEN(1,10)+NS</f>
        <v>13</v>
      </c>
      <c r="B125" s="234">
        <f ca="1">LOOKUP(RANDBETWEEN(1,100),de100X,NSX)</f>
        <v>1</v>
      </c>
      <c r="C125" s="232">
        <f ca="1">LOOKUP(RANDBETWEEN(1,100),de100X,RICx)</f>
        <v>1</v>
      </c>
      <c r="D125" s="235" t="str">
        <f ca="1">LOOKUP(A126,de100X,tailleX)</f>
        <v>très petite</v>
      </c>
      <c r="E125" s="236">
        <f ca="1">LOOKUP(A126,de100X,longueurX)*C125</f>
        <v>3</v>
      </c>
      <c r="F125" s="236">
        <f ca="1">LOOKUP(A125,de100X,longueurX)*C125</f>
        <v>8</v>
      </c>
      <c r="G125" s="237" t="str">
        <f ca="1">LOOKUP(RANDBETWEEN(1,10),de100X,FormeX)</f>
        <v>FormeX</v>
      </c>
      <c r="H125" s="238" t="str">
        <f ca="1">LOOKUP(RANDBETWEEN(1,10),de100X,SituationX)</f>
        <v>isolée</v>
      </c>
      <c r="I125" s="238" t="str">
        <f ca="1">LOOKUP(RANDBETWEEN(1,10)+B125,de100X,MatièreX)</f>
        <v>planche</v>
      </c>
      <c r="J125" s="239">
        <f ca="1">ROUNDDOWN((LOOKUP(RANDBETWEEN(1,10),de100X,de10X)+LOOKUP(RANDBETWEEN(1,10),de100X,de10X)-2)/((11-B125)/2),0)</f>
        <v>0</v>
      </c>
      <c r="K125" s="240">
        <f ca="1">ROUNDDOWN((LOOKUP(RANDBETWEEN(1,10),de100X,de10X)+LOOKUP(RANDBETWEEN(1,10),de100X,de10X)-2)/((10-B125)/2),0)</f>
        <v>0</v>
      </c>
      <c r="L125" s="241"/>
      <c r="N125" s="231"/>
      <c r="O125" s="231"/>
      <c r="P125" s="231"/>
      <c r="Q125" s="232"/>
      <c r="T125" s="232"/>
      <c r="AA125" s="231"/>
      <c r="AI125" s="253" t="s">
        <v>1165</v>
      </c>
    </row>
    <row r="126" spans="1:35" s="230" customFormat="1" ht="11.25" customHeight="1" thickBot="1">
      <c r="A126" s="78">
        <f ca="1">RANDBETWEEN(1,10)+B125</f>
        <v>3</v>
      </c>
      <c r="B126" s="243"/>
      <c r="C126" s="244"/>
      <c r="D126" s="245" t="s">
        <v>1144</v>
      </c>
      <c r="E126" s="246" t="str">
        <f ca="1">LOOKUP(RANDBETWEEN(1,10),de100X,PorteX)</f>
        <v>bois</v>
      </c>
      <c r="F126" s="246"/>
      <c r="G126" s="247" t="str">
        <f ca="1">LOOKUP(RANDBETWEEN(1,10),de100X,VisionX)</f>
        <v>-</v>
      </c>
      <c r="H126" s="248">
        <f ca="1">LOOKUP(RANDBETWEEN(1,10),de100X,de10X)-1</f>
        <v>0</v>
      </c>
      <c r="I126" s="249" t="s">
        <v>1145</v>
      </c>
      <c r="J126" s="250" t="str">
        <f ca="1">IF(H126&gt;0,LOOKUP(RANDBETWEEN(1,100),de100X,AttributX),"-")</f>
        <v>-</v>
      </c>
      <c r="K126" s="250" t="str">
        <f ca="1">IF(H126&gt;1,LOOKUP(RANDBETWEEN(1,100),de100X,AttributX),"-")</f>
        <v>-</v>
      </c>
      <c r="L126" s="251" t="str">
        <f ca="1">IF(H126&gt;2,LOOKUP(RANDBETWEEN(1,100),de100X,AttributX),"-")</f>
        <v>-</v>
      </c>
      <c r="N126" s="231"/>
      <c r="O126" s="231"/>
      <c r="P126" s="231"/>
      <c r="Q126" s="232"/>
      <c r="T126" s="232"/>
      <c r="AA126" s="231"/>
      <c r="AI126" s="253" t="s">
        <v>1166</v>
      </c>
    </row>
    <row r="127" spans="1:35" s="230" customFormat="1" ht="14.1" customHeight="1" thickBot="1">
      <c r="A127" s="219">
        <v>7</v>
      </c>
      <c r="N127" s="231"/>
      <c r="O127" s="231"/>
      <c r="P127" s="231"/>
      <c r="Q127" s="232"/>
      <c r="T127" s="232"/>
      <c r="AA127" s="231"/>
      <c r="AI127" s="253" t="s">
        <v>1167</v>
      </c>
    </row>
    <row r="128" spans="1:35" s="230" customFormat="1" ht="11.25" customHeight="1">
      <c r="A128" s="220">
        <f ca="1">LOOKUP(RANDBETWEEN(1,10),de100X,de10X)</f>
        <v>4</v>
      </c>
      <c r="B128" s="221" t="s">
        <v>1134</v>
      </c>
      <c r="C128" s="222" t="s">
        <v>1135</v>
      </c>
      <c r="D128" s="223" t="s">
        <v>709</v>
      </c>
      <c r="E128" s="224" t="s">
        <v>1136</v>
      </c>
      <c r="F128" s="224" t="s">
        <v>1137</v>
      </c>
      <c r="G128" s="225" t="s">
        <v>1138</v>
      </c>
      <c r="H128" s="226" t="s">
        <v>1139</v>
      </c>
      <c r="I128" s="226" t="s">
        <v>1140</v>
      </c>
      <c r="J128" s="227" t="s">
        <v>1141</v>
      </c>
      <c r="K128" s="228" t="s">
        <v>1142</v>
      </c>
      <c r="L128" s="229"/>
      <c r="N128" s="231"/>
      <c r="O128" s="231"/>
      <c r="P128" s="231"/>
      <c r="Q128" s="232"/>
      <c r="T128" s="232"/>
      <c r="AA128" s="231"/>
      <c r="AI128" s="253" t="s">
        <v>1168</v>
      </c>
    </row>
    <row r="129" spans="1:35" s="230" customFormat="1" ht="11.25" customHeight="1">
      <c r="A129" s="78">
        <f ca="1">RANDBETWEEN(1,10)+NS</f>
        <v>14</v>
      </c>
      <c r="B129" s="234">
        <f ca="1">LOOKUP(RANDBETWEEN(1,100),de100X,NSX)</f>
        <v>4</v>
      </c>
      <c r="C129" s="232">
        <f ca="1">LOOKUP(RANDBETWEEN(1,100),de100X,RICx)</f>
        <v>0.8</v>
      </c>
      <c r="D129" s="235" t="str">
        <f ca="1">LOOKUP(A130,de100X,tailleX)</f>
        <v>très grande</v>
      </c>
      <c r="E129" s="236">
        <f ca="1">LOOKUP(A130,de100X,longueurX)*C129</f>
        <v>8</v>
      </c>
      <c r="F129" s="236">
        <f ca="1">LOOKUP(A129,de100X,longueurX)*C129</f>
        <v>8</v>
      </c>
      <c r="G129" s="237" t="str">
        <f ca="1">LOOKUP(RANDBETWEEN(1,10),de100X,FormeX)</f>
        <v>rectangulaire</v>
      </c>
      <c r="H129" s="238" t="str">
        <f ca="1">LOOKUP(RANDBETWEEN(1,10),de100X,SituationX)</f>
        <v>impasse</v>
      </c>
      <c r="I129" s="238" t="str">
        <f ca="1">LOOKUP(RANDBETWEEN(1,10)+B129,de100X,MatièreX)</f>
        <v>bois</v>
      </c>
      <c r="J129" s="239">
        <f ca="1">ROUNDDOWN((LOOKUP(RANDBETWEEN(1,10),de100X,de10X)+LOOKUP(RANDBETWEEN(1,10),de100X,de10X)-2)/((11-B129)/2),0)</f>
        <v>0</v>
      </c>
      <c r="K129" s="240">
        <f ca="1">ROUNDDOWN((LOOKUP(RANDBETWEEN(1,10),de100X,de10X)+LOOKUP(RANDBETWEEN(1,10),de100X,de10X)-2)/((10-B129)/2),0)</f>
        <v>1</v>
      </c>
      <c r="L129" s="241"/>
      <c r="N129" s="231"/>
      <c r="O129" s="231"/>
      <c r="P129" s="231"/>
      <c r="Q129" s="232"/>
      <c r="T129" s="232"/>
      <c r="AA129" s="231"/>
      <c r="AI129" s="253" t="s">
        <v>1169</v>
      </c>
    </row>
    <row r="130" spans="1:35" s="230" customFormat="1" ht="11.25" customHeight="1" thickBot="1">
      <c r="A130" s="78">
        <f ca="1">RANDBETWEEN(1,10)+B129</f>
        <v>14</v>
      </c>
      <c r="B130" s="243"/>
      <c r="C130" s="244"/>
      <c r="D130" s="245" t="s">
        <v>1144</v>
      </c>
      <c r="E130" s="246" t="str">
        <f ca="1">LOOKUP(RANDBETWEEN(1,10),de100X,PorteX)</f>
        <v>barres métal</v>
      </c>
      <c r="F130" s="246"/>
      <c r="G130" s="247" t="str">
        <f ca="1">LOOKUP(RANDBETWEEN(1,10),de100X,VisionX)</f>
        <v>-</v>
      </c>
      <c r="H130" s="248">
        <f ca="1">LOOKUP(RANDBETWEEN(1,10),de100X,de10X)-1</f>
        <v>2</v>
      </c>
      <c r="I130" s="249" t="s">
        <v>1145</v>
      </c>
      <c r="J130" s="250" t="str">
        <f ca="1">IF(H130&gt;0,LOOKUP(RANDBETWEEN(1,100),de100X,AttributX),"-")</f>
        <v>escalier</v>
      </c>
      <c r="K130" s="250" t="str">
        <f ca="1">IF(H130&gt;1,LOOKUP(RANDBETWEEN(1,100),de100X,AttributX),"-")</f>
        <v>escalier pierre</v>
      </c>
      <c r="L130" s="251" t="str">
        <f ca="1">IF(H130&gt;2,LOOKUP(RANDBETWEEN(1,100),de100X,AttributX),"-")</f>
        <v>-</v>
      </c>
      <c r="N130" s="231"/>
      <c r="O130" s="231"/>
      <c r="P130" s="231"/>
      <c r="Q130" s="232"/>
      <c r="T130" s="232"/>
      <c r="AA130" s="231"/>
      <c r="AI130" s="253" t="s">
        <v>1170</v>
      </c>
    </row>
    <row r="131" spans="1:35" s="230" customFormat="1" ht="14.1" customHeight="1" thickBot="1">
      <c r="A131" s="219">
        <v>8</v>
      </c>
      <c r="N131" s="231"/>
      <c r="O131" s="231"/>
      <c r="P131" s="231"/>
      <c r="Q131" s="232"/>
      <c r="T131" s="232"/>
      <c r="AA131" s="231"/>
      <c r="AI131" s="253" t="s">
        <v>1171</v>
      </c>
    </row>
    <row r="132" spans="1:35" s="230" customFormat="1" ht="11.25" customHeight="1">
      <c r="A132" s="220">
        <f ca="1">LOOKUP(RANDBETWEEN(1,10),de100X,de10X)</f>
        <v>1</v>
      </c>
      <c r="B132" s="221" t="s">
        <v>1134</v>
      </c>
      <c r="C132" s="222" t="s">
        <v>1135</v>
      </c>
      <c r="D132" s="223" t="s">
        <v>709</v>
      </c>
      <c r="E132" s="224" t="s">
        <v>1136</v>
      </c>
      <c r="F132" s="224" t="s">
        <v>1137</v>
      </c>
      <c r="G132" s="225" t="s">
        <v>1138</v>
      </c>
      <c r="H132" s="226" t="s">
        <v>1139</v>
      </c>
      <c r="I132" s="226" t="s">
        <v>1140</v>
      </c>
      <c r="J132" s="227" t="s">
        <v>1141</v>
      </c>
      <c r="K132" s="228" t="s">
        <v>1142</v>
      </c>
      <c r="L132" s="229"/>
      <c r="N132" s="231"/>
      <c r="O132" s="231"/>
      <c r="P132" s="231"/>
      <c r="Q132" s="232"/>
      <c r="T132" s="232"/>
      <c r="AA132" s="231"/>
      <c r="AI132" s="253" t="s">
        <v>1172</v>
      </c>
    </row>
    <row r="133" spans="1:35" s="230" customFormat="1" ht="11.25" customHeight="1">
      <c r="A133" s="78">
        <f ca="1">RANDBETWEEN(1,10)+NS</f>
        <v>9</v>
      </c>
      <c r="B133" s="234">
        <f ca="1">LOOKUP(RANDBETWEEN(1,100),de100X,NSX)</f>
        <v>3</v>
      </c>
      <c r="C133" s="232">
        <f ca="1">LOOKUP(RANDBETWEEN(1,100),de100X,RICx)</f>
        <v>0.5</v>
      </c>
      <c r="D133" s="235" t="str">
        <f ca="1">LOOKUP(A134,de100X,tailleX)</f>
        <v>petite</v>
      </c>
      <c r="E133" s="236">
        <f ca="1">LOOKUP(A134,de100X,longueurX)*C133</f>
        <v>2.5</v>
      </c>
      <c r="F133" s="236">
        <f ca="1">LOOKUP(A133,de100X,longueurX)*C133</f>
        <v>3</v>
      </c>
      <c r="G133" s="237" t="str">
        <f ca="1">LOOKUP(RANDBETWEEN(1,10),de100X,FormeX)</f>
        <v>carrée</v>
      </c>
      <c r="H133" s="238" t="str">
        <f ca="1">LOOKUP(RANDBETWEEN(1,10),de100X,SituationX)</f>
        <v>entre deux</v>
      </c>
      <c r="I133" s="238" t="str">
        <f ca="1">LOOKUP(RANDBETWEEN(1,10)+B133,de100X,MatièreX)</f>
        <v>bois</v>
      </c>
      <c r="J133" s="239">
        <f ca="1">ROUNDDOWN((LOOKUP(RANDBETWEEN(1,10),de100X,de10X)+LOOKUP(RANDBETWEEN(1,10),de100X,de10X)-2)/((11-B133)/2),0)</f>
        <v>0</v>
      </c>
      <c r="K133" s="240">
        <f ca="1">ROUNDDOWN((LOOKUP(RANDBETWEEN(1,10),de100X,de10X)+LOOKUP(RANDBETWEEN(1,10),de100X,de10X)-2)/((10-B133)/2),0)</f>
        <v>0</v>
      </c>
      <c r="L133" s="241"/>
      <c r="N133" s="231"/>
      <c r="O133" s="231"/>
      <c r="P133" s="231"/>
      <c r="Q133" s="232"/>
      <c r="T133" s="232"/>
      <c r="AA133" s="231"/>
      <c r="AI133" s="253" t="s">
        <v>1173</v>
      </c>
    </row>
    <row r="134" spans="1:35" s="230" customFormat="1" ht="11.25" customHeight="1" thickBot="1">
      <c r="A134" s="78">
        <f ca="1">RANDBETWEEN(1,10)+B133</f>
        <v>11</v>
      </c>
      <c r="B134" s="243"/>
      <c r="C134" s="244"/>
      <c r="D134" s="245" t="s">
        <v>1144</v>
      </c>
      <c r="E134" s="246" t="str">
        <f ca="1">LOOKUP(RANDBETWEEN(1,10),de100X,PorteX)</f>
        <v>barres métal</v>
      </c>
      <c r="F134" s="246"/>
      <c r="G134" s="247" t="str">
        <f ca="1">LOOKUP(RANDBETWEEN(1,10),de100X,VisionX)</f>
        <v>grille</v>
      </c>
      <c r="H134" s="248">
        <f ca="1">LOOKUP(RANDBETWEEN(1,10),de100X,de10X)-1</f>
        <v>2</v>
      </c>
      <c r="I134" s="249" t="s">
        <v>1145</v>
      </c>
      <c r="J134" s="250" t="str">
        <f ca="1">IF(H134&gt;0,LOOKUP(RANDBETWEEN(1,100),de100X,AttributX),"-")</f>
        <v>échelle de côté</v>
      </c>
      <c r="K134" s="250" t="str">
        <f ca="1">IF(H134&gt;1,LOOKUP(RANDBETWEEN(1,100),de100X,AttributX),"-")</f>
        <v>1 garde</v>
      </c>
      <c r="L134" s="251" t="str">
        <f ca="1">IF(H134&gt;2,LOOKUP(RANDBETWEEN(1,100),de100X,AttributX),"-")</f>
        <v>-</v>
      </c>
      <c r="N134" s="231"/>
      <c r="O134" s="231"/>
      <c r="P134" s="231"/>
      <c r="Q134" s="232"/>
      <c r="T134" s="232"/>
      <c r="AA134" s="231"/>
      <c r="AI134" s="253" t="s">
        <v>1174</v>
      </c>
    </row>
    <row r="135" spans="1:35" s="230" customFormat="1" ht="14.1" customHeight="1" thickBot="1">
      <c r="A135" s="219">
        <v>9</v>
      </c>
      <c r="N135" s="231"/>
      <c r="O135" s="231"/>
      <c r="P135" s="231"/>
      <c r="Q135" s="232"/>
      <c r="T135" s="232"/>
      <c r="AA135" s="231"/>
      <c r="AI135" s="253" t="s">
        <v>1175</v>
      </c>
    </row>
    <row r="136" spans="1:35" s="230" customFormat="1" ht="11.25" customHeight="1">
      <c r="A136" s="220">
        <f ca="1">LOOKUP(RANDBETWEEN(1,10),de100X,de10X)</f>
        <v>2</v>
      </c>
      <c r="B136" s="221" t="s">
        <v>1134</v>
      </c>
      <c r="C136" s="222" t="s">
        <v>1135</v>
      </c>
      <c r="D136" s="223" t="s">
        <v>709</v>
      </c>
      <c r="E136" s="224" t="s">
        <v>1136</v>
      </c>
      <c r="F136" s="224" t="s">
        <v>1137</v>
      </c>
      <c r="G136" s="225" t="s">
        <v>1138</v>
      </c>
      <c r="H136" s="226" t="s">
        <v>1139</v>
      </c>
      <c r="I136" s="226" t="s">
        <v>1140</v>
      </c>
      <c r="J136" s="227" t="s">
        <v>1141</v>
      </c>
      <c r="K136" s="228" t="s">
        <v>1142</v>
      </c>
      <c r="L136" s="229"/>
      <c r="N136" s="231"/>
      <c r="O136" s="231"/>
      <c r="P136" s="231"/>
      <c r="Q136" s="232"/>
      <c r="T136" s="232"/>
      <c r="AA136" s="231"/>
      <c r="AI136" s="253" t="s">
        <v>1176</v>
      </c>
    </row>
    <row r="137" spans="1:35" s="230" customFormat="1" ht="11.25" customHeight="1">
      <c r="A137" s="78">
        <f ca="1">RANDBETWEEN(1,10)+NS</f>
        <v>9</v>
      </c>
      <c r="B137" s="234">
        <f ca="1">LOOKUP(RANDBETWEEN(1,100),de100X,NSX)</f>
        <v>4</v>
      </c>
      <c r="C137" s="232">
        <f ca="1">LOOKUP(RANDBETWEEN(1,100),de100X,RICx)</f>
        <v>1</v>
      </c>
      <c r="D137" s="235" t="str">
        <f ca="1">LOOKUP(A138,de100X,tailleX)</f>
        <v>moyenne</v>
      </c>
      <c r="E137" s="236">
        <f ca="1">LOOKUP(A138,de100X,longueurX)*C137</f>
        <v>7</v>
      </c>
      <c r="F137" s="236">
        <f ca="1">LOOKUP(A137,de100X,longueurX)*C137</f>
        <v>6</v>
      </c>
      <c r="G137" s="237" t="str">
        <f ca="1">LOOKUP(RANDBETWEEN(1,10),de100X,FormeX)</f>
        <v>rectangulaire</v>
      </c>
      <c r="H137" s="238" t="str">
        <f ca="1">LOOKUP(RANDBETWEEN(1,10),de100X,SituationX)</f>
        <v>trois façades</v>
      </c>
      <c r="I137" s="238" t="str">
        <f ca="1">LOOKUP(RANDBETWEEN(1,10)+B137,de100X,MatièreX)</f>
        <v>bois</v>
      </c>
      <c r="J137" s="239">
        <f ca="1">ROUNDDOWN((LOOKUP(RANDBETWEEN(1,10),de100X,de10X)+LOOKUP(RANDBETWEEN(1,10),de100X,de10X)-2)/((11-B137)/2),0)</f>
        <v>1</v>
      </c>
      <c r="K137" s="240">
        <f ca="1">ROUNDDOWN((LOOKUP(RANDBETWEEN(1,10),de100X,de10X)+LOOKUP(RANDBETWEEN(1,10),de100X,de10X)-2)/((10-B137)/2),0)</f>
        <v>1</v>
      </c>
      <c r="L137" s="241"/>
      <c r="N137" s="231"/>
      <c r="O137" s="231"/>
      <c r="P137" s="231"/>
      <c r="Q137" s="232"/>
      <c r="T137" s="232"/>
      <c r="AA137" s="231"/>
      <c r="AI137" s="253" t="s">
        <v>1177</v>
      </c>
    </row>
    <row r="138" spans="1:35" s="230" customFormat="1" ht="11.25" customHeight="1" thickBot="1">
      <c r="A138" s="78">
        <f ca="1">RANDBETWEEN(1,10)+B137</f>
        <v>12</v>
      </c>
      <c r="B138" s="243"/>
      <c r="C138" s="244"/>
      <c r="D138" s="245" t="s">
        <v>1144</v>
      </c>
      <c r="E138" s="246" t="str">
        <f ca="1">LOOKUP(RANDBETWEEN(1,10),de100X,PorteX)</f>
        <v>herse</v>
      </c>
      <c r="F138" s="246"/>
      <c r="G138" s="247" t="str">
        <f ca="1">LOOKUP(RANDBETWEEN(1,10),de100X,VisionX)</f>
        <v>judas</v>
      </c>
      <c r="H138" s="248">
        <f ca="1">LOOKUP(RANDBETWEEN(1,10),de100X,de10X)-1</f>
        <v>3</v>
      </c>
      <c r="I138" s="249" t="s">
        <v>1145</v>
      </c>
      <c r="J138" s="250" t="str">
        <f ca="1">IF(H138&gt;0,LOOKUP(RANDBETWEEN(1,100),de100X,AttributX),"-")</f>
        <v>1 garde</v>
      </c>
      <c r="K138" s="250" t="str">
        <f ca="1">IF(H138&gt;1,LOOKUP(RANDBETWEEN(1,100),de100X,AttributX),"-")</f>
        <v>dorures</v>
      </c>
      <c r="L138" s="251" t="str">
        <f ca="1">IF(H138&gt;2,LOOKUP(RANDBETWEEN(1,100),de100X,AttributX),"-")</f>
        <v>cour cachée</v>
      </c>
      <c r="N138" s="231"/>
      <c r="O138" s="231"/>
      <c r="P138" s="231"/>
      <c r="Q138" s="232"/>
      <c r="T138" s="232"/>
      <c r="AA138" s="231"/>
      <c r="AI138" s="253" t="s">
        <v>1178</v>
      </c>
    </row>
    <row r="139" spans="1:35" s="230" customFormat="1" ht="14.1" customHeight="1" thickBot="1">
      <c r="A139" s="219">
        <v>10</v>
      </c>
      <c r="N139" s="231"/>
      <c r="O139" s="231"/>
      <c r="P139" s="231"/>
      <c r="Q139" s="232"/>
      <c r="T139" s="232"/>
      <c r="AA139" s="231"/>
      <c r="AI139" s="253" t="s">
        <v>1179</v>
      </c>
    </row>
    <row r="140" spans="1:35" s="230" customFormat="1" ht="11.25" customHeight="1">
      <c r="A140" s="220">
        <f ca="1">LOOKUP(RANDBETWEEN(1,10),de100X,de10X)</f>
        <v>1</v>
      </c>
      <c r="B140" s="221" t="s">
        <v>1134</v>
      </c>
      <c r="C140" s="222" t="s">
        <v>1135</v>
      </c>
      <c r="D140" s="223" t="s">
        <v>709</v>
      </c>
      <c r="E140" s="224" t="s">
        <v>1136</v>
      </c>
      <c r="F140" s="224" t="s">
        <v>1137</v>
      </c>
      <c r="G140" s="225" t="s">
        <v>1138</v>
      </c>
      <c r="H140" s="226" t="s">
        <v>1139</v>
      </c>
      <c r="I140" s="226" t="s">
        <v>1140</v>
      </c>
      <c r="J140" s="227" t="s">
        <v>1141</v>
      </c>
      <c r="K140" s="228" t="s">
        <v>1142</v>
      </c>
      <c r="L140" s="229"/>
      <c r="N140" s="231"/>
      <c r="O140" s="231"/>
      <c r="P140" s="231"/>
      <c r="Q140" s="232"/>
      <c r="T140" s="232"/>
      <c r="AA140" s="231"/>
      <c r="AI140" s="253" t="s">
        <v>1180</v>
      </c>
    </row>
    <row r="141" spans="1:35" s="230" customFormat="1" ht="11.25" customHeight="1">
      <c r="A141" s="78">
        <f ca="1">RANDBETWEEN(1,10)+NS</f>
        <v>8</v>
      </c>
      <c r="B141" s="234">
        <f ca="1">LOOKUP(RANDBETWEEN(1,100),de100X,NSX)</f>
        <v>2</v>
      </c>
      <c r="C141" s="232">
        <f ca="1">LOOKUP(RANDBETWEEN(1,100),de100X,RICx)</f>
        <v>0.8</v>
      </c>
      <c r="D141" s="235" t="str">
        <f ca="1">LOOKUP(A142,de100X,tailleX)</f>
        <v>très petite</v>
      </c>
      <c r="E141" s="236">
        <f ca="1">LOOKUP(A142,de100X,longueurX)*C141</f>
        <v>2.4000000000000004</v>
      </c>
      <c r="F141" s="236">
        <f ca="1">LOOKUP(A141,de100X,longueurX)*C141</f>
        <v>4.8000000000000007</v>
      </c>
      <c r="G141" s="237" t="str">
        <f ca="1">LOOKUP(RANDBETWEEN(1,10),de100X,FormeX)</f>
        <v>carrée</v>
      </c>
      <c r="H141" s="238" t="str">
        <f ca="1">LOOKUP(RANDBETWEEN(1,10),de100X,SituationX)</f>
        <v>entre deux</v>
      </c>
      <c r="I141" s="238" t="str">
        <f ca="1">LOOKUP(RANDBETWEEN(1,10)+B141,de100X,MatièreX)</f>
        <v>planche</v>
      </c>
      <c r="J141" s="239">
        <f ca="1">ROUNDDOWN((LOOKUP(RANDBETWEEN(1,10),de100X,de10X)+LOOKUP(RANDBETWEEN(1,10),de100X,de10X)-2)/((11-B141)/2),0)</f>
        <v>1</v>
      </c>
      <c r="K141" s="240">
        <f ca="1">ROUNDDOWN((LOOKUP(RANDBETWEEN(1,10),de100X,de10X)+LOOKUP(RANDBETWEEN(1,10),de100X,de10X)-2)/((10-B141)/2),0)</f>
        <v>0</v>
      </c>
      <c r="L141" s="241"/>
      <c r="N141" s="231"/>
      <c r="O141" s="231"/>
      <c r="P141" s="231"/>
      <c r="Q141" s="232"/>
      <c r="T141" s="232"/>
      <c r="AA141" s="231"/>
      <c r="AI141" s="253" t="s">
        <v>1181</v>
      </c>
    </row>
    <row r="142" spans="1:35" s="230" customFormat="1" ht="11.25" customHeight="1" thickBot="1">
      <c r="A142" s="78">
        <f ca="1">RANDBETWEEN(1,10)+B141</f>
        <v>3</v>
      </c>
      <c r="B142" s="243"/>
      <c r="C142" s="244"/>
      <c r="D142" s="245" t="s">
        <v>1144</v>
      </c>
      <c r="E142" s="246" t="str">
        <f ca="1">LOOKUP(RANDBETWEEN(1,10),de100X,PorteX)</f>
        <v>tissus</v>
      </c>
      <c r="F142" s="246"/>
      <c r="G142" s="247" t="str">
        <f ca="1">LOOKUP(RANDBETWEEN(1,10),de100X,VisionX)</f>
        <v>-</v>
      </c>
      <c r="H142" s="248">
        <f ca="1">LOOKUP(RANDBETWEEN(1,10),de100X,de10X)-1</f>
        <v>3</v>
      </c>
      <c r="I142" s="249" t="s">
        <v>1145</v>
      </c>
      <c r="J142" s="250" t="str">
        <f ca="1">IF(H142&gt;0,LOOKUP(RANDBETWEEN(1,100),de100X,AttributX),"-")</f>
        <v>chemin caché</v>
      </c>
      <c r="K142" s="250" t="str">
        <f ca="1">IF(H142&gt;1,LOOKUP(RANDBETWEEN(1,100),de100X,AttributX),"-")</f>
        <v>8 colonnes</v>
      </c>
      <c r="L142" s="251" t="str">
        <f ca="1">IF(H142&gt;2,LOOKUP(RANDBETWEEN(1,100),de100X,AttributX),"-")</f>
        <v>escalier bois</v>
      </c>
      <c r="N142" s="231"/>
      <c r="O142" s="231"/>
      <c r="P142" s="231"/>
      <c r="Q142" s="232"/>
      <c r="T142" s="232"/>
      <c r="AA142" s="231"/>
      <c r="AI142" s="253" t="s">
        <v>1182</v>
      </c>
    </row>
    <row r="143" spans="1:35" s="230" customFormat="1" ht="14.1" customHeight="1" thickBot="1">
      <c r="A143" s="219">
        <v>11</v>
      </c>
      <c r="N143" s="231"/>
      <c r="O143" s="231"/>
      <c r="P143" s="231"/>
      <c r="Q143" s="232"/>
      <c r="T143" s="232"/>
      <c r="AA143" s="231"/>
      <c r="AI143" s="253" t="s">
        <v>1183</v>
      </c>
    </row>
    <row r="144" spans="1:35" s="230" customFormat="1" ht="11.25" customHeight="1">
      <c r="A144" s="220">
        <f ca="1">LOOKUP(RANDBETWEEN(1,10),de100X,de10X)</f>
        <v>1</v>
      </c>
      <c r="B144" s="221" t="s">
        <v>1134</v>
      </c>
      <c r="C144" s="222" t="s">
        <v>1135</v>
      </c>
      <c r="D144" s="223" t="s">
        <v>709</v>
      </c>
      <c r="E144" s="224" t="s">
        <v>1136</v>
      </c>
      <c r="F144" s="224" t="s">
        <v>1137</v>
      </c>
      <c r="G144" s="225" t="s">
        <v>1138</v>
      </c>
      <c r="H144" s="226" t="s">
        <v>1139</v>
      </c>
      <c r="I144" s="226" t="s">
        <v>1140</v>
      </c>
      <c r="J144" s="227" t="s">
        <v>1141</v>
      </c>
      <c r="K144" s="228" t="s">
        <v>1142</v>
      </c>
      <c r="L144" s="229"/>
      <c r="N144" s="231"/>
      <c r="O144" s="231"/>
      <c r="P144" s="231"/>
      <c r="Q144" s="232"/>
      <c r="T144" s="232"/>
      <c r="AA144" s="231"/>
      <c r="AI144" s="253" t="s">
        <v>1184</v>
      </c>
    </row>
    <row r="145" spans="1:35" s="230" customFormat="1" ht="11.25" customHeight="1">
      <c r="A145" s="78">
        <f ca="1">RANDBETWEEN(1,10)+NS</f>
        <v>6</v>
      </c>
      <c r="B145" s="234">
        <f ca="1">LOOKUP(RANDBETWEEN(1,100),de100X,NSX)</f>
        <v>2</v>
      </c>
      <c r="C145" s="232">
        <f ca="1">LOOKUP(RANDBETWEEN(1,100),de100X,RICx)</f>
        <v>1.3</v>
      </c>
      <c r="D145" s="235" t="str">
        <f ca="1">LOOKUP(A146,de100X,tailleX)</f>
        <v>petite</v>
      </c>
      <c r="E145" s="236">
        <f ca="1">LOOKUP(A146,de100X,longueurX)*C145</f>
        <v>5.2</v>
      </c>
      <c r="F145" s="236">
        <f ca="1">LOOKUP(A145,de100X,longueurX)*C145</f>
        <v>5.2</v>
      </c>
      <c r="G145" s="237" t="str">
        <f ca="1">LOOKUP(RANDBETWEEN(1,10),de100X,FormeX)</f>
        <v>rectangulaire</v>
      </c>
      <c r="H145" s="238" t="str">
        <f ca="1">LOOKUP(RANDBETWEEN(1,10),de100X,SituationX)</f>
        <v>trois façades</v>
      </c>
      <c r="I145" s="238" t="str">
        <f ca="1">LOOKUP(RANDBETWEEN(1,10)+B145,de100X,MatièreX)</f>
        <v>tissus</v>
      </c>
      <c r="J145" s="239">
        <f ca="1">ROUNDDOWN((LOOKUP(RANDBETWEEN(1,10),de100X,de10X)+LOOKUP(RANDBETWEEN(1,10),de100X,de10X)-2)/((11-B145)/2),0)</f>
        <v>0</v>
      </c>
      <c r="K145" s="240">
        <f ca="1">ROUNDDOWN((LOOKUP(RANDBETWEEN(1,10),de100X,de10X)+LOOKUP(RANDBETWEEN(1,10),de100X,de10X)-2)/((10-B145)/2),0)</f>
        <v>0</v>
      </c>
      <c r="L145" s="241"/>
      <c r="N145" s="231"/>
      <c r="O145" s="231"/>
      <c r="P145" s="231"/>
      <c r="Q145" s="232"/>
      <c r="T145" s="232"/>
      <c r="AA145" s="231"/>
      <c r="AI145" s="253" t="s">
        <v>1185</v>
      </c>
    </row>
    <row r="146" spans="1:35" s="230" customFormat="1" ht="11.25" customHeight="1" thickBot="1">
      <c r="A146" s="78">
        <f ca="1">RANDBETWEEN(1,10)+B145</f>
        <v>5</v>
      </c>
      <c r="B146" s="243"/>
      <c r="C146" s="244"/>
      <c r="D146" s="245" t="s">
        <v>1144</v>
      </c>
      <c r="E146" s="246" t="str">
        <f ca="1">LOOKUP(RANDBETWEEN(1,10),de100X,PorteX)</f>
        <v>bois</v>
      </c>
      <c r="F146" s="246"/>
      <c r="G146" s="247" t="str">
        <f ca="1">LOOKUP(RANDBETWEEN(1,10),de100X,VisionX)</f>
        <v>-</v>
      </c>
      <c r="H146" s="248">
        <f ca="1">LOOKUP(RANDBETWEEN(1,10),de100X,de10X)-1</f>
        <v>1</v>
      </c>
      <c r="I146" s="249" t="s">
        <v>1145</v>
      </c>
      <c r="J146" s="250" t="str">
        <f ca="1">IF(H146&gt;0,LOOKUP(RANDBETWEEN(1,100),de100X,AttributX),"-")</f>
        <v>accès caché</v>
      </c>
      <c r="K146" s="250" t="str">
        <f ca="1">IF(H146&gt;1,LOOKUP(RANDBETWEEN(1,100),de100X,AttributX),"-")</f>
        <v>-</v>
      </c>
      <c r="L146" s="251" t="str">
        <f ca="1">IF(H146&gt;2,LOOKUP(RANDBETWEEN(1,100),de100X,AttributX),"-")</f>
        <v>-</v>
      </c>
      <c r="N146" s="231"/>
      <c r="O146" s="231"/>
      <c r="P146" s="231"/>
      <c r="Q146" s="232"/>
      <c r="T146" s="232"/>
      <c r="AA146" s="231"/>
      <c r="AI146" s="253" t="s">
        <v>1186</v>
      </c>
    </row>
    <row r="147" spans="1:35" s="230" customFormat="1" ht="14.1" customHeight="1" thickBot="1">
      <c r="A147" s="219">
        <v>12</v>
      </c>
      <c r="N147" s="231"/>
      <c r="O147" s="231"/>
      <c r="P147" s="231"/>
      <c r="Q147" s="232"/>
      <c r="T147" s="232"/>
      <c r="AA147" s="231"/>
      <c r="AI147" s="253" t="s">
        <v>1187</v>
      </c>
    </row>
    <row r="148" spans="1:35" s="230" customFormat="1" ht="11.25" customHeight="1">
      <c r="A148" s="220">
        <f ca="1">LOOKUP(RANDBETWEEN(1,10),de100X,de10X)</f>
        <v>3</v>
      </c>
      <c r="B148" s="221" t="s">
        <v>1134</v>
      </c>
      <c r="C148" s="222" t="s">
        <v>1135</v>
      </c>
      <c r="D148" s="223" t="s">
        <v>709</v>
      </c>
      <c r="E148" s="224" t="s">
        <v>1136</v>
      </c>
      <c r="F148" s="224" t="s">
        <v>1137</v>
      </c>
      <c r="G148" s="225" t="s">
        <v>1138</v>
      </c>
      <c r="H148" s="226" t="s">
        <v>1139</v>
      </c>
      <c r="I148" s="226" t="s">
        <v>1140</v>
      </c>
      <c r="J148" s="227" t="s">
        <v>1141</v>
      </c>
      <c r="K148" s="228" t="s">
        <v>1142</v>
      </c>
      <c r="L148" s="229"/>
      <c r="N148" s="231"/>
      <c r="O148" s="231"/>
      <c r="P148" s="231"/>
      <c r="Q148" s="232"/>
      <c r="T148" s="232"/>
      <c r="AA148" s="231"/>
      <c r="AI148" s="253" t="s">
        <v>1188</v>
      </c>
    </row>
    <row r="149" spans="1:35" s="230" customFormat="1" ht="11.25" customHeight="1">
      <c r="A149" s="78">
        <f ca="1">RANDBETWEEN(1,10)+NS</f>
        <v>14</v>
      </c>
      <c r="B149" s="234">
        <f ca="1">LOOKUP(RANDBETWEEN(1,100),de100X,NSX)</f>
        <v>2</v>
      </c>
      <c r="C149" s="232">
        <f ca="1">LOOKUP(RANDBETWEEN(1,100),de100X,RICx)</f>
        <v>1</v>
      </c>
      <c r="D149" s="235" t="str">
        <f ca="1">LOOKUP(A150,de100X,tailleX)</f>
        <v>moyenne</v>
      </c>
      <c r="E149" s="236">
        <f ca="1">LOOKUP(A150,de100X,longueurX)*C149</f>
        <v>6</v>
      </c>
      <c r="F149" s="236">
        <f ca="1">LOOKUP(A149,de100X,longueurX)*C149</f>
        <v>10</v>
      </c>
      <c r="G149" s="237" t="str">
        <f ca="1">LOOKUP(RANDBETWEEN(1,10),de100X,FormeX)</f>
        <v>rectangulaire</v>
      </c>
      <c r="H149" s="238" t="str">
        <f ca="1">LOOKUP(RANDBETWEEN(1,10),de100X,SituationX)</f>
        <v>contrebas</v>
      </c>
      <c r="I149" s="238" t="str">
        <f ca="1">LOOKUP(RANDBETWEEN(1,10)+B149,de100X,MatièreX)</f>
        <v>pierre/bois</v>
      </c>
      <c r="J149" s="239">
        <f ca="1">ROUNDDOWN((LOOKUP(RANDBETWEEN(1,10),de100X,de10X)+LOOKUP(RANDBETWEEN(1,10),de100X,de10X)-2)/((11-B149)/2),0)</f>
        <v>0</v>
      </c>
      <c r="K149" s="240">
        <f ca="1">ROUNDDOWN((LOOKUP(RANDBETWEEN(1,10),de100X,de10X)+LOOKUP(RANDBETWEEN(1,10),de100X,de10X)-2)/((10-B149)/2),0)</f>
        <v>0</v>
      </c>
      <c r="L149" s="241"/>
      <c r="N149" s="231"/>
      <c r="O149" s="231"/>
      <c r="P149" s="231"/>
      <c r="Q149" s="232"/>
      <c r="T149" s="232"/>
      <c r="AA149" s="231"/>
      <c r="AI149" s="253" t="s">
        <v>1189</v>
      </c>
    </row>
    <row r="150" spans="1:35" s="230" customFormat="1" ht="11.25" customHeight="1" thickBot="1">
      <c r="A150" s="78">
        <f ca="1">RANDBETWEEN(1,10)+B149</f>
        <v>9</v>
      </c>
      <c r="B150" s="243"/>
      <c r="C150" s="244"/>
      <c r="D150" s="245" t="s">
        <v>1144</v>
      </c>
      <c r="E150" s="246" t="str">
        <f ca="1">LOOKUP(RANDBETWEEN(1,10),de100X,PorteX)</f>
        <v>barres métal</v>
      </c>
      <c r="F150" s="246"/>
      <c r="G150" s="247" t="str">
        <f ca="1">LOOKUP(RANDBETWEEN(1,10),de100X,VisionX)</f>
        <v>-</v>
      </c>
      <c r="H150" s="248">
        <f ca="1">LOOKUP(RANDBETWEEN(1,10),de100X,de10X)-1</f>
        <v>0</v>
      </c>
      <c r="I150" s="249" t="s">
        <v>1145</v>
      </c>
      <c r="J150" s="250" t="str">
        <f ca="1">IF(H150&gt;0,LOOKUP(RANDBETWEEN(1,100),de100X,AttributX),"-")</f>
        <v>-</v>
      </c>
      <c r="K150" s="250" t="str">
        <f ca="1">IF(H150&gt;1,LOOKUP(RANDBETWEEN(1,100),de100X,AttributX),"-")</f>
        <v>-</v>
      </c>
      <c r="L150" s="251" t="str">
        <f ca="1">IF(H150&gt;2,LOOKUP(RANDBETWEEN(1,100),de100X,AttributX),"-")</f>
        <v>-</v>
      </c>
      <c r="N150" s="231"/>
      <c r="O150" s="231"/>
      <c r="P150" s="231"/>
      <c r="Q150" s="232"/>
      <c r="T150" s="232"/>
      <c r="AA150" s="231"/>
      <c r="AI150" s="253" t="s">
        <v>1190</v>
      </c>
    </row>
    <row r="151" spans="1:35" s="230" customFormat="1" ht="14.1" customHeight="1" thickBot="1">
      <c r="A151" s="219">
        <v>13</v>
      </c>
      <c r="N151" s="231"/>
      <c r="O151" s="231"/>
      <c r="P151" s="231"/>
      <c r="Q151" s="232"/>
      <c r="T151" s="232"/>
      <c r="AA151" s="231"/>
      <c r="AI151" s="242" t="s">
        <v>1191</v>
      </c>
    </row>
    <row r="152" spans="1:35" s="230" customFormat="1" ht="11.25" customHeight="1">
      <c r="A152" s="220">
        <f ca="1">LOOKUP(RANDBETWEEN(1,10),de100X,de10X)</f>
        <v>1</v>
      </c>
      <c r="B152" s="221" t="s">
        <v>1134</v>
      </c>
      <c r="C152" s="222" t="s">
        <v>1135</v>
      </c>
      <c r="D152" s="223" t="s">
        <v>709</v>
      </c>
      <c r="E152" s="224" t="s">
        <v>1136</v>
      </c>
      <c r="F152" s="224" t="s">
        <v>1137</v>
      </c>
      <c r="G152" s="225" t="s">
        <v>1138</v>
      </c>
      <c r="H152" s="226" t="s">
        <v>1139</v>
      </c>
      <c r="I152" s="226" t="s">
        <v>1140</v>
      </c>
      <c r="J152" s="227" t="s">
        <v>1141</v>
      </c>
      <c r="K152" s="228" t="s">
        <v>1142</v>
      </c>
      <c r="L152" s="229"/>
      <c r="N152" s="231"/>
      <c r="O152" s="231"/>
      <c r="P152" s="231"/>
      <c r="Q152" s="232"/>
      <c r="T152" s="232"/>
      <c r="AA152" s="231"/>
      <c r="AI152" s="242" t="s">
        <v>1192</v>
      </c>
    </row>
    <row r="153" spans="1:35" s="230" customFormat="1" ht="11.25" customHeight="1">
      <c r="A153" s="78">
        <f ca="1">RANDBETWEEN(1,10)+NS</f>
        <v>15</v>
      </c>
      <c r="B153" s="234">
        <f ca="1">LOOKUP(RANDBETWEEN(1,100),de100X,NSX)</f>
        <v>3</v>
      </c>
      <c r="C153" s="232">
        <f ca="1">LOOKUP(RANDBETWEEN(1,100),de100X,RICx)</f>
        <v>0.8</v>
      </c>
      <c r="D153" s="235" t="str">
        <f ca="1">LOOKUP(A154,de100X,tailleX)</f>
        <v>grande</v>
      </c>
      <c r="E153" s="236">
        <f ca="1">LOOKUP(A154,de100X,longueurX)*C153</f>
        <v>6.4</v>
      </c>
      <c r="F153" s="236">
        <f ca="1">LOOKUP(A153,de100X,longueurX)*C153</f>
        <v>5.6000000000000005</v>
      </c>
      <c r="G153" s="237" t="str">
        <f ca="1">LOOKUP(RANDBETWEEN(1,10),de100X,FormeX)</f>
        <v>en L</v>
      </c>
      <c r="H153" s="238" t="str">
        <f ca="1">LOOKUP(RANDBETWEEN(1,10),de100X,SituationX)</f>
        <v>coin de rue</v>
      </c>
      <c r="I153" s="238" t="str">
        <f ca="1">LOOKUP(RANDBETWEEN(1,10)+B153,de100X,MatièreX)</f>
        <v>bois</v>
      </c>
      <c r="J153" s="239">
        <f ca="1">ROUNDDOWN((LOOKUP(RANDBETWEEN(1,10),de100X,de10X)+LOOKUP(RANDBETWEEN(1,10),de100X,de10X)-2)/((11-B153)/2),0)</f>
        <v>0</v>
      </c>
      <c r="K153" s="240">
        <f ca="1">ROUNDDOWN((LOOKUP(RANDBETWEEN(1,10),de100X,de10X)+LOOKUP(RANDBETWEEN(1,10),de100X,de10X)-2)/((10-B153)/2),0)</f>
        <v>0</v>
      </c>
      <c r="L153" s="241"/>
      <c r="N153" s="231"/>
      <c r="O153" s="231"/>
      <c r="P153" s="231"/>
      <c r="Q153" s="232"/>
      <c r="T153" s="232"/>
      <c r="AA153" s="231"/>
      <c r="AI153" s="242" t="s">
        <v>1193</v>
      </c>
    </row>
    <row r="154" spans="1:35" s="230" customFormat="1" ht="11.25" customHeight="1" thickBot="1">
      <c r="A154" s="78">
        <f ca="1">RANDBETWEEN(1,10)+B153</f>
        <v>10</v>
      </c>
      <c r="B154" s="243"/>
      <c r="C154" s="244"/>
      <c r="D154" s="245" t="s">
        <v>1144</v>
      </c>
      <c r="E154" s="246" t="str">
        <f ca="1">LOOKUP(RANDBETWEEN(1,10),de100X,PorteX)</f>
        <v>barres métal</v>
      </c>
      <c r="F154" s="246"/>
      <c r="G154" s="247" t="str">
        <f ca="1">LOOKUP(RANDBETWEEN(1,10),de100X,VisionX)</f>
        <v>grille</v>
      </c>
      <c r="H154" s="248">
        <f ca="1">LOOKUP(RANDBETWEEN(1,10),de100X,de10X)-1</f>
        <v>1</v>
      </c>
      <c r="I154" s="249" t="s">
        <v>1145</v>
      </c>
      <c r="J154" s="250" t="str">
        <f ca="1">IF(H154&gt;0,LOOKUP(RANDBETWEEN(1,100),de100X,AttributX),"-")</f>
        <v>échelle de face</v>
      </c>
      <c r="K154" s="250" t="str">
        <f ca="1">IF(H154&gt;1,LOOKUP(RANDBETWEEN(1,100),de100X,AttributX),"-")</f>
        <v>-</v>
      </c>
      <c r="L154" s="251" t="str">
        <f ca="1">IF(H154&gt;2,LOOKUP(RANDBETWEEN(1,100),de100X,AttributX),"-")</f>
        <v>-</v>
      </c>
      <c r="N154" s="231"/>
      <c r="O154" s="231"/>
      <c r="P154" s="231"/>
      <c r="Q154" s="232"/>
      <c r="T154" s="232"/>
      <c r="AA154" s="231"/>
      <c r="AI154" s="242" t="s">
        <v>1194</v>
      </c>
    </row>
    <row r="155" spans="1:35" s="230" customFormat="1" ht="14.1" customHeight="1" thickBot="1">
      <c r="A155" s="219">
        <v>14</v>
      </c>
      <c r="N155" s="231"/>
      <c r="O155" s="231"/>
      <c r="P155" s="231"/>
      <c r="Q155" s="232"/>
      <c r="T155" s="232"/>
      <c r="AA155" s="231"/>
      <c r="AI155" s="242" t="s">
        <v>1195</v>
      </c>
    </row>
    <row r="156" spans="1:35" s="230" customFormat="1" ht="11.25" customHeight="1">
      <c r="A156" s="220">
        <f ca="1">LOOKUP(RANDBETWEEN(1,10),de100X,de10X)</f>
        <v>2</v>
      </c>
      <c r="B156" s="221" t="s">
        <v>1134</v>
      </c>
      <c r="C156" s="222" t="s">
        <v>1135</v>
      </c>
      <c r="D156" s="223" t="s">
        <v>709</v>
      </c>
      <c r="E156" s="224" t="s">
        <v>1136</v>
      </c>
      <c r="F156" s="224" t="s">
        <v>1137</v>
      </c>
      <c r="G156" s="225" t="s">
        <v>1138</v>
      </c>
      <c r="H156" s="226" t="s">
        <v>1139</v>
      </c>
      <c r="I156" s="226" t="s">
        <v>1140</v>
      </c>
      <c r="J156" s="227" t="s">
        <v>1141</v>
      </c>
      <c r="K156" s="228" t="s">
        <v>1142</v>
      </c>
      <c r="L156" s="229"/>
      <c r="N156" s="231"/>
      <c r="O156" s="231"/>
      <c r="P156" s="231"/>
      <c r="Q156" s="232"/>
      <c r="T156" s="232"/>
      <c r="AA156" s="231"/>
      <c r="AI156" s="242" t="s">
        <v>1196</v>
      </c>
    </row>
    <row r="157" spans="1:35" s="230" customFormat="1" ht="11.25" customHeight="1">
      <c r="A157" s="78">
        <f ca="1">RANDBETWEEN(1,10)+NS</f>
        <v>8</v>
      </c>
      <c r="B157" s="234">
        <f ca="1">LOOKUP(RANDBETWEEN(1,100),de100X,NSX)</f>
        <v>9</v>
      </c>
      <c r="C157" s="232">
        <f ca="1">LOOKUP(RANDBETWEEN(1,100),de100X,RICx)</f>
        <v>1.1000000000000001</v>
      </c>
      <c r="D157" s="235" t="str">
        <f ca="1">LOOKUP(A158,de100X,tailleX)</f>
        <v>petite</v>
      </c>
      <c r="E157" s="236">
        <f ca="1">LOOKUP(A158,de100X,longueurX)*C157</f>
        <v>5.5</v>
      </c>
      <c r="F157" s="236">
        <f ca="1">LOOKUP(A157,de100X,longueurX)*C157</f>
        <v>6.6000000000000005</v>
      </c>
      <c r="G157" s="237" t="str">
        <f ca="1">LOOKUP(RANDBETWEEN(1,10),de100X,FormeX)</f>
        <v>rectangulaire</v>
      </c>
      <c r="H157" s="238" t="str">
        <f ca="1">LOOKUP(RANDBETWEEN(1,10),de100X,SituationX)</f>
        <v>impasse</v>
      </c>
      <c r="I157" s="238" t="str">
        <f ca="1">LOOKUP(RANDBETWEEN(1,10)+B157,de100X,MatièreX)</f>
        <v>pierre</v>
      </c>
      <c r="J157" s="239">
        <f ca="1">ROUNDDOWN((LOOKUP(RANDBETWEEN(1,10),de100X,de10X)+LOOKUP(RANDBETWEEN(1,10),de100X,de10X)-2)/((11-B157)/2),0)</f>
        <v>4</v>
      </c>
      <c r="K157" s="240">
        <f ca="1">ROUNDDOWN((LOOKUP(RANDBETWEEN(1,10),de100X,de10X)+LOOKUP(RANDBETWEEN(1,10),de100X,de10X)-2)/((10-B157)/2),0)</f>
        <v>4</v>
      </c>
      <c r="L157" s="241"/>
      <c r="N157" s="231"/>
      <c r="O157" s="231"/>
      <c r="P157" s="231"/>
      <c r="Q157" s="232"/>
      <c r="T157" s="232"/>
      <c r="AA157" s="231"/>
      <c r="AI157" s="242" t="s">
        <v>1197</v>
      </c>
    </row>
    <row r="158" spans="1:35" s="230" customFormat="1" ht="11.25" customHeight="1" thickBot="1">
      <c r="A158" s="78">
        <f ca="1">RANDBETWEEN(1,10)+B157</f>
        <v>11</v>
      </c>
      <c r="B158" s="243"/>
      <c r="C158" s="244"/>
      <c r="D158" s="245" t="s">
        <v>1144</v>
      </c>
      <c r="E158" s="246" t="str">
        <f ca="1">LOOKUP(RANDBETWEEN(1,10),de100X,PorteX)</f>
        <v>herse</v>
      </c>
      <c r="F158" s="246"/>
      <c r="G158" s="247" t="str">
        <f ca="1">LOOKUP(RANDBETWEEN(1,10),de100X,VisionX)</f>
        <v>-</v>
      </c>
      <c r="H158" s="248">
        <f ca="1">LOOKUP(RANDBETWEEN(1,10),de100X,de10X)-1</f>
        <v>1</v>
      </c>
      <c r="I158" s="249" t="s">
        <v>1145</v>
      </c>
      <c r="J158" s="250" t="str">
        <f ca="1">IF(H158&gt;0,LOOKUP(RANDBETWEEN(1,100),de100X,AttributX),"-")</f>
        <v>ronde garde</v>
      </c>
      <c r="K158" s="250" t="str">
        <f ca="1">IF(H158&gt;1,LOOKUP(RANDBETWEEN(1,100),de100X,AttributX),"-")</f>
        <v>-</v>
      </c>
      <c r="L158" s="251" t="str">
        <f ca="1">IF(H158&gt;2,LOOKUP(RANDBETWEEN(1,100),de100X,AttributX),"-")</f>
        <v>-</v>
      </c>
      <c r="N158" s="231"/>
      <c r="O158" s="231"/>
      <c r="P158" s="231"/>
      <c r="Q158" s="232"/>
      <c r="T158" s="232"/>
      <c r="AA158" s="231"/>
      <c r="AI158" s="242" t="s">
        <v>1198</v>
      </c>
    </row>
    <row r="159" spans="1:35" s="230" customFormat="1" ht="14.1" customHeight="1" thickBot="1">
      <c r="A159" s="219">
        <v>15</v>
      </c>
      <c r="N159" s="231"/>
      <c r="O159" s="231"/>
      <c r="P159" s="231"/>
      <c r="Q159" s="232"/>
      <c r="T159" s="232"/>
      <c r="AA159" s="231"/>
      <c r="AI159" s="242" t="s">
        <v>1199</v>
      </c>
    </row>
    <row r="160" spans="1:35" s="230" customFormat="1" ht="11.25" customHeight="1">
      <c r="A160" s="220">
        <f ca="1">LOOKUP(RANDBETWEEN(1,10),de100X,de10X)</f>
        <v>4</v>
      </c>
      <c r="B160" s="221" t="s">
        <v>1134</v>
      </c>
      <c r="C160" s="222" t="s">
        <v>1135</v>
      </c>
      <c r="D160" s="223" t="s">
        <v>709</v>
      </c>
      <c r="E160" s="224" t="s">
        <v>1136</v>
      </c>
      <c r="F160" s="224" t="s">
        <v>1137</v>
      </c>
      <c r="G160" s="225" t="s">
        <v>1138</v>
      </c>
      <c r="H160" s="226" t="s">
        <v>1139</v>
      </c>
      <c r="I160" s="226" t="s">
        <v>1140</v>
      </c>
      <c r="J160" s="227" t="s">
        <v>1141</v>
      </c>
      <c r="K160" s="228" t="s">
        <v>1142</v>
      </c>
      <c r="L160" s="229"/>
      <c r="N160" s="231"/>
      <c r="O160" s="231"/>
      <c r="P160" s="231"/>
      <c r="Q160" s="232"/>
      <c r="T160" s="232"/>
      <c r="AA160" s="231"/>
      <c r="AI160" s="242" t="s">
        <v>1200</v>
      </c>
    </row>
    <row r="161" spans="1:35" s="230" customFormat="1" ht="11.25" customHeight="1">
      <c r="A161" s="78">
        <f ca="1">RANDBETWEEN(1,10)+NS</f>
        <v>8</v>
      </c>
      <c r="B161" s="234">
        <f ca="1">LOOKUP(RANDBETWEEN(1,100),de100X,NSX)</f>
        <v>1</v>
      </c>
      <c r="C161" s="232">
        <f ca="1">LOOKUP(RANDBETWEEN(1,100),de100X,RICx)</f>
        <v>1</v>
      </c>
      <c r="D161" s="235" t="str">
        <f ca="1">LOOKUP(A162,de100X,tailleX)</f>
        <v>grande</v>
      </c>
      <c r="E161" s="236">
        <f ca="1">LOOKUP(A162,de100X,longueurX)*C161</f>
        <v>8</v>
      </c>
      <c r="F161" s="236">
        <f ca="1">LOOKUP(A161,de100X,longueurX)*C161</f>
        <v>6</v>
      </c>
      <c r="G161" s="237" t="str">
        <f ca="1">LOOKUP(RANDBETWEEN(1,10),de100X,FormeX)</f>
        <v>rectangulaire</v>
      </c>
      <c r="H161" s="238" t="str">
        <f ca="1">LOOKUP(RANDBETWEEN(1,10),de100X,SituationX)</f>
        <v>entre deux</v>
      </c>
      <c r="I161" s="238" t="str">
        <f ca="1">LOOKUP(RANDBETWEEN(1,10)+B161,de100X,MatièreX)</f>
        <v>planche</v>
      </c>
      <c r="J161" s="239">
        <f ca="1">ROUNDDOWN((LOOKUP(RANDBETWEEN(1,10),de100X,de10X)+LOOKUP(RANDBETWEEN(1,10),de100X,de10X)-2)/((11-B161)/2),0)</f>
        <v>0</v>
      </c>
      <c r="K161" s="240">
        <f ca="1">ROUNDDOWN((LOOKUP(RANDBETWEEN(1,10),de100X,de10X)+LOOKUP(RANDBETWEEN(1,10),de100X,de10X)-2)/((10-B161)/2),0)</f>
        <v>0</v>
      </c>
      <c r="L161" s="241"/>
      <c r="N161" s="231"/>
      <c r="O161" s="231"/>
      <c r="P161" s="231"/>
      <c r="Q161" s="232"/>
      <c r="T161" s="232"/>
      <c r="AA161" s="231"/>
      <c r="AI161" s="242" t="s">
        <v>1201</v>
      </c>
    </row>
    <row r="162" spans="1:35" s="230" customFormat="1" ht="11.25" customHeight="1" thickBot="1">
      <c r="A162" s="78">
        <f ca="1">RANDBETWEEN(1,10)+B161</f>
        <v>10</v>
      </c>
      <c r="B162" s="243"/>
      <c r="C162" s="244"/>
      <c r="D162" s="245" t="s">
        <v>1144</v>
      </c>
      <c r="E162" s="246" t="str">
        <f ca="1">LOOKUP(RANDBETWEEN(1,10),de100X,PorteX)</f>
        <v>bois</v>
      </c>
      <c r="F162" s="246"/>
      <c r="G162" s="247" t="str">
        <f ca="1">LOOKUP(RANDBETWEEN(1,10),de100X,VisionX)</f>
        <v>judas</v>
      </c>
      <c r="H162" s="248">
        <f ca="1">LOOKUP(RANDBETWEEN(1,10),de100X,de10X)-1</f>
        <v>0</v>
      </c>
      <c r="I162" s="249" t="s">
        <v>1145</v>
      </c>
      <c r="J162" s="250" t="str">
        <f ca="1">IF(H162&gt;0,LOOKUP(RANDBETWEEN(1,100),de100X,AttributX),"-")</f>
        <v>-</v>
      </c>
      <c r="K162" s="250" t="str">
        <f ca="1">IF(H162&gt;1,LOOKUP(RANDBETWEEN(1,100),de100X,AttributX),"-")</f>
        <v>-</v>
      </c>
      <c r="L162" s="251" t="str">
        <f ca="1">IF(H162&gt;2,LOOKUP(RANDBETWEEN(1,100),de100X,AttributX),"-")</f>
        <v>-</v>
      </c>
      <c r="N162" s="231"/>
      <c r="O162" s="231"/>
      <c r="P162" s="231"/>
      <c r="Q162" s="232"/>
      <c r="T162" s="232"/>
      <c r="AA162" s="231"/>
      <c r="AI162" s="252" t="s">
        <v>1202</v>
      </c>
    </row>
    <row r="163" spans="1:35" s="230" customFormat="1" ht="11.25" customHeight="1" thickBot="1">
      <c r="A163" s="219">
        <v>16</v>
      </c>
      <c r="N163" s="231"/>
      <c r="O163" s="231"/>
      <c r="P163" s="231"/>
      <c r="Q163" s="232"/>
      <c r="T163" s="232"/>
      <c r="AA163" s="231"/>
      <c r="AI163" s="253" t="s">
        <v>1203</v>
      </c>
    </row>
    <row r="164" spans="1:35" s="230" customFormat="1" ht="11.25" customHeight="1">
      <c r="A164" s="220">
        <f ca="1">LOOKUP(RANDBETWEEN(1,10),de100X,de10X)</f>
        <v>2</v>
      </c>
      <c r="B164" s="221" t="s">
        <v>1134</v>
      </c>
      <c r="C164" s="222" t="s">
        <v>1135</v>
      </c>
      <c r="D164" s="223" t="s">
        <v>709</v>
      </c>
      <c r="E164" s="224" t="s">
        <v>1136</v>
      </c>
      <c r="F164" s="224" t="s">
        <v>1137</v>
      </c>
      <c r="G164" s="225" t="s">
        <v>1138</v>
      </c>
      <c r="H164" s="226" t="s">
        <v>1139</v>
      </c>
      <c r="I164" s="226" t="s">
        <v>1140</v>
      </c>
      <c r="J164" s="227" t="s">
        <v>1141</v>
      </c>
      <c r="K164" s="228" t="s">
        <v>1142</v>
      </c>
      <c r="L164" s="229"/>
      <c r="N164" s="231"/>
      <c r="O164" s="231"/>
      <c r="P164" s="231"/>
      <c r="Q164" s="232"/>
      <c r="T164" s="232"/>
      <c r="AA164" s="231"/>
      <c r="AI164" s="253" t="s">
        <v>1204</v>
      </c>
    </row>
    <row r="165" spans="1:35" ht="11.25" customHeight="1">
      <c r="A165" s="78">
        <f ca="1">RANDBETWEEN(1,10)+NS</f>
        <v>11</v>
      </c>
      <c r="B165" s="234">
        <f ca="1">LOOKUP(RANDBETWEEN(1,100),de100X,NSX)</f>
        <v>5</v>
      </c>
      <c r="C165" s="232">
        <f ca="1">LOOKUP(RANDBETWEEN(1,100),de100X,RICx)</f>
        <v>1.3</v>
      </c>
      <c r="D165" s="235" t="str">
        <f ca="1">LOOKUP(A166,de100X,tailleX)</f>
        <v>petite</v>
      </c>
      <c r="E165" s="236">
        <f ca="1">LOOKUP(A166,de100X,longueurX)*C165</f>
        <v>6.5</v>
      </c>
      <c r="F165" s="236">
        <f ca="1">LOOKUP(A165,de100X,longueurX)*C165</f>
        <v>6.5</v>
      </c>
      <c r="G165" s="237" t="str">
        <f ca="1">LOOKUP(RANDBETWEEN(1,10),de100X,FormeX)</f>
        <v>carrée</v>
      </c>
      <c r="H165" s="238" t="str">
        <f ca="1">LOOKUP(RANDBETWEEN(1,10),de100X,SituationX)</f>
        <v>entre deux</v>
      </c>
      <c r="I165" s="238" t="str">
        <f ca="1">LOOKUP(RANDBETWEEN(1,10)+B165,de100X,MatièreX)</f>
        <v>pierre/bois</v>
      </c>
      <c r="J165" s="239">
        <f ca="1">ROUNDDOWN((LOOKUP(RANDBETWEEN(1,10),de100X,de10X)+LOOKUP(RANDBETWEEN(1,10),de100X,de10X)-2)/((11-B165)/2),0)</f>
        <v>0</v>
      </c>
      <c r="K165" s="240">
        <f ca="1">ROUNDDOWN((LOOKUP(RANDBETWEEN(1,10),de100X,de10X)+LOOKUP(RANDBETWEEN(1,10),de100X,de10X)-2)/((10-B165)/2),0)</f>
        <v>0</v>
      </c>
      <c r="L165" s="241"/>
      <c r="AI165" s="254" t="s">
        <v>1205</v>
      </c>
    </row>
    <row r="166" spans="1:35" ht="11.25" customHeight="1" thickBot="1">
      <c r="A166" s="78">
        <f ca="1">RANDBETWEEN(1,10)+B165</f>
        <v>11</v>
      </c>
      <c r="B166" s="243"/>
      <c r="C166" s="244"/>
      <c r="D166" s="245" t="s">
        <v>1144</v>
      </c>
      <c r="E166" s="246" t="str">
        <f ca="1">LOOKUP(RANDBETWEEN(1,10),de100X,PorteX)</f>
        <v>herse</v>
      </c>
      <c r="F166" s="246"/>
      <c r="G166" s="247" t="str">
        <f ca="1">LOOKUP(RANDBETWEEN(1,10),de100X,VisionX)</f>
        <v>œillet</v>
      </c>
      <c r="H166" s="248">
        <f ca="1">LOOKUP(RANDBETWEEN(1,10),de100X,de10X)-1</f>
        <v>0</v>
      </c>
      <c r="I166" s="249" t="s">
        <v>1145</v>
      </c>
      <c r="J166" s="250" t="str">
        <f ca="1">IF(H166&gt;0,LOOKUP(RANDBETWEEN(1,100),de100X,AttributX),"-")</f>
        <v>-</v>
      </c>
      <c r="K166" s="250" t="str">
        <f ca="1">IF(H166&gt;1,LOOKUP(RANDBETWEEN(1,100),de100X,AttributX),"-")</f>
        <v>-</v>
      </c>
      <c r="L166" s="251" t="str">
        <f ca="1">IF(H166&gt;2,LOOKUP(RANDBETWEEN(1,100),de100X,AttributX),"-")</f>
        <v>-</v>
      </c>
      <c r="AI166" s="254" t="s">
        <v>1206</v>
      </c>
    </row>
    <row r="167" spans="1:35" ht="9.75" customHeight="1">
      <c r="A167" s="230"/>
      <c r="B167" s="230"/>
      <c r="C167" s="230"/>
      <c r="D167" s="230"/>
      <c r="E167" s="230"/>
      <c r="F167" s="230"/>
      <c r="G167" s="230"/>
      <c r="H167" s="230"/>
      <c r="I167" s="230"/>
      <c r="J167" s="230"/>
      <c r="K167" s="230"/>
      <c r="L167" s="230"/>
      <c r="AI167" s="254" t="s">
        <v>1207</v>
      </c>
    </row>
    <row r="168" spans="1:35" ht="9.75" customHeight="1">
      <c r="AI168" s="254" t="s">
        <v>1208</v>
      </c>
    </row>
    <row r="169" spans="1:35" ht="9.75" customHeight="1">
      <c r="AI169" s="254" t="s">
        <v>1209</v>
      </c>
    </row>
    <row r="170" spans="1:35" ht="9.75" customHeight="1">
      <c r="AI170" s="254" t="s">
        <v>1210</v>
      </c>
    </row>
    <row r="171" spans="1:35" ht="9.75" customHeight="1">
      <c r="AI171" s="254" t="s">
        <v>1211</v>
      </c>
    </row>
    <row r="172" spans="1:35" ht="9.75" customHeight="1">
      <c r="AI172" s="254" t="s">
        <v>1212</v>
      </c>
    </row>
    <row r="173" spans="1:35" ht="9.75" customHeight="1">
      <c r="AI173" s="254" t="s">
        <v>1213</v>
      </c>
    </row>
    <row r="174" spans="1:35" ht="9.75" customHeight="1">
      <c r="AI174" s="254" t="s">
        <v>1214</v>
      </c>
    </row>
    <row r="175" spans="1:35" ht="9.75" customHeight="1">
      <c r="AI175" s="254" t="s">
        <v>1215</v>
      </c>
    </row>
    <row r="176" spans="1:35" ht="9.75" customHeight="1">
      <c r="AI176" s="254" t="s">
        <v>1216</v>
      </c>
    </row>
    <row r="177" spans="35:35" ht="9.75" customHeight="1">
      <c r="AI177" s="254" t="s">
        <v>1217</v>
      </c>
    </row>
    <row r="178" spans="35:35" ht="9.75" customHeight="1">
      <c r="AI178" s="254" t="s">
        <v>1218</v>
      </c>
    </row>
    <row r="179" spans="35:35" ht="9.75" customHeight="1">
      <c r="AI179" s="254" t="s">
        <v>1219</v>
      </c>
    </row>
    <row r="180" spans="35:35" ht="9.75" customHeight="1">
      <c r="AI180" s="254" t="s">
        <v>1220</v>
      </c>
    </row>
    <row r="181" spans="35:35" ht="9.75" customHeight="1">
      <c r="AI181" s="254" t="s">
        <v>1221</v>
      </c>
    </row>
    <row r="182" spans="35:35" ht="9.75" customHeight="1">
      <c r="AI182" s="255" t="s">
        <v>1222</v>
      </c>
    </row>
    <row r="183" spans="35:35" ht="9.75" customHeight="1">
      <c r="AI183" s="256" t="s">
        <v>1223</v>
      </c>
    </row>
    <row r="184" spans="35:35" ht="9.75" customHeight="1">
      <c r="AI184" s="256" t="s">
        <v>1224</v>
      </c>
    </row>
    <row r="185" spans="35:35" ht="9.75" customHeight="1">
      <c r="AI185" s="256" t="s">
        <v>1225</v>
      </c>
    </row>
    <row r="186" spans="35:35" ht="9.75" customHeight="1">
      <c r="AI186" s="256" t="s">
        <v>1226</v>
      </c>
    </row>
    <row r="187" spans="35:35" ht="9.75" customHeight="1">
      <c r="AI187" s="256" t="s">
        <v>1227</v>
      </c>
    </row>
    <row r="188" spans="35:35" ht="9.75" customHeight="1">
      <c r="AI188" s="256" t="s">
        <v>1228</v>
      </c>
    </row>
    <row r="189" spans="35:35" ht="9.75" customHeight="1">
      <c r="AI189" s="256" t="s">
        <v>1229</v>
      </c>
    </row>
    <row r="190" spans="35:35" ht="9.75" customHeight="1">
      <c r="AI190" s="256" t="s">
        <v>1230</v>
      </c>
    </row>
    <row r="191" spans="35:35" ht="9.75" customHeight="1">
      <c r="AI191" s="256" t="s">
        <v>1231</v>
      </c>
    </row>
    <row r="192" spans="35:35" ht="9.75" customHeight="1">
      <c r="AI192" s="256" t="s">
        <v>1232</v>
      </c>
    </row>
    <row r="193" spans="35:35" ht="9.75" customHeight="1">
      <c r="AI193" s="256" t="s">
        <v>1233</v>
      </c>
    </row>
    <row r="194" spans="35:35" ht="9.75" customHeight="1">
      <c r="AI194" s="256" t="s">
        <v>1234</v>
      </c>
    </row>
    <row r="195" spans="35:35" ht="9.75" customHeight="1">
      <c r="AI195" s="256" t="s">
        <v>1235</v>
      </c>
    </row>
    <row r="196" spans="35:35" ht="9.75" customHeight="1">
      <c r="AI196" s="256" t="s">
        <v>1236</v>
      </c>
    </row>
    <row r="197" spans="35:35" ht="9.75" customHeight="1">
      <c r="AI197" s="256" t="s">
        <v>1237</v>
      </c>
    </row>
    <row r="198" spans="35:35" ht="9.75" customHeight="1">
      <c r="AI198" s="256" t="s">
        <v>1238</v>
      </c>
    </row>
    <row r="199" spans="35:35" ht="9.75" customHeight="1">
      <c r="AI199" s="256" t="s">
        <v>1239</v>
      </c>
    </row>
    <row r="200" spans="35:35" ht="9.75" customHeight="1">
      <c r="AI200" s="257" t="s">
        <v>1240</v>
      </c>
    </row>
    <row r="201" spans="35:35" ht="9.75" customHeight="1">
      <c r="AI201" s="254" t="s">
        <v>1241</v>
      </c>
    </row>
    <row r="202" spans="35:35" ht="9.75" customHeight="1">
      <c r="AI202" s="254" t="s">
        <v>1242</v>
      </c>
    </row>
    <row r="203" spans="35:35" ht="9.75" customHeight="1">
      <c r="AI203" s="254" t="s">
        <v>1243</v>
      </c>
    </row>
    <row r="204" spans="35:35" ht="9.75" customHeight="1">
      <c r="AI204" s="254" t="s">
        <v>1244</v>
      </c>
    </row>
    <row r="205" spans="35:35" ht="9.75" customHeight="1">
      <c r="AI205" s="254" t="s">
        <v>1245</v>
      </c>
    </row>
    <row r="206" spans="35:35" ht="9.75" customHeight="1">
      <c r="AI206" s="254" t="s">
        <v>1246</v>
      </c>
    </row>
    <row r="207" spans="35:35" ht="9.75" customHeight="1">
      <c r="AI207" s="254" t="s">
        <v>1247</v>
      </c>
    </row>
    <row r="208" spans="35:35" ht="9.75" customHeight="1">
      <c r="AI208" s="254" t="s">
        <v>1248</v>
      </c>
    </row>
    <row r="209" spans="35:35" ht="9.75" customHeight="1">
      <c r="AI209" s="254" t="s">
        <v>1249</v>
      </c>
    </row>
    <row r="210" spans="35:35" ht="9.75" customHeight="1">
      <c r="AI210" s="254" t="s">
        <v>1250</v>
      </c>
    </row>
    <row r="211" spans="35:35" ht="9.75" customHeight="1">
      <c r="AI211" s="254" t="s">
        <v>1251</v>
      </c>
    </row>
    <row r="212" spans="35:35" ht="9.75" customHeight="1">
      <c r="AI212" s="254" t="s">
        <v>1252</v>
      </c>
    </row>
    <row r="213" spans="35:35" ht="9.75" customHeight="1">
      <c r="AI213" s="254" t="s">
        <v>1253</v>
      </c>
    </row>
    <row r="214" spans="35:35" ht="9.75" customHeight="1">
      <c r="AI214" s="254" t="s">
        <v>1254</v>
      </c>
    </row>
    <row r="215" spans="35:35" ht="9.75" customHeight="1">
      <c r="AI215" s="255" t="s">
        <v>1255</v>
      </c>
    </row>
    <row r="216" spans="35:35" ht="9.75" customHeight="1">
      <c r="AI216" s="256" t="s">
        <v>1256</v>
      </c>
    </row>
    <row r="217" spans="35:35" ht="9.75" customHeight="1">
      <c r="AI217" s="256" t="s">
        <v>1257</v>
      </c>
    </row>
    <row r="218" spans="35:35" ht="9.75" customHeight="1">
      <c r="AI218" s="256" t="s">
        <v>1258</v>
      </c>
    </row>
    <row r="219" spans="35:35" ht="9.75" customHeight="1">
      <c r="AI219" s="256" t="s">
        <v>1259</v>
      </c>
    </row>
    <row r="220" spans="35:35" ht="9.75" customHeight="1">
      <c r="AI220" s="256" t="s">
        <v>1260</v>
      </c>
    </row>
    <row r="221" spans="35:35" ht="9.75" customHeight="1">
      <c r="AI221" s="256" t="s">
        <v>1261</v>
      </c>
    </row>
    <row r="222" spans="35:35" ht="9.75" customHeight="1">
      <c r="AI222" s="256" t="s">
        <v>1262</v>
      </c>
    </row>
    <row r="223" spans="35:35" ht="9.75" customHeight="1">
      <c r="AI223" s="256" t="s">
        <v>1263</v>
      </c>
    </row>
    <row r="224" spans="35:35" ht="9.75" customHeight="1">
      <c r="AI224" s="256" t="s">
        <v>1264</v>
      </c>
    </row>
    <row r="225" spans="35:35" ht="9.75" customHeight="1">
      <c r="AI225" s="256" t="s">
        <v>1265</v>
      </c>
    </row>
    <row r="226" spans="35:35" ht="9.75" customHeight="1">
      <c r="AI226" s="256" t="s">
        <v>1266</v>
      </c>
    </row>
    <row r="227" spans="35:35" ht="9.75" customHeight="1">
      <c r="AI227" s="256" t="s">
        <v>1267</v>
      </c>
    </row>
    <row r="228" spans="35:35" ht="9.75" customHeight="1">
      <c r="AI228" s="256" t="s">
        <v>1234</v>
      </c>
    </row>
    <row r="229" spans="35:35" ht="9.75" customHeight="1">
      <c r="AI229" s="256" t="s">
        <v>1268</v>
      </c>
    </row>
    <row r="230" spans="35:35" ht="9.75" customHeight="1">
      <c r="AI230" s="257" t="s">
        <v>1269</v>
      </c>
    </row>
    <row r="231" spans="35:35" ht="9.75" customHeight="1">
      <c r="AI231" s="254" t="s">
        <v>1270</v>
      </c>
    </row>
    <row r="232" spans="35:35" ht="9.75" customHeight="1">
      <c r="AI232" s="254" t="s">
        <v>1271</v>
      </c>
    </row>
    <row r="233" spans="35:35" ht="9.75" customHeight="1">
      <c r="AI233" s="254" t="s">
        <v>1272</v>
      </c>
    </row>
    <row r="234" spans="35:35" ht="9.75" customHeight="1">
      <c r="AI234" s="254" t="s">
        <v>1273</v>
      </c>
    </row>
    <row r="235" spans="35:35" ht="9.75" customHeight="1">
      <c r="AI235" s="254" t="s">
        <v>1274</v>
      </c>
    </row>
    <row r="236" spans="35:35" ht="9.75" customHeight="1">
      <c r="AI236" s="254" t="s">
        <v>1275</v>
      </c>
    </row>
    <row r="237" spans="35:35" ht="9.75" customHeight="1">
      <c r="AI237" s="254" t="s">
        <v>1276</v>
      </c>
    </row>
    <row r="238" spans="35:35" ht="9.75" customHeight="1">
      <c r="AI238" s="254" t="s">
        <v>1277</v>
      </c>
    </row>
    <row r="239" spans="35:35" ht="9.75" customHeight="1">
      <c r="AI239" s="254" t="s">
        <v>1278</v>
      </c>
    </row>
    <row r="240" spans="35:35" ht="9.75" customHeight="1">
      <c r="AI240" s="254" t="s">
        <v>1279</v>
      </c>
    </row>
    <row r="241" spans="35:35" ht="9.75" customHeight="1">
      <c r="AI241" s="255" t="s">
        <v>1280</v>
      </c>
    </row>
    <row r="242" spans="35:35" ht="9.75" customHeight="1">
      <c r="AI242" s="256" t="s">
        <v>1281</v>
      </c>
    </row>
    <row r="243" spans="35:35" ht="9.75" customHeight="1">
      <c r="AI243" s="256" t="s">
        <v>1282</v>
      </c>
    </row>
    <row r="244" spans="35:35" ht="9.75" customHeight="1">
      <c r="AI244" s="256" t="s">
        <v>1283</v>
      </c>
    </row>
    <row r="245" spans="35:35" ht="9.75" customHeight="1">
      <c r="AI245" s="256" t="s">
        <v>1284</v>
      </c>
    </row>
    <row r="246" spans="35:35" ht="9.75" customHeight="1">
      <c r="AI246" s="256" t="s">
        <v>1285</v>
      </c>
    </row>
    <row r="247" spans="35:35" ht="9.75" customHeight="1">
      <c r="AI247" s="256" t="s">
        <v>1286</v>
      </c>
    </row>
    <row r="248" spans="35:35" ht="9.75" customHeight="1">
      <c r="AI248" s="256" t="s">
        <v>1287</v>
      </c>
    </row>
    <row r="249" spans="35:35" ht="9.75" customHeight="1">
      <c r="AI249" s="256" t="s">
        <v>1288</v>
      </c>
    </row>
    <row r="250" spans="35:35" ht="9.75" customHeight="1">
      <c r="AI250" s="256" t="s">
        <v>1289</v>
      </c>
    </row>
    <row r="251" spans="35:35" ht="9.75" customHeight="1">
      <c r="AI251" s="256" t="s">
        <v>1290</v>
      </c>
    </row>
    <row r="252" spans="35:35" ht="9.75" customHeight="1">
      <c r="AI252" s="256" t="s">
        <v>1291</v>
      </c>
    </row>
    <row r="253" spans="35:35" ht="9.75" customHeight="1">
      <c r="AI253" s="256" t="s">
        <v>1292</v>
      </c>
    </row>
    <row r="254" spans="35:35" ht="9.75" customHeight="1">
      <c r="AI254" s="256" t="s">
        <v>1293</v>
      </c>
    </row>
    <row r="255" spans="35:35" ht="9.75" customHeight="1">
      <c r="AI255" s="256" t="s">
        <v>1294</v>
      </c>
    </row>
    <row r="256" spans="35:35" ht="9.75" customHeight="1">
      <c r="AI256" s="256" t="s">
        <v>1295</v>
      </c>
    </row>
    <row r="257" spans="35:35" ht="9.75" customHeight="1">
      <c r="AI257" s="256" t="s">
        <v>1296</v>
      </c>
    </row>
    <row r="258" spans="35:35" ht="9.75" customHeight="1">
      <c r="AI258" s="256" t="s">
        <v>1297</v>
      </c>
    </row>
    <row r="259" spans="35:35" ht="9.75" customHeight="1">
      <c r="AI259" s="256" t="s">
        <v>1298</v>
      </c>
    </row>
    <row r="260" spans="35:35" ht="9.75" customHeight="1">
      <c r="AI260" s="256" t="s">
        <v>1299</v>
      </c>
    </row>
    <row r="261" spans="35:35" ht="9.75" customHeight="1">
      <c r="AI261" s="256" t="s">
        <v>1300</v>
      </c>
    </row>
    <row r="262" spans="35:35" ht="9.75" customHeight="1">
      <c r="AI262" s="257" t="s">
        <v>1301</v>
      </c>
    </row>
    <row r="263" spans="35:35" ht="9.75" customHeight="1">
      <c r="AI263" s="254" t="s">
        <v>1302</v>
      </c>
    </row>
    <row r="264" spans="35:35" ht="9.75" customHeight="1">
      <c r="AI264" s="254" t="s">
        <v>1303</v>
      </c>
    </row>
    <row r="265" spans="35:35" ht="9.75" customHeight="1">
      <c r="AI265" s="254" t="s">
        <v>1304</v>
      </c>
    </row>
    <row r="266" spans="35:35" ht="9.75" customHeight="1">
      <c r="AI266" s="254" t="s">
        <v>1305</v>
      </c>
    </row>
    <row r="267" spans="35:35" ht="9.75" customHeight="1">
      <c r="AI267" s="254" t="s">
        <v>1306</v>
      </c>
    </row>
    <row r="268" spans="35:35" ht="9.75" customHeight="1">
      <c r="AI268" s="254" t="s">
        <v>1307</v>
      </c>
    </row>
    <row r="269" spans="35:35" ht="9.75" customHeight="1">
      <c r="AI269" s="254" t="s">
        <v>1308</v>
      </c>
    </row>
    <row r="270" spans="35:35" ht="9.75" customHeight="1">
      <c r="AI270" s="254" t="s">
        <v>1309</v>
      </c>
    </row>
    <row r="271" spans="35:35" ht="9.75" customHeight="1">
      <c r="AI271" s="254" t="s">
        <v>1310</v>
      </c>
    </row>
  </sheetData>
  <dataConsolidate/>
  <pageMargins left="0.23622047244094491" right="0.23622047244094491" top="0.35433070866141736" bottom="0.35433070866141736" header="0.31496062992125984" footer="0.31496062992125984"/>
  <pageSetup paperSize="9" orientation="portrait" horizontalDpi="300" r:id="rId1"/>
  <headerFooter>
    <oddHeader>&amp;C&amp;F&amp;R&amp;D</oddHeader>
    <oddFooter>&amp;C_x000D_&amp;1#&amp;"Arial"&amp;9&amp;K000000 Internal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3"/>
  <sheetViews>
    <sheetView workbookViewId="0">
      <selection activeCell="I9" sqref="I9"/>
    </sheetView>
  </sheetViews>
  <sheetFormatPr baseColWidth="10" defaultColWidth="8.88671875" defaultRowHeight="13.2"/>
  <cols>
    <col min="1" max="1" width="4.6640625" style="31" customWidth="1"/>
    <col min="2" max="2" width="4.5546875" style="31" customWidth="1"/>
    <col min="3" max="3" width="17" style="1" customWidth="1"/>
    <col min="4" max="4" width="4.88671875" style="1" customWidth="1"/>
    <col min="5" max="5" width="4.44140625" style="1" customWidth="1"/>
    <col min="6" max="6" width="1.5546875" style="1" customWidth="1"/>
    <col min="7" max="7" width="12.5546875" style="1" customWidth="1"/>
    <col min="8" max="8" width="7.109375" style="1" customWidth="1"/>
    <col min="9" max="9" width="7.33203125" style="1" customWidth="1"/>
    <col min="10" max="10" width="1.44140625" style="1" customWidth="1"/>
    <col min="11" max="11" width="8" style="1" customWidth="1"/>
    <col min="12" max="12" width="6" style="1" customWidth="1"/>
    <col min="13" max="13" width="6.33203125" style="1" customWidth="1"/>
    <col min="14" max="14" width="5.5546875" style="1" customWidth="1"/>
    <col min="15" max="15" width="5.44140625" style="1" customWidth="1"/>
    <col min="16" max="18" width="6.33203125" style="1" customWidth="1"/>
    <col min="19" max="23" width="11.6640625" style="1" customWidth="1"/>
    <col min="24" max="16384" width="8.88671875" style="1"/>
  </cols>
  <sheetData>
    <row r="1" spans="1:17">
      <c r="E1" s="42"/>
      <c r="F1" s="42"/>
    </row>
    <row r="2" spans="1:17" ht="13.8" thickBot="1">
      <c r="A2" s="31" t="s">
        <v>328</v>
      </c>
      <c r="F2" s="43"/>
      <c r="L2" s="54" t="s">
        <v>178</v>
      </c>
      <c r="M2" s="1" t="s">
        <v>321</v>
      </c>
    </row>
    <row r="3" spans="1:17" s="43" customFormat="1" ht="13.8" thickBot="1">
      <c r="A3" s="65" t="s">
        <v>327</v>
      </c>
      <c r="B3" s="65" t="s">
        <v>326</v>
      </c>
      <c r="C3" s="39" t="s">
        <v>325</v>
      </c>
      <c r="D3" s="64" t="s">
        <v>324</v>
      </c>
      <c r="E3" s="44" t="s">
        <v>323</v>
      </c>
      <c r="G3" s="39" t="s">
        <v>322</v>
      </c>
      <c r="H3" s="64"/>
      <c r="I3" s="44" t="s">
        <v>178</v>
      </c>
      <c r="K3" s="39" t="s">
        <v>321</v>
      </c>
      <c r="L3" s="53" t="s">
        <v>283</v>
      </c>
      <c r="M3" s="53" t="s">
        <v>282</v>
      </c>
      <c r="N3" s="53" t="s">
        <v>281</v>
      </c>
      <c r="O3" s="52" t="s">
        <v>200</v>
      </c>
    </row>
    <row r="4" spans="1:17">
      <c r="A4" s="31">
        <v>1</v>
      </c>
      <c r="B4" s="31">
        <f t="shared" ref="B4:B44" si="0">A4+D4/10</f>
        <v>31</v>
      </c>
      <c r="C4" s="36" t="s">
        <v>320</v>
      </c>
      <c r="D4" s="36">
        <v>300</v>
      </c>
      <c r="E4" s="36">
        <v>50</v>
      </c>
      <c r="G4" s="36" t="s">
        <v>319</v>
      </c>
      <c r="H4" s="40" t="s">
        <v>203</v>
      </c>
      <c r="I4" s="40" t="s">
        <v>318</v>
      </c>
      <c r="J4" s="42"/>
      <c r="K4" s="63" t="s">
        <v>190</v>
      </c>
      <c r="L4" s="62">
        <v>1</v>
      </c>
      <c r="M4" s="61">
        <v>2</v>
      </c>
      <c r="N4" s="61">
        <v>3</v>
      </c>
      <c r="O4" s="61" t="s">
        <v>312</v>
      </c>
      <c r="Q4" s="2"/>
    </row>
    <row r="5" spans="1:17">
      <c r="A5" s="31">
        <f t="shared" ref="A5:A44" si="1">B4+1</f>
        <v>32</v>
      </c>
      <c r="B5" s="31">
        <f t="shared" si="0"/>
        <v>47</v>
      </c>
      <c r="C5" s="34" t="s">
        <v>317</v>
      </c>
      <c r="D5" s="34">
        <v>150</v>
      </c>
      <c r="E5" s="60">
        <v>1</v>
      </c>
      <c r="F5" s="59"/>
      <c r="G5" s="34" t="s">
        <v>316</v>
      </c>
      <c r="H5" s="32" t="s">
        <v>315</v>
      </c>
      <c r="I5" s="32" t="s">
        <v>314</v>
      </c>
      <c r="J5" s="42"/>
      <c r="K5" s="49" t="s">
        <v>313</v>
      </c>
      <c r="L5" s="57" t="s">
        <v>304</v>
      </c>
      <c r="M5" s="56" t="s">
        <v>312</v>
      </c>
      <c r="N5" s="56" t="s">
        <v>311</v>
      </c>
      <c r="O5" s="56" t="s">
        <v>305</v>
      </c>
    </row>
    <row r="6" spans="1:17">
      <c r="A6" s="31">
        <f t="shared" si="1"/>
        <v>48</v>
      </c>
      <c r="B6" s="31">
        <f t="shared" si="0"/>
        <v>68</v>
      </c>
      <c r="C6" s="34" t="s">
        <v>310</v>
      </c>
      <c r="D6" s="34">
        <v>200</v>
      </c>
      <c r="E6" s="34">
        <v>5</v>
      </c>
      <c r="G6" s="34" t="s">
        <v>309</v>
      </c>
      <c r="H6" s="32" t="s">
        <v>200</v>
      </c>
      <c r="I6" s="32" t="s">
        <v>308</v>
      </c>
      <c r="J6" s="42"/>
      <c r="K6" s="49" t="s">
        <v>296</v>
      </c>
      <c r="L6" s="57" t="s">
        <v>307</v>
      </c>
      <c r="M6" s="56" t="s">
        <v>306</v>
      </c>
      <c r="N6" s="56" t="s">
        <v>305</v>
      </c>
      <c r="O6" s="56" t="s">
        <v>304</v>
      </c>
    </row>
    <row r="7" spans="1:17">
      <c r="A7" s="31">
        <f t="shared" si="1"/>
        <v>69</v>
      </c>
      <c r="B7" s="31">
        <f t="shared" si="0"/>
        <v>79</v>
      </c>
      <c r="C7" s="34" t="s">
        <v>303</v>
      </c>
      <c r="D7" s="34">
        <v>100</v>
      </c>
      <c r="E7" s="34">
        <v>1</v>
      </c>
      <c r="G7" s="34" t="s">
        <v>302</v>
      </c>
      <c r="H7" s="32" t="s">
        <v>196</v>
      </c>
      <c r="I7" s="32" t="s">
        <v>253</v>
      </c>
      <c r="J7" s="42"/>
      <c r="K7" s="49" t="s">
        <v>301</v>
      </c>
      <c r="L7" s="57" t="s">
        <v>292</v>
      </c>
      <c r="M7" s="56" t="s">
        <v>294</v>
      </c>
      <c r="N7" s="56" t="s">
        <v>291</v>
      </c>
      <c r="O7" s="56" t="s">
        <v>300</v>
      </c>
    </row>
    <row r="8" spans="1:17" ht="13.8" thickBot="1">
      <c r="A8" s="31">
        <f t="shared" si="1"/>
        <v>80</v>
      </c>
      <c r="B8" s="31">
        <f t="shared" si="0"/>
        <v>85</v>
      </c>
      <c r="C8" s="34" t="s">
        <v>299</v>
      </c>
      <c r="D8" s="34">
        <v>50</v>
      </c>
      <c r="E8" s="34">
        <v>1</v>
      </c>
      <c r="G8" s="34" t="s">
        <v>298</v>
      </c>
      <c r="H8" s="32" t="s">
        <v>297</v>
      </c>
      <c r="I8" s="32" t="s">
        <v>296</v>
      </c>
      <c r="J8" s="42"/>
      <c r="K8" s="58" t="s">
        <v>295</v>
      </c>
      <c r="L8" s="57" t="s">
        <v>294</v>
      </c>
      <c r="M8" s="56" t="s">
        <v>293</v>
      </c>
      <c r="N8" s="56" t="s">
        <v>292</v>
      </c>
      <c r="O8" s="56" t="s">
        <v>291</v>
      </c>
    </row>
    <row r="9" spans="1:17">
      <c r="A9" s="31">
        <f t="shared" si="1"/>
        <v>86</v>
      </c>
      <c r="B9" s="31">
        <f t="shared" si="0"/>
        <v>126</v>
      </c>
      <c r="C9" s="34" t="s">
        <v>290</v>
      </c>
      <c r="D9" s="34">
        <v>400</v>
      </c>
      <c r="E9" s="34">
        <v>10</v>
      </c>
      <c r="K9" s="55" t="s">
        <v>289</v>
      </c>
    </row>
    <row r="10" spans="1:17" ht="13.8" thickBot="1">
      <c r="A10" s="31">
        <f t="shared" si="1"/>
        <v>127</v>
      </c>
      <c r="B10" s="31">
        <f t="shared" si="0"/>
        <v>137</v>
      </c>
      <c r="C10" s="34" t="s">
        <v>288</v>
      </c>
      <c r="D10" s="34">
        <v>100</v>
      </c>
      <c r="E10" s="34">
        <v>1</v>
      </c>
      <c r="L10" s="54" t="s">
        <v>178</v>
      </c>
      <c r="M10" s="2" t="s">
        <v>287</v>
      </c>
    </row>
    <row r="11" spans="1:17" ht="13.8" thickBot="1">
      <c r="A11" s="31">
        <f t="shared" si="1"/>
        <v>138</v>
      </c>
      <c r="B11" s="31">
        <f t="shared" si="0"/>
        <v>139</v>
      </c>
      <c r="C11" s="34" t="s">
        <v>286</v>
      </c>
      <c r="D11" s="34">
        <v>10</v>
      </c>
      <c r="E11" s="34">
        <v>1</v>
      </c>
      <c r="G11" s="39" t="s">
        <v>285</v>
      </c>
      <c r="H11" s="46"/>
      <c r="I11" s="44" t="s">
        <v>178</v>
      </c>
      <c r="J11" s="43"/>
      <c r="K11" s="39" t="s">
        <v>284</v>
      </c>
      <c r="L11" s="53" t="s">
        <v>283</v>
      </c>
      <c r="M11" s="53" t="s">
        <v>282</v>
      </c>
      <c r="N11" s="53" t="s">
        <v>281</v>
      </c>
      <c r="O11" s="52" t="s">
        <v>200</v>
      </c>
    </row>
    <row r="12" spans="1:17">
      <c r="A12" s="31">
        <f t="shared" si="1"/>
        <v>140</v>
      </c>
      <c r="B12" s="31">
        <f t="shared" si="0"/>
        <v>170</v>
      </c>
      <c r="C12" s="34" t="s">
        <v>280</v>
      </c>
      <c r="D12" s="34">
        <v>300</v>
      </c>
      <c r="E12" s="34">
        <v>1</v>
      </c>
      <c r="G12" s="36" t="s">
        <v>279</v>
      </c>
      <c r="H12" s="40" t="s">
        <v>188</v>
      </c>
      <c r="I12" s="40" t="s">
        <v>190</v>
      </c>
      <c r="J12" s="42"/>
      <c r="K12" s="51" t="s">
        <v>278</v>
      </c>
      <c r="L12" s="50">
        <v>25</v>
      </c>
      <c r="M12" s="40">
        <v>33</v>
      </c>
      <c r="N12" s="36">
        <v>50</v>
      </c>
      <c r="O12" s="36">
        <v>75</v>
      </c>
    </row>
    <row r="13" spans="1:17">
      <c r="A13" s="31">
        <f t="shared" si="1"/>
        <v>171</v>
      </c>
      <c r="B13" s="31">
        <f t="shared" si="0"/>
        <v>175</v>
      </c>
      <c r="C13" s="34" t="s">
        <v>277</v>
      </c>
      <c r="D13" s="34">
        <v>40</v>
      </c>
      <c r="E13" s="34">
        <v>1</v>
      </c>
      <c r="G13" s="34" t="s">
        <v>276</v>
      </c>
      <c r="H13" s="32" t="s">
        <v>194</v>
      </c>
      <c r="I13" s="32" t="s">
        <v>190</v>
      </c>
      <c r="J13" s="42"/>
      <c r="K13" s="49" t="s">
        <v>275</v>
      </c>
      <c r="L13" s="47">
        <v>33</v>
      </c>
      <c r="M13" s="32">
        <v>50</v>
      </c>
      <c r="N13" s="34">
        <v>75</v>
      </c>
      <c r="O13" s="34">
        <v>100</v>
      </c>
    </row>
    <row r="14" spans="1:17">
      <c r="A14" s="31">
        <f t="shared" si="1"/>
        <v>176</v>
      </c>
      <c r="B14" s="31">
        <f t="shared" si="0"/>
        <v>178.5</v>
      </c>
      <c r="C14" s="34" t="s">
        <v>274</v>
      </c>
      <c r="D14" s="34">
        <v>25</v>
      </c>
      <c r="E14" s="34">
        <v>1</v>
      </c>
      <c r="G14" s="34" t="s">
        <v>273</v>
      </c>
      <c r="H14" s="32" t="s">
        <v>196</v>
      </c>
      <c r="I14" s="32" t="s">
        <v>190</v>
      </c>
      <c r="J14" s="42"/>
      <c r="K14" s="49" t="s">
        <v>272</v>
      </c>
      <c r="L14" s="47">
        <v>100</v>
      </c>
      <c r="M14" s="34">
        <v>75</v>
      </c>
      <c r="N14" s="34">
        <v>125</v>
      </c>
      <c r="O14" s="34">
        <v>50</v>
      </c>
    </row>
    <row r="15" spans="1:17">
      <c r="A15" s="31">
        <f t="shared" si="1"/>
        <v>179.5</v>
      </c>
      <c r="B15" s="31">
        <f t="shared" si="0"/>
        <v>187.5</v>
      </c>
      <c r="C15" s="34" t="s">
        <v>271</v>
      </c>
      <c r="D15" s="34">
        <v>80</v>
      </c>
      <c r="E15" s="34">
        <v>10</v>
      </c>
      <c r="K15" s="49" t="s">
        <v>270</v>
      </c>
      <c r="L15" s="47">
        <v>150</v>
      </c>
      <c r="M15" s="34">
        <v>200</v>
      </c>
      <c r="N15" s="34">
        <v>125</v>
      </c>
      <c r="O15" s="34">
        <v>100</v>
      </c>
    </row>
    <row r="16" spans="1:17" ht="13.8" thickBot="1">
      <c r="A16" s="31">
        <f t="shared" si="1"/>
        <v>188.5</v>
      </c>
      <c r="B16" s="31">
        <f t="shared" si="0"/>
        <v>203.5</v>
      </c>
      <c r="C16" s="34" t="s">
        <v>269</v>
      </c>
      <c r="D16" s="34">
        <v>150</v>
      </c>
      <c r="E16" s="34">
        <v>10</v>
      </c>
      <c r="K16" s="48" t="s">
        <v>268</v>
      </c>
      <c r="L16" s="47">
        <v>200</v>
      </c>
      <c r="M16" s="34">
        <v>100</v>
      </c>
      <c r="N16" s="34">
        <v>300</v>
      </c>
      <c r="O16" s="34">
        <v>150</v>
      </c>
    </row>
    <row r="17" spans="1:13" ht="13.8" thickBot="1">
      <c r="A17" s="31">
        <f t="shared" si="1"/>
        <v>204.5</v>
      </c>
      <c r="B17" s="31">
        <f t="shared" si="0"/>
        <v>209.5</v>
      </c>
      <c r="C17" s="34" t="s">
        <v>267</v>
      </c>
      <c r="D17" s="34">
        <v>50</v>
      </c>
      <c r="E17" s="34">
        <v>5</v>
      </c>
      <c r="G17" s="39" t="s">
        <v>266</v>
      </c>
      <c r="H17" s="46"/>
      <c r="I17" s="44" t="s">
        <v>178</v>
      </c>
      <c r="J17" s="43"/>
      <c r="K17" s="45" t="s">
        <v>265</v>
      </c>
    </row>
    <row r="18" spans="1:13">
      <c r="A18" s="31">
        <f t="shared" si="1"/>
        <v>210.5</v>
      </c>
      <c r="B18" s="31">
        <f t="shared" si="0"/>
        <v>211.5</v>
      </c>
      <c r="C18" s="34" t="s">
        <v>264</v>
      </c>
      <c r="D18" s="34">
        <v>10</v>
      </c>
      <c r="E18" s="34">
        <v>1</v>
      </c>
      <c r="G18" s="36" t="s">
        <v>263</v>
      </c>
      <c r="H18" s="40" t="s">
        <v>182</v>
      </c>
      <c r="I18" s="40" t="s">
        <v>262</v>
      </c>
      <c r="J18" s="42"/>
    </row>
    <row r="19" spans="1:13">
      <c r="A19" s="31">
        <f t="shared" si="1"/>
        <v>212.5</v>
      </c>
      <c r="B19" s="31">
        <f t="shared" si="0"/>
        <v>282.5</v>
      </c>
      <c r="C19" s="34" t="s">
        <v>261</v>
      </c>
      <c r="D19" s="34">
        <v>700</v>
      </c>
      <c r="E19" s="34">
        <v>10</v>
      </c>
      <c r="G19" s="34" t="s">
        <v>260</v>
      </c>
      <c r="H19" s="32" t="s">
        <v>185</v>
      </c>
      <c r="I19" s="32" t="s">
        <v>259</v>
      </c>
      <c r="J19" s="42"/>
      <c r="M19" s="42"/>
    </row>
    <row r="20" spans="1:13">
      <c r="A20" s="31">
        <f t="shared" si="1"/>
        <v>283.5</v>
      </c>
      <c r="B20" s="31">
        <f t="shared" si="0"/>
        <v>323.5</v>
      </c>
      <c r="C20" s="34" t="s">
        <v>258</v>
      </c>
      <c r="D20" s="34">
        <v>400</v>
      </c>
      <c r="E20" s="34">
        <v>10</v>
      </c>
      <c r="G20" s="34" t="s">
        <v>257</v>
      </c>
      <c r="H20" s="32" t="s">
        <v>203</v>
      </c>
      <c r="I20" s="32" t="s">
        <v>256</v>
      </c>
      <c r="J20" s="42"/>
      <c r="M20" s="42"/>
    </row>
    <row r="21" spans="1:13">
      <c r="A21" s="31">
        <f t="shared" si="1"/>
        <v>324.5</v>
      </c>
      <c r="B21" s="31">
        <f t="shared" si="0"/>
        <v>384.5</v>
      </c>
      <c r="C21" s="34" t="s">
        <v>255</v>
      </c>
      <c r="D21" s="34">
        <v>600</v>
      </c>
      <c r="E21" s="34">
        <v>100</v>
      </c>
      <c r="G21" s="34" t="s">
        <v>254</v>
      </c>
      <c r="H21" s="32" t="s">
        <v>191</v>
      </c>
      <c r="I21" s="32" t="s">
        <v>253</v>
      </c>
      <c r="J21" s="42"/>
    </row>
    <row r="22" spans="1:13">
      <c r="A22" s="31">
        <f t="shared" si="1"/>
        <v>385.5</v>
      </c>
      <c r="B22" s="31">
        <f t="shared" si="0"/>
        <v>388.5</v>
      </c>
      <c r="C22" s="34" t="s">
        <v>252</v>
      </c>
      <c r="D22" s="34">
        <v>30</v>
      </c>
      <c r="E22" s="34">
        <v>5</v>
      </c>
      <c r="G22" s="34" t="s">
        <v>251</v>
      </c>
      <c r="H22" s="32" t="s">
        <v>250</v>
      </c>
      <c r="I22" s="32" t="s">
        <v>249</v>
      </c>
      <c r="J22" s="42"/>
    </row>
    <row r="23" spans="1:13" ht="13.8" thickBot="1">
      <c r="A23" s="31">
        <f t="shared" si="1"/>
        <v>389.5</v>
      </c>
      <c r="B23" s="31">
        <f t="shared" si="0"/>
        <v>392.5</v>
      </c>
      <c r="C23" s="34" t="s">
        <v>248</v>
      </c>
      <c r="D23" s="34">
        <v>30</v>
      </c>
      <c r="E23" s="34">
        <v>1</v>
      </c>
    </row>
    <row r="24" spans="1:13" ht="13.8" thickBot="1">
      <c r="A24" s="31">
        <f t="shared" si="1"/>
        <v>393.5</v>
      </c>
      <c r="B24" s="31">
        <f t="shared" si="0"/>
        <v>398.5</v>
      </c>
      <c r="C24" s="34" t="s">
        <v>247</v>
      </c>
      <c r="D24" s="34">
        <v>50</v>
      </c>
      <c r="E24" s="34">
        <v>1</v>
      </c>
      <c r="G24" s="39" t="s">
        <v>246</v>
      </c>
      <c r="H24" s="44"/>
      <c r="K24" s="43" t="s">
        <v>245</v>
      </c>
    </row>
    <row r="25" spans="1:13">
      <c r="A25" s="31">
        <f t="shared" si="1"/>
        <v>399.5</v>
      </c>
      <c r="B25" s="31">
        <f t="shared" si="0"/>
        <v>401.5</v>
      </c>
      <c r="C25" s="34" t="s">
        <v>244</v>
      </c>
      <c r="D25" s="34">
        <v>20</v>
      </c>
      <c r="E25" s="34">
        <v>1</v>
      </c>
      <c r="G25" s="36" t="s">
        <v>243</v>
      </c>
      <c r="H25" s="40" t="s">
        <v>200</v>
      </c>
      <c r="M25" s="42"/>
    </row>
    <row r="26" spans="1:13">
      <c r="A26" s="31">
        <f t="shared" si="1"/>
        <v>402.5</v>
      </c>
      <c r="B26" s="31">
        <f t="shared" si="0"/>
        <v>403</v>
      </c>
      <c r="C26" s="34" t="s">
        <v>38</v>
      </c>
      <c r="D26" s="34">
        <v>5</v>
      </c>
      <c r="E26" s="34">
        <v>1</v>
      </c>
      <c r="G26" s="34" t="s">
        <v>242</v>
      </c>
      <c r="H26" s="32" t="s">
        <v>185</v>
      </c>
      <c r="K26" s="1" t="s">
        <v>241</v>
      </c>
      <c r="M26" s="42"/>
    </row>
    <row r="27" spans="1:13">
      <c r="A27" s="31">
        <f t="shared" si="1"/>
        <v>404</v>
      </c>
      <c r="B27" s="31">
        <f t="shared" si="0"/>
        <v>429</v>
      </c>
      <c r="C27" s="34" t="s">
        <v>240</v>
      </c>
      <c r="D27" s="34">
        <v>250</v>
      </c>
      <c r="E27" s="34">
        <v>1</v>
      </c>
      <c r="G27" s="34" t="s">
        <v>239</v>
      </c>
      <c r="H27" s="32" t="s">
        <v>203</v>
      </c>
      <c r="K27" s="1" t="s">
        <v>238</v>
      </c>
      <c r="M27" s="42"/>
    </row>
    <row r="28" spans="1:13">
      <c r="A28" s="31">
        <f t="shared" si="1"/>
        <v>430</v>
      </c>
      <c r="B28" s="31">
        <f t="shared" si="0"/>
        <v>436</v>
      </c>
      <c r="C28" s="34" t="s">
        <v>237</v>
      </c>
      <c r="D28" s="34">
        <v>60</v>
      </c>
      <c r="E28" s="34">
        <v>5</v>
      </c>
      <c r="G28" s="34" t="s">
        <v>236</v>
      </c>
      <c r="H28" s="32" t="s">
        <v>194</v>
      </c>
      <c r="K28" s="1" t="s">
        <v>235</v>
      </c>
      <c r="M28" s="42"/>
    </row>
    <row r="29" spans="1:13" ht="13.8" thickBot="1">
      <c r="A29" s="31">
        <f t="shared" si="1"/>
        <v>437</v>
      </c>
      <c r="B29" s="31">
        <f t="shared" si="0"/>
        <v>467</v>
      </c>
      <c r="C29" s="34" t="s">
        <v>135</v>
      </c>
      <c r="D29" s="34">
        <v>300</v>
      </c>
      <c r="E29" s="34">
        <v>1</v>
      </c>
      <c r="K29" s="1" t="s">
        <v>234</v>
      </c>
      <c r="M29" s="42"/>
    </row>
    <row r="30" spans="1:13" ht="13.8" thickBot="1">
      <c r="A30" s="31">
        <f t="shared" si="1"/>
        <v>468</v>
      </c>
      <c r="B30" s="31">
        <f t="shared" si="0"/>
        <v>473</v>
      </c>
      <c r="C30" s="34" t="s">
        <v>233</v>
      </c>
      <c r="D30" s="34">
        <v>50</v>
      </c>
      <c r="E30" s="34">
        <v>5</v>
      </c>
      <c r="G30" s="39" t="s">
        <v>158</v>
      </c>
      <c r="H30" s="41"/>
      <c r="K30" s="1" t="s">
        <v>232</v>
      </c>
      <c r="M30" s="42"/>
    </row>
    <row r="31" spans="1:13">
      <c r="A31" s="31">
        <f t="shared" si="1"/>
        <v>474</v>
      </c>
      <c r="B31" s="31">
        <f t="shared" si="0"/>
        <v>490</v>
      </c>
      <c r="C31" s="34" t="s">
        <v>231</v>
      </c>
      <c r="D31" s="34">
        <v>160</v>
      </c>
      <c r="E31" s="34">
        <v>1</v>
      </c>
      <c r="G31" s="36" t="s">
        <v>230</v>
      </c>
      <c r="H31" s="40" t="s">
        <v>229</v>
      </c>
      <c r="K31" s="1" t="s">
        <v>228</v>
      </c>
      <c r="M31" s="42"/>
    </row>
    <row r="32" spans="1:13">
      <c r="A32" s="31">
        <f t="shared" si="1"/>
        <v>491</v>
      </c>
      <c r="B32" s="31">
        <f t="shared" si="0"/>
        <v>571</v>
      </c>
      <c r="C32" s="34" t="s">
        <v>143</v>
      </c>
      <c r="D32" s="34">
        <v>800</v>
      </c>
      <c r="E32" s="34">
        <v>100</v>
      </c>
      <c r="G32" s="34" t="s">
        <v>227</v>
      </c>
      <c r="H32" s="32" t="s">
        <v>185</v>
      </c>
      <c r="K32" s="1" t="s">
        <v>226</v>
      </c>
    </row>
    <row r="33" spans="1:8" ht="13.8" thickBot="1">
      <c r="A33" s="31">
        <f t="shared" si="1"/>
        <v>572</v>
      </c>
      <c r="B33" s="31">
        <f t="shared" si="0"/>
        <v>622</v>
      </c>
      <c r="C33" s="34" t="s">
        <v>225</v>
      </c>
      <c r="D33" s="34">
        <v>500</v>
      </c>
      <c r="E33" s="34">
        <v>10</v>
      </c>
    </row>
    <row r="34" spans="1:8" ht="13.8" thickBot="1">
      <c r="A34" s="31">
        <f t="shared" si="1"/>
        <v>623</v>
      </c>
      <c r="B34" s="31">
        <f t="shared" si="0"/>
        <v>648</v>
      </c>
      <c r="C34" s="34" t="s">
        <v>224</v>
      </c>
      <c r="D34" s="34">
        <v>250</v>
      </c>
      <c r="E34" s="34">
        <v>10</v>
      </c>
      <c r="G34" s="39" t="s">
        <v>223</v>
      </c>
      <c r="H34" s="41"/>
    </row>
    <row r="35" spans="1:8">
      <c r="A35" s="31">
        <f t="shared" si="1"/>
        <v>649</v>
      </c>
      <c r="B35" s="31">
        <f t="shared" si="0"/>
        <v>709</v>
      </c>
      <c r="C35" s="34" t="s">
        <v>222</v>
      </c>
      <c r="D35" s="34">
        <v>600</v>
      </c>
      <c r="E35" s="34">
        <v>10</v>
      </c>
      <c r="G35" s="36" t="s">
        <v>221</v>
      </c>
      <c r="H35" s="36" t="s">
        <v>220</v>
      </c>
    </row>
    <row r="36" spans="1:8">
      <c r="A36" s="31">
        <f t="shared" si="1"/>
        <v>710</v>
      </c>
      <c r="B36" s="31">
        <f t="shared" si="0"/>
        <v>730</v>
      </c>
      <c r="C36" s="34" t="s">
        <v>219</v>
      </c>
      <c r="D36" s="34">
        <v>200</v>
      </c>
      <c r="E36" s="34">
        <v>1</v>
      </c>
      <c r="G36" s="34" t="s">
        <v>218</v>
      </c>
      <c r="H36" s="32" t="s">
        <v>196</v>
      </c>
    </row>
    <row r="37" spans="1:8">
      <c r="A37" s="31">
        <f t="shared" si="1"/>
        <v>731</v>
      </c>
      <c r="B37" s="31">
        <f t="shared" si="0"/>
        <v>735</v>
      </c>
      <c r="C37" s="34" t="s">
        <v>217</v>
      </c>
      <c r="D37" s="34">
        <v>40</v>
      </c>
      <c r="E37" s="34">
        <v>1</v>
      </c>
      <c r="G37" s="34" t="s">
        <v>216</v>
      </c>
      <c r="H37" s="32" t="s">
        <v>203</v>
      </c>
    </row>
    <row r="38" spans="1:8">
      <c r="A38" s="31">
        <f t="shared" si="1"/>
        <v>736</v>
      </c>
      <c r="B38" s="31">
        <f t="shared" si="0"/>
        <v>766</v>
      </c>
      <c r="C38" s="34" t="s">
        <v>215</v>
      </c>
      <c r="D38" s="34">
        <v>300</v>
      </c>
      <c r="E38" s="34">
        <v>1</v>
      </c>
      <c r="G38" s="34" t="s">
        <v>214</v>
      </c>
      <c r="H38" s="34" t="s">
        <v>213</v>
      </c>
    </row>
    <row r="39" spans="1:8" ht="13.8" thickBot="1">
      <c r="A39" s="31">
        <f t="shared" si="1"/>
        <v>767</v>
      </c>
      <c r="B39" s="31">
        <f t="shared" si="0"/>
        <v>792</v>
      </c>
      <c r="C39" s="34" t="s">
        <v>212</v>
      </c>
      <c r="D39" s="34">
        <v>250</v>
      </c>
      <c r="E39" s="34">
        <v>5</v>
      </c>
    </row>
    <row r="40" spans="1:8" ht="13.8" thickBot="1">
      <c r="A40" s="31">
        <f t="shared" si="1"/>
        <v>793</v>
      </c>
      <c r="B40" s="31">
        <f t="shared" si="0"/>
        <v>801</v>
      </c>
      <c r="C40" s="34" t="s">
        <v>211</v>
      </c>
      <c r="D40" s="34">
        <v>80</v>
      </c>
      <c r="E40" s="34">
        <v>1</v>
      </c>
      <c r="G40" s="39" t="s">
        <v>210</v>
      </c>
      <c r="H40" s="41"/>
    </row>
    <row r="41" spans="1:8">
      <c r="A41" s="31">
        <f t="shared" si="1"/>
        <v>802</v>
      </c>
      <c r="B41" s="31">
        <f t="shared" si="0"/>
        <v>852</v>
      </c>
      <c r="C41" s="34" t="s">
        <v>209</v>
      </c>
      <c r="D41" s="34">
        <v>500</v>
      </c>
      <c r="E41" s="34">
        <v>10</v>
      </c>
      <c r="G41" s="36" t="s">
        <v>208</v>
      </c>
      <c r="H41" s="40" t="s">
        <v>207</v>
      </c>
    </row>
    <row r="42" spans="1:8">
      <c r="A42" s="31">
        <f t="shared" si="1"/>
        <v>853</v>
      </c>
      <c r="B42" s="31">
        <f t="shared" si="0"/>
        <v>865</v>
      </c>
      <c r="C42" s="34" t="s">
        <v>206</v>
      </c>
      <c r="D42" s="34">
        <v>120</v>
      </c>
      <c r="E42" s="34">
        <v>5</v>
      </c>
      <c r="G42" s="34" t="s">
        <v>139</v>
      </c>
      <c r="H42" s="32" t="s">
        <v>185</v>
      </c>
    </row>
    <row r="43" spans="1:8">
      <c r="A43" s="31">
        <f t="shared" si="1"/>
        <v>866</v>
      </c>
      <c r="B43" s="31">
        <f t="shared" si="0"/>
        <v>916</v>
      </c>
      <c r="C43" s="34" t="s">
        <v>205</v>
      </c>
      <c r="D43" s="34">
        <v>500</v>
      </c>
      <c r="E43" s="34">
        <v>5</v>
      </c>
      <c r="G43" s="34" t="s">
        <v>204</v>
      </c>
      <c r="H43" s="32" t="s">
        <v>203</v>
      </c>
    </row>
    <row r="44" spans="1:8">
      <c r="A44" s="31">
        <f t="shared" si="1"/>
        <v>917</v>
      </c>
      <c r="B44" s="31">
        <f t="shared" si="0"/>
        <v>967</v>
      </c>
      <c r="C44" s="34" t="s">
        <v>202</v>
      </c>
      <c r="D44" s="34">
        <v>500</v>
      </c>
      <c r="E44" s="34">
        <v>50</v>
      </c>
      <c r="G44" s="34" t="s">
        <v>201</v>
      </c>
      <c r="H44" s="32" t="s">
        <v>200</v>
      </c>
    </row>
    <row r="45" spans="1:8">
      <c r="G45" s="34" t="s">
        <v>199</v>
      </c>
      <c r="H45" s="32" t="s">
        <v>198</v>
      </c>
    </row>
    <row r="46" spans="1:8">
      <c r="G46" s="34" t="s">
        <v>197</v>
      </c>
      <c r="H46" s="32" t="s">
        <v>196</v>
      </c>
    </row>
    <row r="47" spans="1:8">
      <c r="G47" s="34" t="s">
        <v>195</v>
      </c>
      <c r="H47" s="32" t="s">
        <v>194</v>
      </c>
    </row>
    <row r="48" spans="1:8" ht="13.8" thickBot="1"/>
    <row r="49" spans="7:9" ht="13.8" thickBot="1">
      <c r="G49" s="39" t="s">
        <v>193</v>
      </c>
      <c r="H49" s="38"/>
      <c r="I49" s="37" t="s">
        <v>178</v>
      </c>
    </row>
    <row r="50" spans="7:9">
      <c r="G50" s="36" t="s">
        <v>192</v>
      </c>
      <c r="H50" s="35" t="s">
        <v>191</v>
      </c>
      <c r="I50" s="32" t="s">
        <v>190</v>
      </c>
    </row>
    <row r="51" spans="7:9">
      <c r="G51" s="34" t="s">
        <v>189</v>
      </c>
      <c r="H51" s="33" t="s">
        <v>188</v>
      </c>
      <c r="I51" s="32" t="s">
        <v>187</v>
      </c>
    </row>
    <row r="52" spans="7:9">
      <c r="G52" s="34" t="s">
        <v>186</v>
      </c>
      <c r="H52" s="33" t="s">
        <v>185</v>
      </c>
      <c r="I52" s="32" t="s">
        <v>184</v>
      </c>
    </row>
    <row r="53" spans="7:9">
      <c r="G53" s="34" t="s">
        <v>183</v>
      </c>
      <c r="H53" s="33" t="s">
        <v>182</v>
      </c>
      <c r="I53" s="32" t="s">
        <v>181</v>
      </c>
    </row>
  </sheetData>
  <pageMargins left="0.38" right="0.39" top="1" bottom="1" header="0.5" footer="0.5"/>
  <pageSetup paperSize="9" orientation="portrait" r:id="rId1"/>
  <headerFooter alignWithMargins="0">
    <oddFooter>&amp;C_x000D_&amp;1#&amp;"Arial"&amp;9&amp;K000000 Internal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0"/>
  <sheetViews>
    <sheetView topLeftCell="A20" workbookViewId="0">
      <selection activeCell="A41" sqref="A41:T50"/>
    </sheetView>
  </sheetViews>
  <sheetFormatPr baseColWidth="10" defaultColWidth="8.77734375" defaultRowHeight="14.4"/>
  <cols>
    <col min="1" max="1" width="11.44140625" customWidth="1"/>
    <col min="3" max="3" width="2.6640625" hidden="1" customWidth="1"/>
    <col min="4" max="4" width="3.5546875" hidden="1" customWidth="1"/>
    <col min="5" max="6" width="3.5546875" customWidth="1"/>
    <col min="7" max="7" width="3.44140625" hidden="1" customWidth="1"/>
    <col min="8" max="8" width="9.77734375" bestFit="1" customWidth="1"/>
    <col min="9" max="9" width="8.33203125" bestFit="1" customWidth="1"/>
    <col min="10" max="10" width="10.33203125" bestFit="1" customWidth="1"/>
    <col min="11" max="16" width="8.77734375" hidden="1" customWidth="1"/>
    <col min="17" max="18" width="0" hidden="1" customWidth="1"/>
    <col min="19" max="19" width="10.21875" style="110" bestFit="1" customWidth="1"/>
    <col min="20" max="20" width="9.88671875" style="110" bestFit="1" customWidth="1"/>
  </cols>
  <sheetData>
    <row r="1" spans="1:13" ht="52.2" hidden="1" thickTop="1" thickBot="1">
      <c r="A1" s="1554" t="s">
        <v>178</v>
      </c>
      <c r="B1" s="1555" t="s">
        <v>7037</v>
      </c>
      <c r="C1" s="1589"/>
      <c r="D1" s="1556" t="s">
        <v>7038</v>
      </c>
      <c r="E1" s="1589"/>
      <c r="F1" s="1589"/>
      <c r="G1" s="1557" t="s">
        <v>7039</v>
      </c>
      <c r="H1" s="1557" t="s">
        <v>7040</v>
      </c>
      <c r="I1" s="1557" t="s">
        <v>2939</v>
      </c>
      <c r="J1" s="1558" t="s">
        <v>7041</v>
      </c>
      <c r="K1" s="1559" t="s">
        <v>7042</v>
      </c>
      <c r="L1" s="1560" t="s">
        <v>501</v>
      </c>
      <c r="M1" s="1591" t="s">
        <v>7053</v>
      </c>
    </row>
    <row r="2" spans="1:13" ht="15" hidden="1" thickBot="1">
      <c r="A2" s="1074">
        <v>-1</v>
      </c>
      <c r="B2" s="1561" t="s">
        <v>7043</v>
      </c>
      <c r="C2" s="1590"/>
      <c r="D2" s="1562">
        <v>1</v>
      </c>
      <c r="E2" s="1590"/>
      <c r="F2" s="1590"/>
      <c r="G2" s="1563">
        <v>-5</v>
      </c>
      <c r="H2" s="1563">
        <v>5</v>
      </c>
      <c r="I2" s="1563">
        <v>5</v>
      </c>
      <c r="J2" s="1564">
        <v>-15</v>
      </c>
      <c r="K2" s="1565">
        <v>0</v>
      </c>
      <c r="L2" s="1566" t="s">
        <v>7044</v>
      </c>
      <c r="M2" t="s">
        <v>4207</v>
      </c>
    </row>
    <row r="3" spans="1:13" ht="15" hidden="1" thickBot="1">
      <c r="A3" s="1074">
        <v>0</v>
      </c>
      <c r="B3" s="1561" t="s">
        <v>7043</v>
      </c>
      <c r="C3" s="1590"/>
      <c r="D3" s="1562">
        <v>1</v>
      </c>
      <c r="E3" s="1590"/>
      <c r="F3" s="1590"/>
      <c r="G3" s="1563">
        <v>-5</v>
      </c>
      <c r="H3" s="1563">
        <v>10</v>
      </c>
      <c r="I3" s="1563">
        <v>5</v>
      </c>
      <c r="J3" s="1564">
        <v>-10</v>
      </c>
      <c r="K3" s="1565">
        <v>0</v>
      </c>
      <c r="L3" s="1566" t="s">
        <v>7044</v>
      </c>
      <c r="M3" t="s">
        <v>4019</v>
      </c>
    </row>
    <row r="4" spans="1:13" ht="15" hidden="1" thickBot="1">
      <c r="A4" s="1074">
        <v>1</v>
      </c>
      <c r="B4" s="1561" t="s">
        <v>7043</v>
      </c>
      <c r="C4" s="1590"/>
      <c r="D4" s="1562">
        <v>1</v>
      </c>
      <c r="E4" s="1590"/>
      <c r="F4" s="1590"/>
      <c r="G4" s="1563">
        <v>0</v>
      </c>
      <c r="H4" s="1563">
        <v>10</v>
      </c>
      <c r="I4" s="1563">
        <v>5</v>
      </c>
      <c r="J4" s="1564">
        <v>-10</v>
      </c>
      <c r="K4" s="1565">
        <v>0</v>
      </c>
      <c r="L4" s="1566" t="s">
        <v>7044</v>
      </c>
      <c r="M4" t="s">
        <v>7056</v>
      </c>
    </row>
    <row r="5" spans="1:13" ht="15" hidden="1" thickBot="1">
      <c r="A5" s="1567">
        <v>2</v>
      </c>
      <c r="B5" s="1561" t="s">
        <v>7045</v>
      </c>
      <c r="C5" s="1590"/>
      <c r="D5" s="1562">
        <v>0</v>
      </c>
      <c r="E5" s="1590"/>
      <c r="F5" s="1590"/>
      <c r="G5" s="1563">
        <v>5</v>
      </c>
      <c r="H5" s="1563">
        <v>10</v>
      </c>
      <c r="I5" s="1563">
        <v>5</v>
      </c>
      <c r="J5" s="1564">
        <v>-5</v>
      </c>
      <c r="K5" s="1565">
        <v>0</v>
      </c>
      <c r="L5" s="1566" t="s">
        <v>7046</v>
      </c>
      <c r="M5" t="s">
        <v>7055</v>
      </c>
    </row>
    <row r="6" spans="1:13" ht="15" hidden="1" thickBot="1">
      <c r="A6" s="1567">
        <v>3</v>
      </c>
      <c r="B6" s="1561" t="s">
        <v>7045</v>
      </c>
      <c r="C6" s="1590"/>
      <c r="D6" s="1562">
        <v>0</v>
      </c>
      <c r="E6" s="1590"/>
      <c r="F6" s="1590"/>
      <c r="G6" s="1563">
        <v>10</v>
      </c>
      <c r="H6" s="1563">
        <v>15</v>
      </c>
      <c r="I6" s="1563">
        <v>10</v>
      </c>
      <c r="J6" s="1564">
        <v>-5</v>
      </c>
      <c r="K6" s="1565">
        <v>10</v>
      </c>
      <c r="L6" s="1566" t="s">
        <v>7046</v>
      </c>
      <c r="M6" t="s">
        <v>4158</v>
      </c>
    </row>
    <row r="7" spans="1:13" ht="15" hidden="1" thickBot="1">
      <c r="A7" s="1568">
        <v>4</v>
      </c>
      <c r="B7" s="1561" t="s">
        <v>7047</v>
      </c>
      <c r="C7" s="1590"/>
      <c r="D7" s="1562">
        <v>0</v>
      </c>
      <c r="E7" s="1590"/>
      <c r="F7" s="1590"/>
      <c r="G7" s="1563">
        <v>10</v>
      </c>
      <c r="H7" s="1563">
        <v>15</v>
      </c>
      <c r="I7" s="1563">
        <v>10</v>
      </c>
      <c r="J7" s="1564">
        <v>0</v>
      </c>
      <c r="K7" s="1565">
        <v>10</v>
      </c>
      <c r="L7" s="1566" t="s">
        <v>7048</v>
      </c>
      <c r="M7" t="s">
        <v>4019</v>
      </c>
    </row>
    <row r="8" spans="1:13" ht="15" hidden="1" thickBot="1">
      <c r="A8" s="1568">
        <v>5</v>
      </c>
      <c r="B8" s="1561" t="s">
        <v>7047</v>
      </c>
      <c r="C8" s="1590"/>
      <c r="D8" s="1562">
        <v>-1</v>
      </c>
      <c r="E8" s="1590"/>
      <c r="F8" s="1590"/>
      <c r="G8" s="1563">
        <v>10</v>
      </c>
      <c r="H8" s="1563">
        <v>15</v>
      </c>
      <c r="I8" s="1563">
        <v>10</v>
      </c>
      <c r="J8" s="1564">
        <v>0</v>
      </c>
      <c r="K8" s="1565">
        <v>20</v>
      </c>
      <c r="L8" s="1566" t="s">
        <v>7048</v>
      </c>
      <c r="M8" t="s">
        <v>685</v>
      </c>
    </row>
    <row r="9" spans="1:13" ht="15" hidden="1" thickBot="1">
      <c r="A9" s="1569">
        <v>6</v>
      </c>
      <c r="B9" s="1561" t="s">
        <v>5495</v>
      </c>
      <c r="C9" s="1590"/>
      <c r="D9" s="1562">
        <v>0</v>
      </c>
      <c r="E9" s="1590"/>
      <c r="F9" s="1590"/>
      <c r="G9" s="1563">
        <v>15</v>
      </c>
      <c r="H9" s="1563">
        <v>20</v>
      </c>
      <c r="I9" s="1563">
        <v>15</v>
      </c>
      <c r="J9" s="1564">
        <v>0</v>
      </c>
      <c r="K9" s="1565">
        <v>30</v>
      </c>
      <c r="L9" s="1566" t="s">
        <v>7048</v>
      </c>
      <c r="M9" t="s">
        <v>4115</v>
      </c>
    </row>
    <row r="10" spans="1:13" ht="15" hidden="1" thickBot="1">
      <c r="A10" s="1569">
        <v>7</v>
      </c>
      <c r="B10" s="1561" t="s">
        <v>5495</v>
      </c>
      <c r="C10" s="1590"/>
      <c r="D10" s="1562">
        <v>-1</v>
      </c>
      <c r="E10" s="1590"/>
      <c r="F10" s="1590"/>
      <c r="G10" s="1563">
        <v>15</v>
      </c>
      <c r="H10" s="1563">
        <v>20</v>
      </c>
      <c r="I10" s="1563">
        <v>15</v>
      </c>
      <c r="J10" s="1564">
        <v>5</v>
      </c>
      <c r="K10" s="1565">
        <v>40</v>
      </c>
      <c r="L10" s="1566" t="s">
        <v>1954</v>
      </c>
      <c r="M10" t="s">
        <v>7054</v>
      </c>
    </row>
    <row r="11" spans="1:13" ht="15" hidden="1" thickBot="1">
      <c r="A11" s="1569">
        <v>8</v>
      </c>
      <c r="B11" s="1561" t="s">
        <v>5495</v>
      </c>
      <c r="C11" s="1590"/>
      <c r="D11" s="1562">
        <v>-2</v>
      </c>
      <c r="E11" s="1590"/>
      <c r="F11" s="1590"/>
      <c r="G11" s="1563">
        <v>15</v>
      </c>
      <c r="H11" s="1563">
        <v>25</v>
      </c>
      <c r="I11" s="1563">
        <v>15</v>
      </c>
      <c r="J11" s="1564">
        <v>5</v>
      </c>
      <c r="K11" s="1565">
        <v>50</v>
      </c>
      <c r="L11" s="1566" t="s">
        <v>1954</v>
      </c>
      <c r="M11" t="s">
        <v>3922</v>
      </c>
    </row>
    <row r="12" spans="1:13" ht="15" hidden="1" thickBot="1">
      <c r="A12" s="1570">
        <v>9</v>
      </c>
      <c r="B12" s="1561" t="s">
        <v>7049</v>
      </c>
      <c r="C12" s="1590"/>
      <c r="D12" s="1562">
        <v>-1</v>
      </c>
      <c r="E12" s="1590"/>
      <c r="F12" s="1590"/>
      <c r="G12" s="1563">
        <v>20</v>
      </c>
      <c r="H12" s="1563">
        <v>25</v>
      </c>
      <c r="I12" s="1563">
        <v>20</v>
      </c>
      <c r="J12" s="1564">
        <v>10</v>
      </c>
      <c r="K12" s="1565">
        <v>50</v>
      </c>
      <c r="L12" s="1566" t="s">
        <v>1954</v>
      </c>
      <c r="M12" t="s">
        <v>3968</v>
      </c>
    </row>
    <row r="13" spans="1:13" ht="15" hidden="1" thickBot="1">
      <c r="A13" s="1571">
        <v>10</v>
      </c>
      <c r="B13" s="1572" t="s">
        <v>7050</v>
      </c>
      <c r="C13" s="1584"/>
      <c r="D13" s="1573">
        <v>-2</v>
      </c>
      <c r="E13" s="1584"/>
      <c r="F13" s="1584"/>
      <c r="G13" s="1574">
        <v>20</v>
      </c>
      <c r="H13" s="1574">
        <v>30</v>
      </c>
      <c r="I13" s="1574">
        <v>25</v>
      </c>
      <c r="J13" s="1575">
        <v>10</v>
      </c>
      <c r="K13" s="1576">
        <v>60</v>
      </c>
      <c r="L13" s="1577" t="s">
        <v>7051</v>
      </c>
      <c r="M13" t="s">
        <v>685</v>
      </c>
    </row>
    <row r="14" spans="1:13" ht="15.6" hidden="1" thickTop="1" thickBot="1">
      <c r="A14" s="1588">
        <v>11</v>
      </c>
      <c r="B14" s="1572" t="s">
        <v>7050</v>
      </c>
      <c r="C14" s="1584"/>
      <c r="D14" s="1573">
        <v>-2</v>
      </c>
      <c r="E14" s="1584"/>
      <c r="F14" s="1584"/>
      <c r="G14" s="1574">
        <v>20</v>
      </c>
      <c r="H14" s="1574">
        <v>30</v>
      </c>
      <c r="I14" s="1574">
        <v>25</v>
      </c>
      <c r="J14" s="1575">
        <v>15</v>
      </c>
      <c r="K14" s="1576">
        <v>60</v>
      </c>
      <c r="L14" s="1577" t="s">
        <v>7051</v>
      </c>
      <c r="M14" t="s">
        <v>3922</v>
      </c>
    </row>
    <row r="15" spans="1:13" ht="15.6" hidden="1" thickTop="1" thickBot="1">
      <c r="A15" s="1588">
        <v>12</v>
      </c>
      <c r="B15" s="1572" t="s">
        <v>7050</v>
      </c>
      <c r="C15" s="1584"/>
      <c r="D15" s="1573">
        <v>-2</v>
      </c>
      <c r="E15" s="1584"/>
      <c r="F15" s="1584"/>
      <c r="G15" s="1574">
        <v>25</v>
      </c>
      <c r="H15" s="1574">
        <v>35</v>
      </c>
      <c r="I15" s="1574">
        <v>25</v>
      </c>
      <c r="J15" s="1575">
        <v>15</v>
      </c>
      <c r="K15" s="1576">
        <v>60</v>
      </c>
      <c r="L15" s="1577" t="s">
        <v>7051</v>
      </c>
      <c r="M15" t="s">
        <v>4115</v>
      </c>
    </row>
    <row r="16" spans="1:13" ht="15" hidden="1" thickTop="1">
      <c r="A16" s="1578" t="s">
        <v>7039</v>
      </c>
      <c r="B16" s="1579">
        <v>1</v>
      </c>
      <c r="C16" s="1579"/>
      <c r="D16" s="1580"/>
      <c r="E16" s="1580"/>
      <c r="F16" s="1580"/>
      <c r="G16" s="1580"/>
      <c r="H16" s="1580"/>
      <c r="I16" s="1580"/>
      <c r="J16" s="1580"/>
      <c r="K16" s="1581">
        <v>2</v>
      </c>
      <c r="L16" s="1582">
        <v>0</v>
      </c>
    </row>
    <row r="17" spans="1:20" hidden="1">
      <c r="A17" s="1578" t="s">
        <v>7040</v>
      </c>
      <c r="B17" s="1579">
        <v>-1</v>
      </c>
      <c r="C17" s="1579"/>
      <c r="D17" s="1580"/>
      <c r="E17" s="1580"/>
      <c r="F17" s="1580"/>
      <c r="G17" s="1580"/>
      <c r="H17" s="1580"/>
      <c r="I17" s="1580"/>
      <c r="J17" s="1580"/>
      <c r="K17" s="1581">
        <v>-1</v>
      </c>
      <c r="L17" s="1582">
        <v>0</v>
      </c>
    </row>
    <row r="18" spans="1:20" hidden="1">
      <c r="A18" s="1578" t="s">
        <v>2939</v>
      </c>
      <c r="B18" s="1579">
        <v>2</v>
      </c>
      <c r="C18" s="1579"/>
      <c r="D18" s="1580"/>
      <c r="E18" s="1580"/>
      <c r="F18" s="1580"/>
      <c r="G18" s="1580"/>
      <c r="H18" s="1580"/>
      <c r="I18" s="1580"/>
      <c r="J18" s="1580"/>
      <c r="K18" s="1581">
        <v>1</v>
      </c>
      <c r="L18" s="1582">
        <v>1</v>
      </c>
    </row>
    <row r="19" spans="1:20" ht="15" hidden="1" thickBot="1">
      <c r="A19" s="1583" t="s">
        <v>7041</v>
      </c>
      <c r="B19" s="1584">
        <v>0</v>
      </c>
      <c r="C19" s="1584"/>
      <c r="D19" s="1585"/>
      <c r="E19" s="1585"/>
      <c r="F19" s="1585"/>
      <c r="G19" s="1585"/>
      <c r="H19" s="1585"/>
      <c r="I19" s="1585"/>
      <c r="J19" s="1585"/>
      <c r="K19" s="1586">
        <v>0</v>
      </c>
      <c r="L19" s="1587">
        <v>-1</v>
      </c>
    </row>
    <row r="20" spans="1:20" ht="16.05" customHeight="1" thickBot="1">
      <c r="B20" s="112" t="s">
        <v>7037</v>
      </c>
      <c r="C20" s="112"/>
      <c r="E20" s="112" t="s">
        <v>7052</v>
      </c>
      <c r="F20" s="112"/>
      <c r="H20" s="112" t="s">
        <v>2025</v>
      </c>
      <c r="I20" s="112" t="s">
        <v>501</v>
      </c>
      <c r="J20" s="112" t="s">
        <v>4621</v>
      </c>
      <c r="S20" s="1594" t="s">
        <v>7097</v>
      </c>
      <c r="T20" s="1594" t="s">
        <v>7098</v>
      </c>
    </row>
    <row r="21" spans="1:20" ht="16.05" customHeight="1">
      <c r="A21" s="1622" t="s">
        <v>7057</v>
      </c>
      <c r="B21" s="1623" t="str">
        <f t="shared" ref="B21:B30" ca="1" si="0">LOOKUP(K21+1,metd10,metnua)</f>
        <v>Flocons</v>
      </c>
      <c r="C21" s="1623">
        <f t="shared" ref="C21:C60" ca="1" si="1">LOOKUP(K21+1,metd10,metmodT)</f>
        <v>0</v>
      </c>
      <c r="D21" s="1623">
        <f t="shared" ref="D21:D30" ca="1" si="2">LOOKUP(L21+C21,metd10,metpriT)</f>
        <v>10</v>
      </c>
      <c r="E21" s="1623">
        <f ca="1">D21-Q21</f>
        <v>7</v>
      </c>
      <c r="F21" s="1623">
        <f ca="1">D21+R21</f>
        <v>15</v>
      </c>
      <c r="G21" s="1623">
        <f t="shared" ref="G21:G30" ca="1" si="3">LOOKUP(M21+2,metd10,metplu)</f>
        <v>20</v>
      </c>
      <c r="H21" s="1623" t="str">
        <f ca="1">IF(P21&lt;G21/3,"Très fortes",IF(P21&lt;G21/2,"Fortes",IF(P21&lt;G21,"Normales",IF(P21&lt;G21+10,"Bruine","-"))))</f>
        <v>-</v>
      </c>
      <c r="I21" s="1623" t="str">
        <f t="shared" ref="I21:I40" ca="1" si="4">LOOKUP(M21,metd10,metven)</f>
        <v>Brise</v>
      </c>
      <c r="J21" s="1623" t="str">
        <f t="shared" ref="J21:J60" ca="1" si="5">LOOKUP(O21,metd10,metvenDir)</f>
        <v>Nord-ouest</v>
      </c>
      <c r="K21" s="1624">
        <f ca="1">RANDBETWEEN(1,10)</f>
        <v>2</v>
      </c>
      <c r="L21" s="1624">
        <f t="shared" ref="L21:O36" ca="1" si="6">RANDBETWEEN(1,10)</f>
        <v>4</v>
      </c>
      <c r="M21" s="1624">
        <f t="shared" ca="1" si="6"/>
        <v>3</v>
      </c>
      <c r="N21" s="1624">
        <f t="shared" ca="1" si="6"/>
        <v>4</v>
      </c>
      <c r="O21" s="1624">
        <f t="shared" ca="1" si="6"/>
        <v>5</v>
      </c>
      <c r="P21" s="1624">
        <f ca="1">RANDBETWEEN(1,100)</f>
        <v>56</v>
      </c>
      <c r="Q21" s="1624">
        <f ca="1">2+RANDBETWEEN(1,3)</f>
        <v>3</v>
      </c>
      <c r="R21" s="1624">
        <f ca="1">2+RANDBETWEEN(1,3)</f>
        <v>5</v>
      </c>
      <c r="S21" s="1596" t="str">
        <f ca="1">"m "&amp;ROUND(E21+(E22-E21)/3,0)&amp;"/M "&amp;ROUND(F21+(F22-F21)/3,0)</f>
        <v>m 8/M 16</v>
      </c>
      <c r="T21" s="1597" t="str">
        <f ca="1">"m "&amp;ROUND(E21+2*(E22-E21)/3,0)&amp;"/M "&amp;ROUND(F21+2*(F22-F21)/3,0)</f>
        <v>m 9/M 18</v>
      </c>
    </row>
    <row r="22" spans="1:20" ht="16.05" customHeight="1">
      <c r="A22" s="1625" t="s">
        <v>7058</v>
      </c>
      <c r="B22" s="1595" t="str">
        <f t="shared" ca="1" si="0"/>
        <v xml:space="preserve">Nuageux </v>
      </c>
      <c r="C22" s="1595">
        <f t="shared" ca="1" si="1"/>
        <v>-2</v>
      </c>
      <c r="D22" s="1595">
        <f t="shared" ca="1" si="2"/>
        <v>15</v>
      </c>
      <c r="E22" s="1595">
        <f t="shared" ref="E22:E60" ca="1" si="7">D22-Q22</f>
        <v>10</v>
      </c>
      <c r="F22" s="1595">
        <f t="shared" ref="F22:F60" ca="1" si="8">D22+R22</f>
        <v>19</v>
      </c>
      <c r="G22" s="1595">
        <f t="shared" ca="1" si="3"/>
        <v>10</v>
      </c>
      <c r="H22" s="1595" t="str">
        <f t="shared" ref="H22:H25" ca="1" si="9">IF(P22&lt;G22/3,"Très fortes",IF(P22&lt;G22/2,"Fortes",IF(P22&lt;G22,"Normales",IF(P22&lt;G22+10,"Bruine","-"))))</f>
        <v>Très fortes</v>
      </c>
      <c r="I22" s="1595" t="str">
        <f t="shared" ca="1" si="4"/>
        <v>Brise</v>
      </c>
      <c r="J22" s="1595" t="str">
        <f t="shared" ca="1" si="5"/>
        <v>Est</v>
      </c>
      <c r="K22" s="1626">
        <f t="shared" ref="K22:O37" ca="1" si="10">RANDBETWEEN(1,10)</f>
        <v>9</v>
      </c>
      <c r="L22" s="1626">
        <f t="shared" ca="1" si="6"/>
        <v>9</v>
      </c>
      <c r="M22" s="1626">
        <f t="shared" ca="1" si="6"/>
        <v>2</v>
      </c>
      <c r="N22" s="1626">
        <f t="shared" ca="1" si="6"/>
        <v>8</v>
      </c>
      <c r="O22" s="1626">
        <f t="shared" ca="1" si="6"/>
        <v>4</v>
      </c>
      <c r="P22" s="1626">
        <f t="shared" ref="P22:P60" ca="1" si="11">RANDBETWEEN(1,100)</f>
        <v>3</v>
      </c>
      <c r="Q22" s="1626">
        <f t="shared" ref="Q22:R60" ca="1" si="12">2+RANDBETWEEN(1,3)</f>
        <v>5</v>
      </c>
      <c r="R22" s="1626">
        <f t="shared" ca="1" si="12"/>
        <v>4</v>
      </c>
      <c r="S22" s="1598" t="str">
        <f t="shared" ref="S22:S30" ca="1" si="13">"m "&amp;ROUND(E22+(E23-E22)/3,0)&amp;"/M "&amp;ROUND(F22+(F23-F22)/3,0)</f>
        <v>m 9/M 18</v>
      </c>
      <c r="T22" s="1599" t="str">
        <f t="shared" ref="T22:T30" ca="1" si="14">"m "&amp;ROUND(E22+2*(E23-E22)/3,0)&amp;"/M "&amp;ROUND(F22+2*(F23-F22)/3,0)</f>
        <v>m 8/M 16</v>
      </c>
    </row>
    <row r="23" spans="1:20" ht="16.05" customHeight="1">
      <c r="A23" s="1625" t="s">
        <v>7059</v>
      </c>
      <c r="B23" s="1595" t="str">
        <f t="shared" ca="1" si="0"/>
        <v xml:space="preserve">Nuageux </v>
      </c>
      <c r="C23" s="1595">
        <f t="shared" ca="1" si="1"/>
        <v>-2</v>
      </c>
      <c r="D23" s="1595">
        <f t="shared" ca="1" si="2"/>
        <v>10</v>
      </c>
      <c r="E23" s="1595">
        <f t="shared" ca="1" si="7"/>
        <v>7</v>
      </c>
      <c r="F23" s="1595">
        <f t="shared" ca="1" si="8"/>
        <v>15</v>
      </c>
      <c r="G23" s="1595">
        <f t="shared" ca="1" si="3"/>
        <v>60</v>
      </c>
      <c r="H23" s="1595" t="str">
        <f t="shared" ca="1" si="9"/>
        <v>Normales</v>
      </c>
      <c r="I23" s="1595" t="str">
        <f t="shared" ca="1" si="4"/>
        <v>Très fort</v>
      </c>
      <c r="J23" s="1595" t="str">
        <f t="shared" ca="1" si="5"/>
        <v>Est</v>
      </c>
      <c r="K23" s="1626">
        <f t="shared" ca="1" si="10"/>
        <v>9</v>
      </c>
      <c r="L23" s="1626">
        <f t="shared" ca="1" si="6"/>
        <v>5</v>
      </c>
      <c r="M23" s="1626">
        <f t="shared" ca="1" si="6"/>
        <v>10</v>
      </c>
      <c r="N23" s="1626">
        <f t="shared" ca="1" si="6"/>
        <v>10</v>
      </c>
      <c r="O23" s="1626">
        <f t="shared" ca="1" si="6"/>
        <v>4</v>
      </c>
      <c r="P23" s="1626">
        <f t="shared" ca="1" si="11"/>
        <v>53</v>
      </c>
      <c r="Q23" s="1626">
        <f t="shared" ca="1" si="12"/>
        <v>3</v>
      </c>
      <c r="R23" s="1626">
        <f t="shared" ca="1" si="12"/>
        <v>5</v>
      </c>
      <c r="S23" s="1598" t="str">
        <f t="shared" ca="1" si="13"/>
        <v>m 8/M 16</v>
      </c>
      <c r="T23" s="1599" t="str">
        <f t="shared" ca="1" si="14"/>
        <v>m 10/M 18</v>
      </c>
    </row>
    <row r="24" spans="1:20" ht="16.05" customHeight="1">
      <c r="A24" s="1625" t="s">
        <v>7060</v>
      </c>
      <c r="B24" s="1595" t="str">
        <f t="shared" ca="1" si="0"/>
        <v>Couvert</v>
      </c>
      <c r="C24" s="1595">
        <f t="shared" ca="1" si="1"/>
        <v>0</v>
      </c>
      <c r="D24" s="1595">
        <f t="shared" ca="1" si="2"/>
        <v>15</v>
      </c>
      <c r="E24" s="1595">
        <f t="shared" ca="1" si="7"/>
        <v>11</v>
      </c>
      <c r="F24" s="1595">
        <f t="shared" ca="1" si="8"/>
        <v>19</v>
      </c>
      <c r="G24" s="1595">
        <f t="shared" ca="1" si="3"/>
        <v>20</v>
      </c>
      <c r="H24" s="1595" t="str">
        <f t="shared" ca="1" si="9"/>
        <v>-</v>
      </c>
      <c r="I24" s="1595" t="str">
        <f t="shared" ca="1" si="4"/>
        <v>Brise</v>
      </c>
      <c r="J24" s="1595" t="str">
        <f t="shared" ca="1" si="5"/>
        <v>Nord-est</v>
      </c>
      <c r="K24" s="1626">
        <f t="shared" ca="1" si="10"/>
        <v>5</v>
      </c>
      <c r="L24" s="1626">
        <f t="shared" ca="1" si="6"/>
        <v>7</v>
      </c>
      <c r="M24" s="1626">
        <f t="shared" ca="1" si="6"/>
        <v>3</v>
      </c>
      <c r="N24" s="1626">
        <f t="shared" ca="1" si="6"/>
        <v>8</v>
      </c>
      <c r="O24" s="1626">
        <f t="shared" ca="1" si="6"/>
        <v>7</v>
      </c>
      <c r="P24" s="1626">
        <f t="shared" ca="1" si="11"/>
        <v>91</v>
      </c>
      <c r="Q24" s="1626">
        <f t="shared" ca="1" si="12"/>
        <v>4</v>
      </c>
      <c r="R24" s="1626">
        <f t="shared" ca="1" si="12"/>
        <v>4</v>
      </c>
      <c r="S24" s="1598" t="str">
        <f t="shared" ca="1" si="13"/>
        <v>m 11/M 19</v>
      </c>
      <c r="T24" s="1599" t="str">
        <f t="shared" ca="1" si="14"/>
        <v>m 12/M 20</v>
      </c>
    </row>
    <row r="25" spans="1:20" ht="16.05" customHeight="1">
      <c r="A25" s="1625" t="s">
        <v>7061</v>
      </c>
      <c r="B25" s="1595" t="str">
        <f t="shared" ca="1" si="0"/>
        <v>Couvert</v>
      </c>
      <c r="C25" s="1595">
        <f t="shared" ca="1" si="1"/>
        <v>-2</v>
      </c>
      <c r="D25" s="1595">
        <f t="shared" ca="1" si="2"/>
        <v>15</v>
      </c>
      <c r="E25" s="1595">
        <f t="shared" ca="1" si="7"/>
        <v>12</v>
      </c>
      <c r="F25" s="1595">
        <f t="shared" ca="1" si="8"/>
        <v>20</v>
      </c>
      <c r="G25" s="1595">
        <f t="shared" ca="1" si="3"/>
        <v>50</v>
      </c>
      <c r="H25" s="1595" t="str">
        <f t="shared" ca="1" si="9"/>
        <v>Fortes</v>
      </c>
      <c r="I25" s="1595" t="str">
        <f t="shared" ca="1" si="4"/>
        <v>Modéré</v>
      </c>
      <c r="J25" s="1595" t="str">
        <f t="shared" ca="1" si="5"/>
        <v>Sud-ouest</v>
      </c>
      <c r="K25" s="1626">
        <f t="shared" ca="1" si="10"/>
        <v>7</v>
      </c>
      <c r="L25" s="1626">
        <f t="shared" ca="1" si="6"/>
        <v>10</v>
      </c>
      <c r="M25" s="1626">
        <f t="shared" ca="1" si="6"/>
        <v>6</v>
      </c>
      <c r="N25" s="1626">
        <f t="shared" ca="1" si="6"/>
        <v>4</v>
      </c>
      <c r="O25" s="1626">
        <f t="shared" ca="1" si="6"/>
        <v>1</v>
      </c>
      <c r="P25" s="1626">
        <f t="shared" ca="1" si="11"/>
        <v>18</v>
      </c>
      <c r="Q25" s="1626">
        <f t="shared" ca="1" si="12"/>
        <v>3</v>
      </c>
      <c r="R25" s="1626">
        <f t="shared" ca="1" si="12"/>
        <v>5</v>
      </c>
      <c r="S25" s="1598" t="str">
        <f t="shared" ca="1" si="13"/>
        <v>m 12/M 20</v>
      </c>
      <c r="T25" s="1599" t="str">
        <f t="shared" ca="1" si="14"/>
        <v>m 12/M 19</v>
      </c>
    </row>
    <row r="26" spans="1:20" ht="16.05" customHeight="1">
      <c r="A26" s="1625" t="s">
        <v>7062</v>
      </c>
      <c r="B26" s="1595" t="str">
        <f t="shared" ca="1" si="0"/>
        <v>Couvert</v>
      </c>
      <c r="C26" s="1595">
        <f t="shared" ca="1" si="1"/>
        <v>0</v>
      </c>
      <c r="D26" s="1595">
        <f t="shared" ca="1" si="2"/>
        <v>15</v>
      </c>
      <c r="E26" s="1595">
        <f t="shared" ca="1" si="7"/>
        <v>12</v>
      </c>
      <c r="F26" s="1595">
        <f t="shared" ca="1" si="8"/>
        <v>19</v>
      </c>
      <c r="G26" s="1595">
        <f t="shared" ca="1" si="3"/>
        <v>60</v>
      </c>
      <c r="H26" s="1595" t="str">
        <f ca="1">IF(P26&lt;G26/3,"Très fortes",IF(P26&lt;G26/2,"Fortes",IF(P26&lt;G26,"Normales",IF(P26&lt;G26+10,"Bruine","-"))))</f>
        <v>Bruine</v>
      </c>
      <c r="I26" s="1595" t="str">
        <f t="shared" ca="1" si="4"/>
        <v>Fort</v>
      </c>
      <c r="J26" s="1595" t="str">
        <f t="shared" ca="1" si="5"/>
        <v>Nord-est</v>
      </c>
      <c r="K26" s="1626">
        <f ca="1">RANDBETWEEN(1,10)</f>
        <v>5</v>
      </c>
      <c r="L26" s="1626">
        <f t="shared" ca="1" si="6"/>
        <v>6</v>
      </c>
      <c r="M26" s="1626">
        <f t="shared" ca="1" si="6"/>
        <v>9</v>
      </c>
      <c r="N26" s="1626">
        <f t="shared" ca="1" si="6"/>
        <v>1</v>
      </c>
      <c r="O26" s="1626">
        <f t="shared" ca="1" si="6"/>
        <v>7</v>
      </c>
      <c r="P26" s="1626">
        <f ca="1">RANDBETWEEN(1,100)</f>
        <v>66</v>
      </c>
      <c r="Q26" s="1626">
        <f t="shared" ca="1" si="12"/>
        <v>3</v>
      </c>
      <c r="R26" s="1626">
        <f t="shared" ca="1" si="12"/>
        <v>4</v>
      </c>
      <c r="S26" s="1598" t="str">
        <f t="shared" ca="1" si="13"/>
        <v>m 11/M 19</v>
      </c>
      <c r="T26" s="1599" t="str">
        <f t="shared" ca="1" si="14"/>
        <v>m 11/M 20</v>
      </c>
    </row>
    <row r="27" spans="1:20" ht="16.05" customHeight="1">
      <c r="A27" s="1625" t="s">
        <v>7063</v>
      </c>
      <c r="B27" s="1595" t="str">
        <f t="shared" ca="1" si="0"/>
        <v>Flocons</v>
      </c>
      <c r="C27" s="1595">
        <f t="shared" ca="1" si="1"/>
        <v>0</v>
      </c>
      <c r="D27" s="1595">
        <f t="shared" ca="1" si="2"/>
        <v>15</v>
      </c>
      <c r="E27" s="1595">
        <f t="shared" ca="1" si="7"/>
        <v>10</v>
      </c>
      <c r="F27" s="1595">
        <f t="shared" ca="1" si="8"/>
        <v>20</v>
      </c>
      <c r="G27" s="1595">
        <f t="shared" ca="1" si="3"/>
        <v>60</v>
      </c>
      <c r="H27" s="1595" t="str">
        <f t="shared" ref="H27:H30" ca="1" si="15">IF(P27&lt;G27/3,"Très fortes",IF(P27&lt;G27/2,"Fortes",IF(P27&lt;G27,"Normales",IF(P27&lt;G27+10,"Bruine","-"))))</f>
        <v>-</v>
      </c>
      <c r="I27" s="1595" t="str">
        <f t="shared" ca="1" si="4"/>
        <v>Fort</v>
      </c>
      <c r="J27" s="1595" t="str">
        <f t="shared" ca="1" si="5"/>
        <v>Ouest</v>
      </c>
      <c r="K27" s="1626">
        <f t="shared" ca="1" si="10"/>
        <v>2</v>
      </c>
      <c r="L27" s="1626">
        <f t="shared" ca="1" si="6"/>
        <v>8</v>
      </c>
      <c r="M27" s="1626">
        <f t="shared" ca="1" si="6"/>
        <v>9</v>
      </c>
      <c r="N27" s="1626">
        <f t="shared" ca="1" si="6"/>
        <v>4</v>
      </c>
      <c r="O27" s="1626">
        <f t="shared" ca="1" si="6"/>
        <v>2</v>
      </c>
      <c r="P27" s="1626">
        <f t="shared" ca="1" si="11"/>
        <v>85</v>
      </c>
      <c r="Q27" s="1626">
        <f t="shared" ca="1" si="12"/>
        <v>5</v>
      </c>
      <c r="R27" s="1626">
        <f t="shared" ca="1" si="12"/>
        <v>5</v>
      </c>
      <c r="S27" s="1598" t="str">
        <f t="shared" ca="1" si="13"/>
        <v>m 5/M 14</v>
      </c>
      <c r="T27" s="1599" t="str">
        <f t="shared" ca="1" si="14"/>
        <v>m 0/M 9</v>
      </c>
    </row>
    <row r="28" spans="1:20" ht="16.05" customHeight="1">
      <c r="A28" s="1625" t="s">
        <v>7064</v>
      </c>
      <c r="B28" s="1595" t="str">
        <f t="shared" ca="1" si="0"/>
        <v xml:space="preserve">Nuageux </v>
      </c>
      <c r="C28" s="1595">
        <f t="shared" ca="1" si="1"/>
        <v>-2</v>
      </c>
      <c r="D28" s="1595">
        <f t="shared" ca="1" si="2"/>
        <v>0</v>
      </c>
      <c r="E28" s="1595">
        <f t="shared" ca="1" si="7"/>
        <v>-5</v>
      </c>
      <c r="F28" s="1595">
        <f t="shared" ca="1" si="8"/>
        <v>3</v>
      </c>
      <c r="G28" s="1595">
        <f t="shared" ca="1" si="3"/>
        <v>60</v>
      </c>
      <c r="H28" s="1595" t="str">
        <f t="shared" ca="1" si="15"/>
        <v>Bruine</v>
      </c>
      <c r="I28" s="1595" t="str">
        <f t="shared" ca="1" si="4"/>
        <v>Fort</v>
      </c>
      <c r="J28" s="1595" t="str">
        <f t="shared" ca="1" si="5"/>
        <v>V</v>
      </c>
      <c r="K28" s="1626">
        <f t="shared" ca="1" si="10"/>
        <v>9</v>
      </c>
      <c r="L28" s="1626">
        <f t="shared" ca="1" si="6"/>
        <v>3</v>
      </c>
      <c r="M28" s="1626">
        <f t="shared" ca="1" si="6"/>
        <v>9</v>
      </c>
      <c r="N28" s="1626">
        <f t="shared" ca="1" si="6"/>
        <v>10</v>
      </c>
      <c r="O28" s="1626">
        <f t="shared" ca="1" si="6"/>
        <v>8</v>
      </c>
      <c r="P28" s="1626">
        <f t="shared" ca="1" si="11"/>
        <v>63</v>
      </c>
      <c r="Q28" s="1626">
        <f t="shared" ca="1" si="12"/>
        <v>5</v>
      </c>
      <c r="R28" s="1626">
        <f t="shared" ca="1" si="12"/>
        <v>3</v>
      </c>
      <c r="S28" s="1598" t="str">
        <f t="shared" ca="1" si="13"/>
        <v>m -2/M 6</v>
      </c>
      <c r="T28" s="1599" t="str">
        <f t="shared" ca="1" si="14"/>
        <v>m 2/M 10</v>
      </c>
    </row>
    <row r="29" spans="1:20" ht="16.05" customHeight="1">
      <c r="A29" s="1625" t="s">
        <v>7065</v>
      </c>
      <c r="B29" s="1595" t="str">
        <f t="shared" ca="1" si="0"/>
        <v>Quelques</v>
      </c>
      <c r="C29" s="1595">
        <f t="shared" ca="1" si="1"/>
        <v>-1</v>
      </c>
      <c r="D29" s="1595">
        <f t="shared" ca="1" si="2"/>
        <v>10</v>
      </c>
      <c r="E29" s="1595">
        <f t="shared" ca="1" si="7"/>
        <v>5</v>
      </c>
      <c r="F29" s="1595">
        <f t="shared" ca="1" si="8"/>
        <v>13</v>
      </c>
      <c r="G29" s="1595">
        <f t="shared" ca="1" si="3"/>
        <v>50</v>
      </c>
      <c r="H29" s="1595" t="str">
        <f t="shared" ca="1" si="15"/>
        <v>-</v>
      </c>
      <c r="I29" s="1595" t="str">
        <f t="shared" ca="1" si="4"/>
        <v>Modéré</v>
      </c>
      <c r="J29" s="1595" t="str">
        <f t="shared" ca="1" si="5"/>
        <v>V</v>
      </c>
      <c r="K29" s="1626">
        <f t="shared" ca="1" si="10"/>
        <v>4</v>
      </c>
      <c r="L29" s="1626">
        <f t="shared" ca="1" si="6"/>
        <v>6</v>
      </c>
      <c r="M29" s="1626">
        <f t="shared" ca="1" si="6"/>
        <v>6</v>
      </c>
      <c r="N29" s="1626">
        <f t="shared" ca="1" si="6"/>
        <v>2</v>
      </c>
      <c r="O29" s="1626">
        <f t="shared" ca="1" si="6"/>
        <v>8</v>
      </c>
      <c r="P29" s="1626">
        <f t="shared" ca="1" si="11"/>
        <v>67</v>
      </c>
      <c r="Q29" s="1626">
        <f t="shared" ca="1" si="12"/>
        <v>5</v>
      </c>
      <c r="R29" s="1626">
        <f t="shared" ca="1" si="12"/>
        <v>3</v>
      </c>
      <c r="S29" s="1598" t="str">
        <f t="shared" ca="1" si="13"/>
        <v>m 2/M 10</v>
      </c>
      <c r="T29" s="1599" t="str">
        <f t="shared" ca="1" si="14"/>
        <v>m -1/M 7</v>
      </c>
    </row>
    <row r="30" spans="1:20" ht="16.05" customHeight="1" thickBot="1">
      <c r="A30" s="1627" t="s">
        <v>7066</v>
      </c>
      <c r="B30" s="1628" t="str">
        <f t="shared" ca="1" si="0"/>
        <v xml:space="preserve">Nuageux </v>
      </c>
      <c r="C30" s="1628">
        <f t="shared" ca="1" si="1"/>
        <v>-2</v>
      </c>
      <c r="D30" s="1628">
        <f t="shared" ca="1" si="2"/>
        <v>0</v>
      </c>
      <c r="E30" s="1628">
        <f t="shared" ca="1" si="7"/>
        <v>-4</v>
      </c>
      <c r="F30" s="1628">
        <f t="shared" ca="1" si="8"/>
        <v>4</v>
      </c>
      <c r="G30" s="1628">
        <f t="shared" ca="1" si="3"/>
        <v>60</v>
      </c>
      <c r="H30" s="1628" t="str">
        <f t="shared" ca="1" si="15"/>
        <v>Très fortes</v>
      </c>
      <c r="I30" s="1628" t="str">
        <f t="shared" ca="1" si="4"/>
        <v>Très fort</v>
      </c>
      <c r="J30" s="1628" t="str">
        <f t="shared" ca="1" si="5"/>
        <v>Nord</v>
      </c>
      <c r="K30" s="1629">
        <f t="shared" ca="1" si="10"/>
        <v>10</v>
      </c>
      <c r="L30" s="1629">
        <f t="shared" ca="1" si="6"/>
        <v>3</v>
      </c>
      <c r="M30" s="1629">
        <f t="shared" ca="1" si="6"/>
        <v>10</v>
      </c>
      <c r="N30" s="1629">
        <f t="shared" ca="1" si="6"/>
        <v>10</v>
      </c>
      <c r="O30" s="1629">
        <f t="shared" ca="1" si="6"/>
        <v>6</v>
      </c>
      <c r="P30" s="1629">
        <f t="shared" ca="1" si="11"/>
        <v>19</v>
      </c>
      <c r="Q30" s="1629">
        <f t="shared" ca="1" si="12"/>
        <v>4</v>
      </c>
      <c r="R30" s="1629">
        <f t="shared" ca="1" si="12"/>
        <v>4</v>
      </c>
      <c r="S30" s="1600" t="str">
        <f t="shared" ca="1" si="13"/>
        <v>m 1/M 9</v>
      </c>
      <c r="T30" s="1601" t="str">
        <f t="shared" ca="1" si="14"/>
        <v>m 7/M 13</v>
      </c>
    </row>
    <row r="31" spans="1:20" ht="16.05" customHeight="1">
      <c r="A31" s="1618" t="s">
        <v>7067</v>
      </c>
      <c r="B31" s="1619" t="str">
        <f t="shared" ref="B31:B40" ca="1" si="16">LOOKUP(K31-1,metd10,metnua)</f>
        <v>Quelques</v>
      </c>
      <c r="C31" s="1619">
        <f t="shared" ca="1" si="1"/>
        <v>-1</v>
      </c>
      <c r="D31" s="1619">
        <f t="shared" ref="D31:D40" ca="1" si="17">LOOKUP(L31+C31,metd10,meteteT)</f>
        <v>15</v>
      </c>
      <c r="E31" s="1619">
        <f t="shared" ca="1" si="7"/>
        <v>12</v>
      </c>
      <c r="F31" s="1619">
        <f t="shared" ca="1" si="8"/>
        <v>18</v>
      </c>
      <c r="G31" s="1619">
        <f t="shared" ref="G31:G40" ca="1" si="18">LOOKUP(M31-1,metd10,metplu)</f>
        <v>50</v>
      </c>
      <c r="H31" s="1619" t="str">
        <f t="shared" ref="H31" ca="1" si="19">IF(P31&lt;G31/3,"Très fortes",IF(P31&lt;G31/2,"Fortes",IF(P31&lt;G31,"Normales",IF(P31&lt;G31+10,"Bruine","-"))))</f>
        <v>-</v>
      </c>
      <c r="I31" s="1619" t="str">
        <f t="shared" ca="1" si="4"/>
        <v>Fort</v>
      </c>
      <c r="J31" s="1619" t="str">
        <f t="shared" ca="1" si="5"/>
        <v>Sud-ouest</v>
      </c>
      <c r="K31" s="1615">
        <f t="shared" ca="1" si="10"/>
        <v>6</v>
      </c>
      <c r="L31" s="1615">
        <f t="shared" ca="1" si="6"/>
        <v>6</v>
      </c>
      <c r="M31" s="1615">
        <f t="shared" ca="1" si="6"/>
        <v>9</v>
      </c>
      <c r="N31" s="1615">
        <f t="shared" ca="1" si="6"/>
        <v>2</v>
      </c>
      <c r="O31" s="1615">
        <f t="shared" ca="1" si="6"/>
        <v>1</v>
      </c>
      <c r="P31" s="1615">
        <f t="shared" ca="1" si="11"/>
        <v>86</v>
      </c>
      <c r="Q31" s="1615">
        <f t="shared" ca="1" si="12"/>
        <v>3</v>
      </c>
      <c r="R31" s="1615">
        <f t="shared" ca="1" si="12"/>
        <v>3</v>
      </c>
      <c r="S31" s="1620" t="str">
        <f t="shared" ref="S31:S59" ca="1" si="20">"m "&amp;ROUND(E31+(E32-E31)/3,0)&amp;"/M "&amp;ROUND(F31+(F32-F31)/3,0)</f>
        <v>m 10/M 16</v>
      </c>
      <c r="T31" s="1621" t="str">
        <f t="shared" ref="T31:T59" ca="1" si="21">"m "&amp;ROUND(E31+2*(E32-E31)/3,0)&amp;"/M "&amp;ROUND(F31+2*(F32-F31)/3,0)</f>
        <v>m 9/M 15</v>
      </c>
    </row>
    <row r="32" spans="1:20" ht="16.05" customHeight="1">
      <c r="A32" s="90" t="s">
        <v>7068</v>
      </c>
      <c r="B32" s="1593" t="str">
        <f t="shared" ca="1" si="16"/>
        <v>Quelques</v>
      </c>
      <c r="C32" s="1593">
        <f t="shared" ca="1" si="1"/>
        <v>-1</v>
      </c>
      <c r="D32" s="1593">
        <f t="shared" ca="1" si="17"/>
        <v>10</v>
      </c>
      <c r="E32" s="1593">
        <f t="shared" ca="1" si="7"/>
        <v>7</v>
      </c>
      <c r="F32" s="1593">
        <f t="shared" ca="1" si="8"/>
        <v>13</v>
      </c>
      <c r="G32" s="1593">
        <f t="shared" ca="1" si="18"/>
        <v>10</v>
      </c>
      <c r="H32" s="1593" t="str">
        <f t="shared" ref="H32:H40" ca="1" si="22">IF(P32&lt;G32/3,"Très fortes",IF(P32&lt;G32/2,"Fortes",IF(P32&lt;G32,"Normales",IF(P32&lt;G32+10,"Bruine","-"))))</f>
        <v>-</v>
      </c>
      <c r="I32" s="1593" t="str">
        <f t="shared" ca="1" si="4"/>
        <v>Modéré</v>
      </c>
      <c r="J32" s="1593" t="str">
        <f t="shared" ca="1" si="5"/>
        <v>V</v>
      </c>
      <c r="K32" s="1615">
        <f t="shared" ca="1" si="10"/>
        <v>6</v>
      </c>
      <c r="L32" s="1615">
        <f t="shared" ca="1" si="6"/>
        <v>2</v>
      </c>
      <c r="M32" s="1615">
        <f t="shared" ca="1" si="6"/>
        <v>4</v>
      </c>
      <c r="N32" s="1615">
        <f t="shared" ca="1" si="6"/>
        <v>5</v>
      </c>
      <c r="O32" s="1615">
        <f t="shared" ca="1" si="6"/>
        <v>8</v>
      </c>
      <c r="P32" s="1615">
        <f t="shared" ca="1" si="11"/>
        <v>22</v>
      </c>
      <c r="Q32" s="1615">
        <f t="shared" ca="1" si="12"/>
        <v>3</v>
      </c>
      <c r="R32" s="1615">
        <f t="shared" ca="1" si="12"/>
        <v>3</v>
      </c>
      <c r="S32" s="1616" t="str">
        <f t="shared" ca="1" si="20"/>
        <v>m 12/M 18</v>
      </c>
      <c r="T32" s="1617" t="str">
        <f t="shared" ca="1" si="21"/>
        <v>m 16/M 24</v>
      </c>
    </row>
    <row r="33" spans="1:20" ht="16.05" customHeight="1">
      <c r="A33" s="90" t="s">
        <v>7069</v>
      </c>
      <c r="B33" s="1593" t="str">
        <f t="shared" ca="1" si="16"/>
        <v>Quelques</v>
      </c>
      <c r="C33" s="1593">
        <f t="shared" ca="1" si="1"/>
        <v>-1</v>
      </c>
      <c r="D33" s="1593">
        <f t="shared" ca="1" si="17"/>
        <v>25</v>
      </c>
      <c r="E33" s="1593">
        <f t="shared" ca="1" si="7"/>
        <v>21</v>
      </c>
      <c r="F33" s="1593">
        <f t="shared" ca="1" si="8"/>
        <v>29</v>
      </c>
      <c r="G33" s="1593">
        <f t="shared" ca="1" si="18"/>
        <v>20</v>
      </c>
      <c r="H33" s="1593" t="str">
        <f t="shared" ca="1" si="22"/>
        <v>-</v>
      </c>
      <c r="I33" s="1593" t="str">
        <f t="shared" ca="1" si="4"/>
        <v>Modéré</v>
      </c>
      <c r="J33" s="1593" t="str">
        <f t="shared" ca="1" si="5"/>
        <v>Est</v>
      </c>
      <c r="K33" s="1615">
        <f t="shared" ca="1" si="10"/>
        <v>6</v>
      </c>
      <c r="L33" s="1615">
        <f t="shared" ca="1" si="6"/>
        <v>10</v>
      </c>
      <c r="M33" s="1615">
        <f t="shared" ca="1" si="6"/>
        <v>6</v>
      </c>
      <c r="N33" s="1615">
        <f t="shared" ca="1" si="6"/>
        <v>6</v>
      </c>
      <c r="O33" s="1615">
        <f t="shared" ca="1" si="6"/>
        <v>4</v>
      </c>
      <c r="P33" s="1615">
        <f t="shared" ca="1" si="11"/>
        <v>93</v>
      </c>
      <c r="Q33" s="1615">
        <f t="shared" ca="1" si="12"/>
        <v>4</v>
      </c>
      <c r="R33" s="1615">
        <f t="shared" ca="1" si="12"/>
        <v>4</v>
      </c>
      <c r="S33" s="1616" t="str">
        <f t="shared" ca="1" si="20"/>
        <v>m 16/M 24</v>
      </c>
      <c r="T33" s="1617" t="str">
        <f t="shared" ca="1" si="21"/>
        <v>m 12/M 20</v>
      </c>
    </row>
    <row r="34" spans="1:20" ht="16.05" customHeight="1">
      <c r="A34" s="90" t="s">
        <v>7070</v>
      </c>
      <c r="B34" s="1593" t="str">
        <f t="shared" ca="1" si="16"/>
        <v>Couvert</v>
      </c>
      <c r="C34" s="1593">
        <f t="shared" ca="1" si="1"/>
        <v>-2</v>
      </c>
      <c r="D34" s="1593">
        <f t="shared" ca="1" si="17"/>
        <v>10</v>
      </c>
      <c r="E34" s="1593">
        <f t="shared" ca="1" si="7"/>
        <v>7</v>
      </c>
      <c r="F34" s="1593">
        <f t="shared" ca="1" si="8"/>
        <v>15</v>
      </c>
      <c r="G34" s="1593">
        <f t="shared" ca="1" si="18"/>
        <v>50</v>
      </c>
      <c r="H34" s="1593" t="str">
        <f t="shared" ca="1" si="22"/>
        <v>-</v>
      </c>
      <c r="I34" s="1593" t="str">
        <f t="shared" ca="1" si="4"/>
        <v>Très fort</v>
      </c>
      <c r="J34" s="1593" t="str">
        <f t="shared" ca="1" si="5"/>
        <v>Nord</v>
      </c>
      <c r="K34" s="1615">
        <f t="shared" ca="1" si="10"/>
        <v>7</v>
      </c>
      <c r="L34" s="1615">
        <f t="shared" ca="1" si="6"/>
        <v>2</v>
      </c>
      <c r="M34" s="1615">
        <f t="shared" ca="1" si="6"/>
        <v>10</v>
      </c>
      <c r="N34" s="1615">
        <f t="shared" ca="1" si="6"/>
        <v>7</v>
      </c>
      <c r="O34" s="1615">
        <f t="shared" ca="1" si="6"/>
        <v>6</v>
      </c>
      <c r="P34" s="1615">
        <f t="shared" ca="1" si="11"/>
        <v>80</v>
      </c>
      <c r="Q34" s="1615">
        <f t="shared" ca="1" si="12"/>
        <v>3</v>
      </c>
      <c r="R34" s="1615">
        <f t="shared" ca="1" si="12"/>
        <v>5</v>
      </c>
      <c r="S34" s="1616" t="str">
        <f t="shared" ca="1" si="20"/>
        <v>m 8/M 17</v>
      </c>
      <c r="T34" s="1617" t="str">
        <f t="shared" ca="1" si="21"/>
        <v>m 9/M 18</v>
      </c>
    </row>
    <row r="35" spans="1:20" ht="16.05" customHeight="1">
      <c r="A35" s="90" t="s">
        <v>7071</v>
      </c>
      <c r="B35" s="1593" t="str">
        <f t="shared" ca="1" si="16"/>
        <v>Couvert</v>
      </c>
      <c r="C35" s="1593">
        <f t="shared" ca="1" si="1"/>
        <v>-2</v>
      </c>
      <c r="D35" s="1593">
        <f t="shared" ca="1" si="17"/>
        <v>15</v>
      </c>
      <c r="E35" s="1593">
        <f t="shared" ca="1" si="7"/>
        <v>10</v>
      </c>
      <c r="F35" s="1593">
        <f t="shared" ca="1" si="8"/>
        <v>20</v>
      </c>
      <c r="G35" s="1593">
        <f t="shared" ca="1" si="18"/>
        <v>50</v>
      </c>
      <c r="H35" s="1593" t="str">
        <f t="shared" ca="1" si="22"/>
        <v>-</v>
      </c>
      <c r="I35" s="1593" t="str">
        <f t="shared" ca="1" si="4"/>
        <v>Très fort</v>
      </c>
      <c r="J35" s="1593" t="str">
        <f t="shared" ca="1" si="5"/>
        <v>Nord-est</v>
      </c>
      <c r="K35" s="1615">
        <f t="shared" ca="1" si="10"/>
        <v>9</v>
      </c>
      <c r="L35" s="1615">
        <f t="shared" ca="1" si="6"/>
        <v>5</v>
      </c>
      <c r="M35" s="1615">
        <f t="shared" ca="1" si="6"/>
        <v>10</v>
      </c>
      <c r="N35" s="1615">
        <f t="shared" ca="1" si="6"/>
        <v>4</v>
      </c>
      <c r="O35" s="1615">
        <f t="shared" ca="1" si="6"/>
        <v>7</v>
      </c>
      <c r="P35" s="1615">
        <f t="shared" ca="1" si="11"/>
        <v>71</v>
      </c>
      <c r="Q35" s="1615">
        <f t="shared" ca="1" si="12"/>
        <v>5</v>
      </c>
      <c r="R35" s="1615">
        <f t="shared" ca="1" si="12"/>
        <v>5</v>
      </c>
      <c r="S35" s="1616" t="str">
        <f t="shared" ca="1" si="20"/>
        <v>m 11/M 20</v>
      </c>
      <c r="T35" s="1617" t="str">
        <f t="shared" ca="1" si="21"/>
        <v>m 11/M 19</v>
      </c>
    </row>
    <row r="36" spans="1:20" ht="16.05" customHeight="1">
      <c r="A36" s="90" t="s">
        <v>7072</v>
      </c>
      <c r="B36" s="1593" t="str">
        <f t="shared" ca="1" si="16"/>
        <v>Couvert</v>
      </c>
      <c r="C36" s="1593">
        <f t="shared" ca="1" si="1"/>
        <v>-2</v>
      </c>
      <c r="D36" s="1593">
        <f t="shared" ca="1" si="17"/>
        <v>15</v>
      </c>
      <c r="E36" s="1593">
        <f t="shared" ca="1" si="7"/>
        <v>12</v>
      </c>
      <c r="F36" s="1593">
        <f t="shared" ca="1" si="8"/>
        <v>19</v>
      </c>
      <c r="G36" s="1593">
        <f t="shared" ca="1" si="18"/>
        <v>10</v>
      </c>
      <c r="H36" s="1593" t="str">
        <f t="shared" ca="1" si="22"/>
        <v>-</v>
      </c>
      <c r="I36" s="1593" t="str">
        <f t="shared" ca="1" si="4"/>
        <v>Modéré</v>
      </c>
      <c r="J36" s="1593" t="str">
        <f t="shared" ca="1" si="5"/>
        <v>Nord-ouest</v>
      </c>
      <c r="K36" s="1615">
        <f t="shared" ca="1" si="10"/>
        <v>9</v>
      </c>
      <c r="L36" s="1615">
        <f t="shared" ca="1" si="6"/>
        <v>6</v>
      </c>
      <c r="M36" s="1615">
        <f t="shared" ca="1" si="6"/>
        <v>5</v>
      </c>
      <c r="N36" s="1615">
        <f t="shared" ca="1" si="6"/>
        <v>3</v>
      </c>
      <c r="O36" s="1615">
        <f t="shared" ca="1" si="6"/>
        <v>5</v>
      </c>
      <c r="P36" s="1615">
        <f t="shared" ca="1" si="11"/>
        <v>58</v>
      </c>
      <c r="Q36" s="1615">
        <f t="shared" ca="1" si="12"/>
        <v>3</v>
      </c>
      <c r="R36" s="1615">
        <f t="shared" ca="1" si="12"/>
        <v>4</v>
      </c>
      <c r="S36" s="1616" t="str">
        <f t="shared" ca="1" si="20"/>
        <v>m 14/M 21</v>
      </c>
      <c r="T36" s="1617" t="str">
        <f t="shared" ca="1" si="21"/>
        <v>m 15/M 22</v>
      </c>
    </row>
    <row r="37" spans="1:20" ht="16.05" customHeight="1">
      <c r="A37" s="90" t="s">
        <v>7073</v>
      </c>
      <c r="B37" s="1593" t="str">
        <f t="shared" ca="1" si="16"/>
        <v>Nuageux</v>
      </c>
      <c r="C37" s="1593">
        <f t="shared" ca="1" si="1"/>
        <v>-2</v>
      </c>
      <c r="D37" s="1593">
        <f t="shared" ca="1" si="17"/>
        <v>20</v>
      </c>
      <c r="E37" s="1593">
        <f t="shared" ca="1" si="7"/>
        <v>17</v>
      </c>
      <c r="F37" s="1593">
        <f t="shared" ca="1" si="8"/>
        <v>24</v>
      </c>
      <c r="G37" s="1593">
        <f t="shared" ca="1" si="18"/>
        <v>0</v>
      </c>
      <c r="H37" s="1593" t="str">
        <f t="shared" ca="1" si="22"/>
        <v>-</v>
      </c>
      <c r="I37" s="1593" t="str">
        <f t="shared" ca="1" si="4"/>
        <v>Brise</v>
      </c>
      <c r="J37" s="1593" t="str">
        <f t="shared" ca="1" si="5"/>
        <v>V</v>
      </c>
      <c r="K37" s="1615">
        <f t="shared" ca="1" si="10"/>
        <v>10</v>
      </c>
      <c r="L37" s="1615">
        <f t="shared" ca="1" si="10"/>
        <v>9</v>
      </c>
      <c r="M37" s="1615">
        <f t="shared" ca="1" si="10"/>
        <v>3</v>
      </c>
      <c r="N37" s="1615">
        <f t="shared" ca="1" si="10"/>
        <v>3</v>
      </c>
      <c r="O37" s="1615">
        <f t="shared" ca="1" si="10"/>
        <v>3</v>
      </c>
      <c r="P37" s="1615">
        <f t="shared" ca="1" si="11"/>
        <v>52</v>
      </c>
      <c r="Q37" s="1615">
        <f t="shared" ca="1" si="12"/>
        <v>3</v>
      </c>
      <c r="R37" s="1615">
        <f t="shared" ca="1" si="12"/>
        <v>4</v>
      </c>
      <c r="S37" s="1616" t="str">
        <f t="shared" ca="1" si="20"/>
        <v>m 13/M 21</v>
      </c>
      <c r="T37" s="1617" t="str">
        <f t="shared" ca="1" si="21"/>
        <v>m 10/M 18</v>
      </c>
    </row>
    <row r="38" spans="1:20" ht="16.05" customHeight="1">
      <c r="A38" s="90" t="s">
        <v>7074</v>
      </c>
      <c r="B38" s="1593" t="str">
        <f t="shared" ca="1" si="16"/>
        <v>Quelques</v>
      </c>
      <c r="C38" s="1593">
        <f t="shared" ca="1" si="1"/>
        <v>-1</v>
      </c>
      <c r="D38" s="1593">
        <f t="shared" ca="1" si="17"/>
        <v>10</v>
      </c>
      <c r="E38" s="1593">
        <f t="shared" ca="1" si="7"/>
        <v>6</v>
      </c>
      <c r="F38" s="1593">
        <f t="shared" ca="1" si="8"/>
        <v>15</v>
      </c>
      <c r="G38" s="1593">
        <f t="shared" ca="1" si="18"/>
        <v>40</v>
      </c>
      <c r="H38" s="1593" t="str">
        <f t="shared" ca="1" si="22"/>
        <v>-</v>
      </c>
      <c r="I38" s="1593" t="str">
        <f t="shared" ca="1" si="4"/>
        <v>Fort</v>
      </c>
      <c r="J38" s="1593" t="str">
        <f t="shared" ca="1" si="5"/>
        <v>Nord</v>
      </c>
      <c r="K38" s="1615">
        <f t="shared" ref="K38:O60" ca="1" si="23">RANDBETWEEN(1,10)</f>
        <v>6</v>
      </c>
      <c r="L38" s="1615">
        <f t="shared" ca="1" si="23"/>
        <v>3</v>
      </c>
      <c r="M38" s="1615">
        <f t="shared" ca="1" si="23"/>
        <v>8</v>
      </c>
      <c r="N38" s="1615">
        <f t="shared" ca="1" si="23"/>
        <v>10</v>
      </c>
      <c r="O38" s="1615">
        <f t="shared" ca="1" si="23"/>
        <v>6</v>
      </c>
      <c r="P38" s="1615">
        <f t="shared" ca="1" si="11"/>
        <v>62</v>
      </c>
      <c r="Q38" s="1615">
        <f t="shared" ca="1" si="12"/>
        <v>4</v>
      </c>
      <c r="R38" s="1615">
        <f t="shared" ca="1" si="12"/>
        <v>5</v>
      </c>
      <c r="S38" s="1616" t="str">
        <f t="shared" ca="1" si="20"/>
        <v>m 10/M 18</v>
      </c>
      <c r="T38" s="1617" t="str">
        <f t="shared" ca="1" si="21"/>
        <v>m 13/M 21</v>
      </c>
    </row>
    <row r="39" spans="1:20" ht="16.05" customHeight="1">
      <c r="A39" s="90" t="s">
        <v>7075</v>
      </c>
      <c r="B39" s="1593" t="str">
        <f t="shared" ca="1" si="16"/>
        <v>Flocons</v>
      </c>
      <c r="C39" s="1593">
        <f t="shared" ca="1" si="1"/>
        <v>-1</v>
      </c>
      <c r="D39" s="1593">
        <f t="shared" ca="1" si="17"/>
        <v>20</v>
      </c>
      <c r="E39" s="1593">
        <f t="shared" ca="1" si="7"/>
        <v>17</v>
      </c>
      <c r="F39" s="1593">
        <f t="shared" ca="1" si="8"/>
        <v>24</v>
      </c>
      <c r="G39" s="1593">
        <f t="shared" ca="1" si="18"/>
        <v>50</v>
      </c>
      <c r="H39" s="1593" t="str">
        <f t="shared" ca="1" si="22"/>
        <v>Très fortes</v>
      </c>
      <c r="I39" s="1593" t="str">
        <f t="shared" ca="1" si="4"/>
        <v>Fort</v>
      </c>
      <c r="J39" s="1593" t="str">
        <f t="shared" ca="1" si="5"/>
        <v>Nord-ouest</v>
      </c>
      <c r="K39" s="1615">
        <f t="shared" ca="1" si="23"/>
        <v>4</v>
      </c>
      <c r="L39" s="1615">
        <f t="shared" ca="1" si="23"/>
        <v>7</v>
      </c>
      <c r="M39" s="1615">
        <f t="shared" ca="1" si="23"/>
        <v>9</v>
      </c>
      <c r="N39" s="1615">
        <f t="shared" ca="1" si="23"/>
        <v>4</v>
      </c>
      <c r="O39" s="1615">
        <f t="shared" ca="1" si="23"/>
        <v>5</v>
      </c>
      <c r="P39" s="1615">
        <f t="shared" ca="1" si="11"/>
        <v>10</v>
      </c>
      <c r="Q39" s="1615">
        <f t="shared" ca="1" si="12"/>
        <v>3</v>
      </c>
      <c r="R39" s="1615">
        <f t="shared" ca="1" si="12"/>
        <v>4</v>
      </c>
      <c r="S39" s="1616" t="str">
        <f t="shared" ca="1" si="20"/>
        <v>m 15/M 23</v>
      </c>
      <c r="T39" s="1617" t="str">
        <f t="shared" ca="1" si="21"/>
        <v>m 13/M 21</v>
      </c>
    </row>
    <row r="40" spans="1:20" ht="16.05" customHeight="1" thickBot="1">
      <c r="A40" s="1630" t="s">
        <v>7076</v>
      </c>
      <c r="B40" s="1631" t="str">
        <f t="shared" ca="1" si="16"/>
        <v>Flocons</v>
      </c>
      <c r="C40" s="1631">
        <f t="shared" ca="1" si="1"/>
        <v>0</v>
      </c>
      <c r="D40" s="1631">
        <f t="shared" ca="1" si="17"/>
        <v>15</v>
      </c>
      <c r="E40" s="1631">
        <f t="shared" ca="1" si="7"/>
        <v>11</v>
      </c>
      <c r="F40" s="1631">
        <f t="shared" ca="1" si="8"/>
        <v>20</v>
      </c>
      <c r="G40" s="1631">
        <f t="shared" ca="1" si="18"/>
        <v>0</v>
      </c>
      <c r="H40" s="1631" t="str">
        <f t="shared" ca="1" si="22"/>
        <v>-</v>
      </c>
      <c r="I40" s="1631" t="str">
        <f t="shared" ca="1" si="4"/>
        <v>Brise</v>
      </c>
      <c r="J40" s="1631" t="str">
        <f t="shared" ca="1" si="5"/>
        <v>V</v>
      </c>
      <c r="K40" s="1615">
        <f t="shared" ca="1" si="23"/>
        <v>3</v>
      </c>
      <c r="L40" s="1615">
        <f t="shared" ca="1" si="23"/>
        <v>3</v>
      </c>
      <c r="M40" s="1615">
        <f t="shared" ca="1" si="23"/>
        <v>3</v>
      </c>
      <c r="N40" s="1615">
        <f t="shared" ca="1" si="23"/>
        <v>10</v>
      </c>
      <c r="O40" s="1615">
        <f t="shared" ca="1" si="23"/>
        <v>8</v>
      </c>
      <c r="P40" s="1615">
        <f t="shared" ca="1" si="11"/>
        <v>87</v>
      </c>
      <c r="Q40" s="1615">
        <f t="shared" ca="1" si="12"/>
        <v>4</v>
      </c>
      <c r="R40" s="1615">
        <f t="shared" ca="1" si="12"/>
        <v>5</v>
      </c>
      <c r="S40" s="1632" t="str">
        <f t="shared" ca="1" si="20"/>
        <v>m 14/M 23</v>
      </c>
      <c r="T40" s="1633" t="str">
        <f t="shared" ca="1" si="21"/>
        <v>m 17/M 27</v>
      </c>
    </row>
    <row r="41" spans="1:20" ht="16.05" customHeight="1">
      <c r="A41" s="1638" t="s">
        <v>7077</v>
      </c>
      <c r="B41" s="1639" t="str">
        <f t="shared" ref="B41:B50" ca="1" si="24">LOOKUP(K41+2,metd10,metnua)</f>
        <v>Quelques</v>
      </c>
      <c r="C41" s="1639">
        <f t="shared" ca="1" si="1"/>
        <v>0</v>
      </c>
      <c r="D41" s="1639">
        <f t="shared" ref="D41:D50" ca="1" si="25">LOOKUP(L41+C41,metd10,metautT)</f>
        <v>25</v>
      </c>
      <c r="E41" s="1639">
        <f t="shared" ca="1" si="7"/>
        <v>20</v>
      </c>
      <c r="F41" s="1639">
        <f t="shared" ca="1" si="8"/>
        <v>30</v>
      </c>
      <c r="G41" s="1639">
        <f t="shared" ref="G41:G50" ca="1" si="26">LOOKUP(M41+1,metd10,metplu)</f>
        <v>50</v>
      </c>
      <c r="H41" s="1639" t="str">
        <f t="shared" ref="H41" ca="1" si="27">IF(P41&lt;G41/3,"Très fortes",IF(P41&lt;G41/2,"Fortes",IF(P41&lt;G41,"Normales",IF(P41&lt;G41+10,"Bruine","-"))))</f>
        <v>Fortes</v>
      </c>
      <c r="I41" s="1639" t="str">
        <f t="shared" ref="I41:I50" ca="1" si="28">LOOKUP(M41+1,metd10,metven)</f>
        <v>Fort</v>
      </c>
      <c r="J41" s="1639" t="str">
        <f t="shared" ca="1" si="5"/>
        <v>Est</v>
      </c>
      <c r="K41" s="1640">
        <f t="shared" ca="1" si="23"/>
        <v>3</v>
      </c>
      <c r="L41" s="1640">
        <f t="shared" ca="1" si="23"/>
        <v>10</v>
      </c>
      <c r="M41" s="1640">
        <f t="shared" ca="1" si="23"/>
        <v>7</v>
      </c>
      <c r="N41" s="1640">
        <f t="shared" ca="1" si="23"/>
        <v>8</v>
      </c>
      <c r="O41" s="1640">
        <f t="shared" ca="1" si="23"/>
        <v>10</v>
      </c>
      <c r="P41" s="1640">
        <f t="shared" ca="1" si="11"/>
        <v>18</v>
      </c>
      <c r="Q41" s="1640">
        <f t="shared" ca="1" si="12"/>
        <v>5</v>
      </c>
      <c r="R41" s="1640">
        <f t="shared" ca="1" si="12"/>
        <v>5</v>
      </c>
      <c r="S41" s="1609" t="str">
        <f t="shared" ca="1" si="20"/>
        <v>m 14/M 23</v>
      </c>
      <c r="T41" s="1610" t="str">
        <f t="shared" ca="1" si="21"/>
        <v>m 7/M 17</v>
      </c>
    </row>
    <row r="42" spans="1:20" ht="16.05" customHeight="1">
      <c r="A42" s="1641" t="s">
        <v>7078</v>
      </c>
      <c r="B42" s="1592" t="str">
        <f t="shared" ca="1" si="24"/>
        <v>Couvert</v>
      </c>
      <c r="C42" s="1592">
        <f t="shared" ca="1" si="1"/>
        <v>-1</v>
      </c>
      <c r="D42" s="1592">
        <f t="shared" ca="1" si="25"/>
        <v>5</v>
      </c>
      <c r="E42" s="1592">
        <f t="shared" ca="1" si="7"/>
        <v>1</v>
      </c>
      <c r="F42" s="1592">
        <f t="shared" ca="1" si="8"/>
        <v>10</v>
      </c>
      <c r="G42" s="1592">
        <f t="shared" ca="1" si="26"/>
        <v>40</v>
      </c>
      <c r="H42" s="1592" t="str">
        <f t="shared" ref="H42:H50" ca="1" si="29">IF(P42&lt;G42/3,"Très fortes",IF(P42&lt;G42/2,"Fortes",IF(P42&lt;G42,"Normales",IF(P42&lt;G42+10,"Bruine","-"))))</f>
        <v>Bruine</v>
      </c>
      <c r="I42" s="1592" t="str">
        <f t="shared" ca="1" si="28"/>
        <v>Fort</v>
      </c>
      <c r="J42" s="1592" t="str">
        <f t="shared" ca="1" si="5"/>
        <v>V</v>
      </c>
      <c r="K42" s="1642">
        <f t="shared" ca="1" si="23"/>
        <v>4</v>
      </c>
      <c r="L42" s="1642">
        <f t="shared" ca="1" si="23"/>
        <v>2</v>
      </c>
      <c r="M42" s="1642">
        <f t="shared" ca="1" si="23"/>
        <v>6</v>
      </c>
      <c r="N42" s="1642">
        <f t="shared" ca="1" si="23"/>
        <v>8</v>
      </c>
      <c r="O42" s="1642">
        <f t="shared" ca="1" si="23"/>
        <v>3</v>
      </c>
      <c r="P42" s="1642">
        <f t="shared" ca="1" si="11"/>
        <v>40</v>
      </c>
      <c r="Q42" s="1642">
        <f t="shared" ca="1" si="12"/>
        <v>4</v>
      </c>
      <c r="R42" s="1642">
        <f t="shared" ca="1" si="12"/>
        <v>5</v>
      </c>
      <c r="S42" s="1611" t="str">
        <f t="shared" ca="1" si="20"/>
        <v>m 4/M 13</v>
      </c>
      <c r="T42" s="1612" t="str">
        <f t="shared" ca="1" si="21"/>
        <v>m 8/M 15</v>
      </c>
    </row>
    <row r="43" spans="1:20" ht="16.05" customHeight="1">
      <c r="A43" s="1641" t="s">
        <v>7079</v>
      </c>
      <c r="B43" s="1592" t="str">
        <f t="shared" ca="1" si="24"/>
        <v>Quelques</v>
      </c>
      <c r="C43" s="1592">
        <f t="shared" ca="1" si="1"/>
        <v>0</v>
      </c>
      <c r="D43" s="1592">
        <f t="shared" ca="1" si="25"/>
        <v>15</v>
      </c>
      <c r="E43" s="1592">
        <f t="shared" ca="1" si="7"/>
        <v>11</v>
      </c>
      <c r="F43" s="1592">
        <f t="shared" ca="1" si="8"/>
        <v>18</v>
      </c>
      <c r="G43" s="1592">
        <f t="shared" ca="1" si="26"/>
        <v>50</v>
      </c>
      <c r="H43" s="1592" t="str">
        <f t="shared" ca="1" si="29"/>
        <v>-</v>
      </c>
      <c r="I43" s="1592" t="str">
        <f t="shared" ca="1" si="28"/>
        <v>Fort</v>
      </c>
      <c r="J43" s="1592" t="str">
        <f t="shared" ca="1" si="5"/>
        <v>Nord-ouest</v>
      </c>
      <c r="K43" s="1642">
        <f t="shared" ca="1" si="23"/>
        <v>3</v>
      </c>
      <c r="L43" s="1642">
        <f t="shared" ca="1" si="23"/>
        <v>6</v>
      </c>
      <c r="M43" s="1642">
        <f t="shared" ca="1" si="23"/>
        <v>7</v>
      </c>
      <c r="N43" s="1642">
        <f t="shared" ca="1" si="23"/>
        <v>2</v>
      </c>
      <c r="O43" s="1642">
        <f t="shared" ca="1" si="23"/>
        <v>5</v>
      </c>
      <c r="P43" s="1642">
        <f t="shared" ca="1" si="11"/>
        <v>69</v>
      </c>
      <c r="Q43" s="1642">
        <f t="shared" ca="1" si="12"/>
        <v>4</v>
      </c>
      <c r="R43" s="1642">
        <f t="shared" ca="1" si="12"/>
        <v>3</v>
      </c>
      <c r="S43" s="1611" t="str">
        <f t="shared" ca="1" si="20"/>
        <v>m 11/M 19</v>
      </c>
      <c r="T43" s="1612" t="str">
        <f t="shared" ca="1" si="21"/>
        <v>m 10/M 19</v>
      </c>
    </row>
    <row r="44" spans="1:20" ht="16.05" customHeight="1">
      <c r="A44" s="1641" t="s">
        <v>7080</v>
      </c>
      <c r="B44" s="1592" t="str">
        <f t="shared" ca="1" si="24"/>
        <v xml:space="preserve">Nuageux </v>
      </c>
      <c r="C44" s="1592">
        <f t="shared" ca="1" si="1"/>
        <v>-2</v>
      </c>
      <c r="D44" s="1592">
        <f t="shared" ca="1" si="25"/>
        <v>15</v>
      </c>
      <c r="E44" s="1592">
        <f t="shared" ca="1" si="7"/>
        <v>10</v>
      </c>
      <c r="F44" s="1592">
        <f t="shared" ca="1" si="8"/>
        <v>20</v>
      </c>
      <c r="G44" s="1592">
        <f t="shared" ca="1" si="26"/>
        <v>30</v>
      </c>
      <c r="H44" s="1592" t="str">
        <f t="shared" ca="1" si="29"/>
        <v>Bruine</v>
      </c>
      <c r="I44" s="1592" t="str">
        <f t="shared" ca="1" si="28"/>
        <v>Modéré</v>
      </c>
      <c r="J44" s="1592" t="str">
        <f t="shared" ca="1" si="5"/>
        <v>Ouest</v>
      </c>
      <c r="K44" s="1642">
        <f t="shared" ca="1" si="23"/>
        <v>10</v>
      </c>
      <c r="L44" s="1642">
        <f t="shared" ca="1" si="23"/>
        <v>10</v>
      </c>
      <c r="M44" s="1642">
        <f t="shared" ca="1" si="23"/>
        <v>5</v>
      </c>
      <c r="N44" s="1642">
        <f t="shared" ca="1" si="23"/>
        <v>8</v>
      </c>
      <c r="O44" s="1642">
        <f t="shared" ca="1" si="23"/>
        <v>2</v>
      </c>
      <c r="P44" s="1642">
        <f t="shared" ca="1" si="11"/>
        <v>37</v>
      </c>
      <c r="Q44" s="1642">
        <f t="shared" ca="1" si="12"/>
        <v>5</v>
      </c>
      <c r="R44" s="1642">
        <f t="shared" ca="1" si="12"/>
        <v>5</v>
      </c>
      <c r="S44" s="1611" t="str">
        <f t="shared" ca="1" si="20"/>
        <v>m 9/M 18</v>
      </c>
      <c r="T44" s="1612" t="str">
        <f t="shared" ca="1" si="21"/>
        <v>m 8/M 16</v>
      </c>
    </row>
    <row r="45" spans="1:20" ht="16.05" customHeight="1">
      <c r="A45" s="1641" t="s">
        <v>7081</v>
      </c>
      <c r="B45" s="1592" t="str">
        <f t="shared" ca="1" si="24"/>
        <v>Quelques</v>
      </c>
      <c r="C45" s="1592">
        <f t="shared" ca="1" si="1"/>
        <v>0</v>
      </c>
      <c r="D45" s="1592">
        <f t="shared" ca="1" si="25"/>
        <v>10</v>
      </c>
      <c r="E45" s="1592">
        <f t="shared" ca="1" si="7"/>
        <v>7</v>
      </c>
      <c r="F45" s="1592">
        <f t="shared" ca="1" si="8"/>
        <v>14</v>
      </c>
      <c r="G45" s="1592">
        <f t="shared" ca="1" si="26"/>
        <v>40</v>
      </c>
      <c r="H45" s="1592" t="str">
        <f t="shared" ca="1" si="29"/>
        <v>Très fortes</v>
      </c>
      <c r="I45" s="1592" t="str">
        <f t="shared" ca="1" si="28"/>
        <v>Fort</v>
      </c>
      <c r="J45" s="1592" t="str">
        <f t="shared" ca="1" si="5"/>
        <v>V</v>
      </c>
      <c r="K45" s="1642">
        <f t="shared" ca="1" si="23"/>
        <v>3</v>
      </c>
      <c r="L45" s="1642">
        <f t="shared" ca="1" si="23"/>
        <v>5</v>
      </c>
      <c r="M45" s="1642">
        <f t="shared" ca="1" si="23"/>
        <v>6</v>
      </c>
      <c r="N45" s="1642">
        <f t="shared" ca="1" si="23"/>
        <v>5</v>
      </c>
      <c r="O45" s="1642">
        <f t="shared" ca="1" si="23"/>
        <v>8</v>
      </c>
      <c r="P45" s="1642">
        <f t="shared" ca="1" si="11"/>
        <v>13</v>
      </c>
      <c r="Q45" s="1642">
        <f t="shared" ca="1" si="12"/>
        <v>3</v>
      </c>
      <c r="R45" s="1642">
        <f t="shared" ca="1" si="12"/>
        <v>4</v>
      </c>
      <c r="S45" s="1611" t="str">
        <f t="shared" ca="1" si="20"/>
        <v>m 8/M 16</v>
      </c>
      <c r="T45" s="1612" t="str">
        <f t="shared" ca="1" si="21"/>
        <v>m 10/M 17</v>
      </c>
    </row>
    <row r="46" spans="1:20" ht="16.05" customHeight="1">
      <c r="A46" s="1641" t="s">
        <v>7082</v>
      </c>
      <c r="B46" s="1592" t="str">
        <f t="shared" ca="1" si="24"/>
        <v xml:space="preserve">Nuageux </v>
      </c>
      <c r="C46" s="1592">
        <f t="shared" ca="1" si="1"/>
        <v>-1</v>
      </c>
      <c r="D46" s="1592">
        <f t="shared" ca="1" si="25"/>
        <v>15</v>
      </c>
      <c r="E46" s="1592">
        <f t="shared" ca="1" si="7"/>
        <v>11</v>
      </c>
      <c r="F46" s="1592">
        <f t="shared" ca="1" si="8"/>
        <v>19</v>
      </c>
      <c r="G46" s="1592">
        <f t="shared" ca="1" si="26"/>
        <v>20</v>
      </c>
      <c r="H46" s="1592" t="str">
        <f t="shared" ca="1" si="29"/>
        <v>-</v>
      </c>
      <c r="I46" s="1592" t="str">
        <f t="shared" ca="1" si="28"/>
        <v>Modéré</v>
      </c>
      <c r="J46" s="1592" t="str">
        <f t="shared" ca="1" si="5"/>
        <v>Nord-ouest</v>
      </c>
      <c r="K46" s="1642">
        <f t="shared" ca="1" si="23"/>
        <v>8</v>
      </c>
      <c r="L46" s="1642">
        <f t="shared" ca="1" si="23"/>
        <v>9</v>
      </c>
      <c r="M46" s="1642">
        <f t="shared" ca="1" si="23"/>
        <v>4</v>
      </c>
      <c r="N46" s="1642">
        <f t="shared" ca="1" si="23"/>
        <v>4</v>
      </c>
      <c r="O46" s="1642">
        <f t="shared" ca="1" si="23"/>
        <v>5</v>
      </c>
      <c r="P46" s="1642">
        <f t="shared" ca="1" si="11"/>
        <v>59</v>
      </c>
      <c r="Q46" s="1642">
        <f t="shared" ca="1" si="12"/>
        <v>4</v>
      </c>
      <c r="R46" s="1642">
        <f t="shared" ca="1" si="12"/>
        <v>4</v>
      </c>
      <c r="S46" s="1611" t="str">
        <f t="shared" ca="1" si="20"/>
        <v>m 12/M 21</v>
      </c>
      <c r="T46" s="1612" t="str">
        <f t="shared" ca="1" si="21"/>
        <v>m 14/M 23</v>
      </c>
    </row>
    <row r="47" spans="1:20" ht="16.05" customHeight="1">
      <c r="A47" s="1641" t="s">
        <v>7083</v>
      </c>
      <c r="B47" s="1592" t="str">
        <f t="shared" ca="1" si="24"/>
        <v>Couvert</v>
      </c>
      <c r="C47" s="1592">
        <f t="shared" ca="1" si="1"/>
        <v>-1</v>
      </c>
      <c r="D47" s="1592">
        <f t="shared" ca="1" si="25"/>
        <v>20</v>
      </c>
      <c r="E47" s="1592">
        <f t="shared" ca="1" si="7"/>
        <v>15</v>
      </c>
      <c r="F47" s="1592">
        <f t="shared" ca="1" si="8"/>
        <v>25</v>
      </c>
      <c r="G47" s="1592">
        <f t="shared" ca="1" si="26"/>
        <v>20</v>
      </c>
      <c r="H47" s="1592" t="str">
        <f t="shared" ca="1" si="29"/>
        <v>-</v>
      </c>
      <c r="I47" s="1592" t="str">
        <f t="shared" ca="1" si="28"/>
        <v>Modéré</v>
      </c>
      <c r="J47" s="1592" t="str">
        <f t="shared" ca="1" si="5"/>
        <v>Nord</v>
      </c>
      <c r="K47" s="1642">
        <f t="shared" ca="1" si="23"/>
        <v>6</v>
      </c>
      <c r="L47" s="1642">
        <f t="shared" ca="1" si="23"/>
        <v>10</v>
      </c>
      <c r="M47" s="1642">
        <f t="shared" ca="1" si="23"/>
        <v>4</v>
      </c>
      <c r="N47" s="1642">
        <f t="shared" ca="1" si="23"/>
        <v>3</v>
      </c>
      <c r="O47" s="1642">
        <f t="shared" ca="1" si="23"/>
        <v>9</v>
      </c>
      <c r="P47" s="1642">
        <f t="shared" ca="1" si="11"/>
        <v>82</v>
      </c>
      <c r="Q47" s="1642">
        <f t="shared" ca="1" si="12"/>
        <v>5</v>
      </c>
      <c r="R47" s="1642">
        <f t="shared" ca="1" si="12"/>
        <v>5</v>
      </c>
      <c r="S47" s="1611" t="str">
        <f t="shared" ca="1" si="20"/>
        <v>m 13/M 23</v>
      </c>
      <c r="T47" s="1612" t="str">
        <f t="shared" ca="1" si="21"/>
        <v>m 12/M 21</v>
      </c>
    </row>
    <row r="48" spans="1:20" ht="16.05" customHeight="1">
      <c r="A48" s="1641" t="s">
        <v>7084</v>
      </c>
      <c r="B48" s="1592" t="str">
        <f t="shared" ca="1" si="24"/>
        <v xml:space="preserve">Nuageux </v>
      </c>
      <c r="C48" s="1592">
        <f t="shared" ca="1" si="1"/>
        <v>-1</v>
      </c>
      <c r="D48" s="1592">
        <f t="shared" ca="1" si="25"/>
        <v>15</v>
      </c>
      <c r="E48" s="1592">
        <f t="shared" ca="1" si="7"/>
        <v>10</v>
      </c>
      <c r="F48" s="1592">
        <f t="shared" ca="1" si="8"/>
        <v>19</v>
      </c>
      <c r="G48" s="1592">
        <f t="shared" ca="1" si="26"/>
        <v>20</v>
      </c>
      <c r="H48" s="1592" t="str">
        <f t="shared" ca="1" si="29"/>
        <v>Normales</v>
      </c>
      <c r="I48" s="1592" t="str">
        <f t="shared" ca="1" si="28"/>
        <v>Modéré</v>
      </c>
      <c r="J48" s="1592" t="str">
        <f t="shared" ca="1" si="5"/>
        <v>Nord</v>
      </c>
      <c r="K48" s="1642">
        <f t="shared" ca="1" si="23"/>
        <v>8</v>
      </c>
      <c r="L48" s="1642">
        <f t="shared" ca="1" si="23"/>
        <v>8</v>
      </c>
      <c r="M48" s="1642">
        <f t="shared" ca="1" si="23"/>
        <v>4</v>
      </c>
      <c r="N48" s="1642">
        <f t="shared" ca="1" si="23"/>
        <v>4</v>
      </c>
      <c r="O48" s="1642">
        <f t="shared" ca="1" si="23"/>
        <v>6</v>
      </c>
      <c r="P48" s="1642">
        <f t="shared" ca="1" si="11"/>
        <v>16</v>
      </c>
      <c r="Q48" s="1642">
        <f t="shared" ca="1" si="12"/>
        <v>5</v>
      </c>
      <c r="R48" s="1642">
        <f t="shared" ca="1" si="12"/>
        <v>4</v>
      </c>
      <c r="S48" s="1611" t="str">
        <f t="shared" ca="1" si="20"/>
        <v>m 10/M 19</v>
      </c>
      <c r="T48" s="1612" t="str">
        <f t="shared" ca="1" si="21"/>
        <v>m 11/M 20</v>
      </c>
    </row>
    <row r="49" spans="1:20" ht="16.05" customHeight="1">
      <c r="A49" s="1641" t="s">
        <v>7085</v>
      </c>
      <c r="B49" s="1592" t="str">
        <f t="shared" ca="1" si="24"/>
        <v>Couvert</v>
      </c>
      <c r="C49" s="1592">
        <f t="shared" ca="1" si="1"/>
        <v>-1</v>
      </c>
      <c r="D49" s="1592">
        <f t="shared" ca="1" si="25"/>
        <v>15</v>
      </c>
      <c r="E49" s="1592">
        <f t="shared" ca="1" si="7"/>
        <v>11</v>
      </c>
      <c r="F49" s="1592">
        <f t="shared" ca="1" si="8"/>
        <v>20</v>
      </c>
      <c r="G49" s="1592">
        <f t="shared" ca="1" si="26"/>
        <v>40</v>
      </c>
      <c r="H49" s="1592" t="str">
        <f t="shared" ca="1" si="29"/>
        <v>Fortes</v>
      </c>
      <c r="I49" s="1592" t="str">
        <f t="shared" ca="1" si="28"/>
        <v>Fort</v>
      </c>
      <c r="J49" s="1592" t="str">
        <f t="shared" ca="1" si="5"/>
        <v>Est</v>
      </c>
      <c r="K49" s="1642">
        <f t="shared" ca="1" si="23"/>
        <v>6</v>
      </c>
      <c r="L49" s="1642">
        <f t="shared" ca="1" si="23"/>
        <v>8</v>
      </c>
      <c r="M49" s="1642">
        <f t="shared" ca="1" si="23"/>
        <v>6</v>
      </c>
      <c r="N49" s="1642">
        <f t="shared" ca="1" si="23"/>
        <v>2</v>
      </c>
      <c r="O49" s="1642">
        <f t="shared" ca="1" si="23"/>
        <v>4</v>
      </c>
      <c r="P49" s="1642">
        <f t="shared" ca="1" si="11"/>
        <v>16</v>
      </c>
      <c r="Q49" s="1642">
        <f t="shared" ca="1" si="12"/>
        <v>4</v>
      </c>
      <c r="R49" s="1642">
        <f t="shared" ca="1" si="12"/>
        <v>5</v>
      </c>
      <c r="S49" s="1611" t="str">
        <f t="shared" ca="1" si="20"/>
        <v>m 11/M 20</v>
      </c>
      <c r="T49" s="1612" t="str">
        <f t="shared" ca="1" si="21"/>
        <v>m 10/M 19</v>
      </c>
    </row>
    <row r="50" spans="1:20" ht="16.05" customHeight="1" thickBot="1">
      <c r="A50" s="1643" t="s">
        <v>7086</v>
      </c>
      <c r="B50" s="1644" t="str">
        <f t="shared" ca="1" si="24"/>
        <v>Quelques</v>
      </c>
      <c r="C50" s="1644">
        <f t="shared" ca="1" si="1"/>
        <v>0</v>
      </c>
      <c r="D50" s="1644">
        <f t="shared" ca="1" si="25"/>
        <v>15</v>
      </c>
      <c r="E50" s="1644">
        <f t="shared" ca="1" si="7"/>
        <v>10</v>
      </c>
      <c r="F50" s="1644">
        <f t="shared" ca="1" si="8"/>
        <v>19</v>
      </c>
      <c r="G50" s="1644">
        <f t="shared" ca="1" si="26"/>
        <v>10</v>
      </c>
      <c r="H50" s="1644" t="str">
        <f t="shared" ca="1" si="29"/>
        <v>-</v>
      </c>
      <c r="I50" s="1644" t="str">
        <f t="shared" ca="1" si="28"/>
        <v>Modéré</v>
      </c>
      <c r="J50" s="1644" t="str">
        <f t="shared" ca="1" si="5"/>
        <v>Est</v>
      </c>
      <c r="K50" s="1645">
        <f t="shared" ca="1" si="23"/>
        <v>2</v>
      </c>
      <c r="L50" s="1645">
        <f t="shared" ca="1" si="23"/>
        <v>8</v>
      </c>
      <c r="M50" s="1645">
        <f t="shared" ca="1" si="23"/>
        <v>3</v>
      </c>
      <c r="N50" s="1645">
        <f t="shared" ca="1" si="23"/>
        <v>2</v>
      </c>
      <c r="O50" s="1645">
        <f t="shared" ca="1" si="23"/>
        <v>10</v>
      </c>
      <c r="P50" s="1645">
        <f t="shared" ca="1" si="11"/>
        <v>47</v>
      </c>
      <c r="Q50" s="1645">
        <f t="shared" ca="1" si="12"/>
        <v>5</v>
      </c>
      <c r="R50" s="1645">
        <f t="shared" ca="1" si="12"/>
        <v>4</v>
      </c>
      <c r="S50" s="1613" t="str">
        <f t="shared" ca="1" si="20"/>
        <v>m 3/M 12</v>
      </c>
      <c r="T50" s="1614" t="str">
        <f t="shared" ca="1" si="21"/>
        <v>m -3/M 6</v>
      </c>
    </row>
    <row r="51" spans="1:20" ht="16.05" customHeight="1">
      <c r="A51" s="1634" t="s">
        <v>7087</v>
      </c>
      <c r="B51" s="1635" t="str">
        <f t="shared" ref="B51:B60" ca="1" si="30">LOOKUP(K51,metd10,metnua)</f>
        <v>Dégagé</v>
      </c>
      <c r="C51" s="1635">
        <f t="shared" ca="1" si="1"/>
        <v>0</v>
      </c>
      <c r="D51" s="1635">
        <f t="shared" ref="D51:D60" ca="1" si="31">LOOKUP(L51+C51,metd10,methivT)</f>
        <v>-5</v>
      </c>
      <c r="E51" s="1635">
        <f t="shared" ca="1" si="7"/>
        <v>-10</v>
      </c>
      <c r="F51" s="1635">
        <f t="shared" ca="1" si="8"/>
        <v>-1</v>
      </c>
      <c r="G51" s="1635">
        <f t="shared" ref="G51:G60" ca="1" si="32">LOOKUP(M51,metd10,metplu)</f>
        <v>10</v>
      </c>
      <c r="H51" s="1635" t="str">
        <f t="shared" ref="H51" ca="1" si="33">IF(P51&lt;G51/3,"Très fortes",IF(P51&lt;G51/2,"Fortes",IF(P51&lt;G51,"Normales",IF(P51&lt;G51+10,"Bruine","-"))))</f>
        <v>-</v>
      </c>
      <c r="I51" s="1635" t="str">
        <f t="shared" ref="I51:I60" ca="1" si="34">LOOKUP(M51-1,metd10,metven)</f>
        <v>Brise</v>
      </c>
      <c r="J51" s="1635" t="str">
        <f t="shared" ca="1" si="5"/>
        <v>Nord-est</v>
      </c>
      <c r="K51" s="1604">
        <f t="shared" ca="1" si="23"/>
        <v>1</v>
      </c>
      <c r="L51" s="1604">
        <f t="shared" ca="1" si="23"/>
        <v>2</v>
      </c>
      <c r="M51" s="1604">
        <f t="shared" ca="1" si="23"/>
        <v>4</v>
      </c>
      <c r="N51" s="1604">
        <f t="shared" ca="1" si="23"/>
        <v>8</v>
      </c>
      <c r="O51" s="1604">
        <f t="shared" ca="1" si="23"/>
        <v>7</v>
      </c>
      <c r="P51" s="1604">
        <f t="shared" ca="1" si="11"/>
        <v>77</v>
      </c>
      <c r="Q51" s="1604">
        <f t="shared" ca="1" si="12"/>
        <v>5</v>
      </c>
      <c r="R51" s="1604">
        <f t="shared" ca="1" si="12"/>
        <v>4</v>
      </c>
      <c r="S51" s="1636" t="str">
        <f t="shared" ca="1" si="20"/>
        <v>m -10/M -1</v>
      </c>
      <c r="T51" s="1637" t="str">
        <f t="shared" ca="1" si="21"/>
        <v>m -9/M -2</v>
      </c>
    </row>
    <row r="52" spans="1:20" ht="16.05" customHeight="1">
      <c r="A52" s="1602" t="s">
        <v>7088</v>
      </c>
      <c r="B52" s="1603" t="str">
        <f t="shared" ca="1" si="30"/>
        <v>Nuageux</v>
      </c>
      <c r="C52" s="1603">
        <f t="shared" ca="1" si="1"/>
        <v>-2</v>
      </c>
      <c r="D52" s="1603">
        <f t="shared" ca="1" si="31"/>
        <v>-5</v>
      </c>
      <c r="E52" s="1603">
        <f t="shared" ca="1" si="7"/>
        <v>-9</v>
      </c>
      <c r="F52" s="1603">
        <f t="shared" ca="1" si="8"/>
        <v>-2</v>
      </c>
      <c r="G52" s="1603">
        <f t="shared" ca="1" si="32"/>
        <v>0</v>
      </c>
      <c r="H52" s="1603" t="str">
        <f t="shared" ref="H52:H60" ca="1" si="35">IF(P52&lt;G52/3,"Très fortes",IF(P52&lt;G52/2,"Fortes",IF(P52&lt;G52,"Normales",IF(P52&lt;G52+10,"Bruine","-"))))</f>
        <v>-</v>
      </c>
      <c r="I52" s="1603" t="str">
        <f t="shared" ca="1" si="34"/>
        <v>Nul</v>
      </c>
      <c r="J52" s="1603" t="str">
        <f t="shared" ca="1" si="5"/>
        <v>Nord</v>
      </c>
      <c r="K52" s="1604">
        <f t="shared" ca="1" si="23"/>
        <v>9</v>
      </c>
      <c r="L52" s="1604">
        <f t="shared" ca="1" si="23"/>
        <v>4</v>
      </c>
      <c r="M52" s="1604">
        <f t="shared" ca="1" si="23"/>
        <v>1</v>
      </c>
      <c r="N52" s="1604">
        <f t="shared" ca="1" si="23"/>
        <v>10</v>
      </c>
      <c r="O52" s="1604">
        <f t="shared" ca="1" si="23"/>
        <v>6</v>
      </c>
      <c r="P52" s="1604">
        <f t="shared" ca="1" si="11"/>
        <v>37</v>
      </c>
      <c r="Q52" s="1604">
        <f t="shared" ca="1" si="12"/>
        <v>4</v>
      </c>
      <c r="R52" s="1604">
        <f t="shared" ca="1" si="12"/>
        <v>3</v>
      </c>
      <c r="S52" s="1605" t="str">
        <f t="shared" ca="1" si="20"/>
        <v>m -7/M 0</v>
      </c>
      <c r="T52" s="1606" t="str">
        <f t="shared" ca="1" si="21"/>
        <v>m -5/M 2</v>
      </c>
    </row>
    <row r="53" spans="1:20" ht="16.05" customHeight="1">
      <c r="A53" s="1602" t="s">
        <v>7089</v>
      </c>
      <c r="B53" s="1603" t="str">
        <f t="shared" ca="1" si="30"/>
        <v>Couvert</v>
      </c>
      <c r="C53" s="1603">
        <f t="shared" ca="1" si="1"/>
        <v>-2</v>
      </c>
      <c r="D53" s="1603">
        <f t="shared" ca="1" si="31"/>
        <v>0</v>
      </c>
      <c r="E53" s="1603">
        <f t="shared" ca="1" si="7"/>
        <v>-3</v>
      </c>
      <c r="F53" s="1603">
        <f t="shared" ca="1" si="8"/>
        <v>4</v>
      </c>
      <c r="G53" s="1603">
        <f t="shared" ca="1" si="32"/>
        <v>60</v>
      </c>
      <c r="H53" s="1603" t="str">
        <f t="shared" ca="1" si="35"/>
        <v>Normales</v>
      </c>
      <c r="I53" s="1603" t="str">
        <f t="shared" ca="1" si="34"/>
        <v>Fort</v>
      </c>
      <c r="J53" s="1603" t="str">
        <f t="shared" ca="1" si="5"/>
        <v>Nord-est</v>
      </c>
      <c r="K53" s="1604">
        <f t="shared" ca="1" si="23"/>
        <v>7</v>
      </c>
      <c r="L53" s="1604">
        <f t="shared" ca="1" si="23"/>
        <v>8</v>
      </c>
      <c r="M53" s="1604">
        <f t="shared" ca="1" si="23"/>
        <v>10</v>
      </c>
      <c r="N53" s="1604">
        <f t="shared" ca="1" si="23"/>
        <v>1</v>
      </c>
      <c r="O53" s="1604">
        <f t="shared" ca="1" si="23"/>
        <v>7</v>
      </c>
      <c r="P53" s="1604">
        <f t="shared" ca="1" si="11"/>
        <v>53</v>
      </c>
      <c r="Q53" s="1604">
        <f t="shared" ca="1" si="12"/>
        <v>3</v>
      </c>
      <c r="R53" s="1604">
        <f t="shared" ca="1" si="12"/>
        <v>4</v>
      </c>
      <c r="S53" s="1605" t="str">
        <f t="shared" ca="1" si="20"/>
        <v>m -3/M 4</v>
      </c>
      <c r="T53" s="1606" t="str">
        <f t="shared" ca="1" si="21"/>
        <v>m -3/M 3</v>
      </c>
    </row>
    <row r="54" spans="1:20" ht="16.05" customHeight="1">
      <c r="A54" s="1602" t="s">
        <v>7090</v>
      </c>
      <c r="B54" s="1603" t="str">
        <f t="shared" ca="1" si="30"/>
        <v>Quelques</v>
      </c>
      <c r="C54" s="1603">
        <f t="shared" ca="1" si="1"/>
        <v>0</v>
      </c>
      <c r="D54" s="1603">
        <f t="shared" ca="1" si="31"/>
        <v>0</v>
      </c>
      <c r="E54" s="1603">
        <f t="shared" ca="1" si="7"/>
        <v>-3</v>
      </c>
      <c r="F54" s="1603">
        <f t="shared" ca="1" si="8"/>
        <v>3</v>
      </c>
      <c r="G54" s="1603">
        <f t="shared" ca="1" si="32"/>
        <v>50</v>
      </c>
      <c r="H54" s="1603" t="str">
        <f t="shared" ca="1" si="35"/>
        <v>Normales</v>
      </c>
      <c r="I54" s="1603" t="str">
        <f t="shared" ca="1" si="34"/>
        <v>Fort</v>
      </c>
      <c r="J54" s="1603" t="str">
        <f t="shared" ca="1" si="5"/>
        <v>Nord-ouest</v>
      </c>
      <c r="K54" s="1604">
        <f t="shared" ca="1" si="23"/>
        <v>5</v>
      </c>
      <c r="L54" s="1604">
        <f t="shared" ca="1" si="23"/>
        <v>5</v>
      </c>
      <c r="M54" s="1604">
        <f t="shared" ca="1" si="23"/>
        <v>8</v>
      </c>
      <c r="N54" s="1604">
        <f t="shared" ca="1" si="23"/>
        <v>6</v>
      </c>
      <c r="O54" s="1604">
        <f t="shared" ca="1" si="23"/>
        <v>5</v>
      </c>
      <c r="P54" s="1604">
        <f t="shared" ca="1" si="11"/>
        <v>35</v>
      </c>
      <c r="Q54" s="1604">
        <f t="shared" ca="1" si="12"/>
        <v>3</v>
      </c>
      <c r="R54" s="1604">
        <f t="shared" ca="1" si="12"/>
        <v>3</v>
      </c>
      <c r="S54" s="1605" t="str">
        <f t="shared" ca="1" si="20"/>
        <v>m -2/M 5</v>
      </c>
      <c r="T54" s="1606" t="str">
        <f t="shared" ca="1" si="21"/>
        <v>m -1/M 8</v>
      </c>
    </row>
    <row r="55" spans="1:20" ht="16.05" customHeight="1">
      <c r="A55" s="1602" t="s">
        <v>7091</v>
      </c>
      <c r="B55" s="1603" t="str">
        <f t="shared" ca="1" si="30"/>
        <v>Couvert</v>
      </c>
      <c r="C55" s="1603">
        <f t="shared" ca="1" si="1"/>
        <v>-1</v>
      </c>
      <c r="D55" s="1603">
        <f t="shared" ca="1" si="31"/>
        <v>5</v>
      </c>
      <c r="E55" s="1603">
        <f t="shared" ca="1" si="7"/>
        <v>0</v>
      </c>
      <c r="F55" s="1603">
        <f t="shared" ca="1" si="8"/>
        <v>10</v>
      </c>
      <c r="G55" s="1603">
        <f t="shared" ca="1" si="32"/>
        <v>50</v>
      </c>
      <c r="H55" s="1603" t="str">
        <f t="shared" ca="1" si="35"/>
        <v>Normales</v>
      </c>
      <c r="I55" s="1603" t="str">
        <f t="shared" ca="1" si="34"/>
        <v>Fort</v>
      </c>
      <c r="J55" s="1603" t="str">
        <f t="shared" ca="1" si="5"/>
        <v>Nord</v>
      </c>
      <c r="K55" s="1604">
        <f t="shared" ca="1" si="23"/>
        <v>8</v>
      </c>
      <c r="L55" s="1604">
        <f t="shared" ca="1" si="23"/>
        <v>8</v>
      </c>
      <c r="M55" s="1604">
        <f t="shared" ca="1" si="23"/>
        <v>9</v>
      </c>
      <c r="N55" s="1604">
        <f t="shared" ca="1" si="23"/>
        <v>7</v>
      </c>
      <c r="O55" s="1604">
        <f t="shared" ca="1" si="23"/>
        <v>6</v>
      </c>
      <c r="P55" s="1604">
        <f t="shared" ca="1" si="11"/>
        <v>41</v>
      </c>
      <c r="Q55" s="1604">
        <f t="shared" ca="1" si="12"/>
        <v>5</v>
      </c>
      <c r="R55" s="1604">
        <f t="shared" ca="1" si="12"/>
        <v>5</v>
      </c>
      <c r="S55" s="1605" t="str">
        <f t="shared" ca="1" si="20"/>
        <v>m -4/M 5</v>
      </c>
      <c r="T55" s="1606" t="str">
        <f t="shared" ca="1" si="21"/>
        <v>m -9/M 0</v>
      </c>
    </row>
    <row r="56" spans="1:20" ht="16.05" customHeight="1">
      <c r="A56" s="1602" t="s">
        <v>7092</v>
      </c>
      <c r="B56" s="1603" t="str">
        <f t="shared" ca="1" si="30"/>
        <v>Flocons</v>
      </c>
      <c r="C56" s="1603">
        <f t="shared" ca="1" si="1"/>
        <v>0</v>
      </c>
      <c r="D56" s="1603">
        <f t="shared" ca="1" si="31"/>
        <v>-10</v>
      </c>
      <c r="E56" s="1603">
        <f t="shared" ca="1" si="7"/>
        <v>-13</v>
      </c>
      <c r="F56" s="1603">
        <f t="shared" ca="1" si="8"/>
        <v>-5</v>
      </c>
      <c r="G56" s="1603">
        <f t="shared" ca="1" si="32"/>
        <v>10</v>
      </c>
      <c r="H56" s="1603" t="str">
        <f t="shared" ca="1" si="35"/>
        <v>-</v>
      </c>
      <c r="I56" s="1603" t="str">
        <f t="shared" ca="1" si="34"/>
        <v>Brise</v>
      </c>
      <c r="J56" s="1603" t="str">
        <f t="shared" ca="1" si="5"/>
        <v>Est</v>
      </c>
      <c r="K56" s="1604">
        <f t="shared" ca="1" si="23"/>
        <v>2</v>
      </c>
      <c r="L56" s="1604">
        <f t="shared" ca="1" si="23"/>
        <v>1</v>
      </c>
      <c r="M56" s="1604">
        <f t="shared" ca="1" si="23"/>
        <v>3</v>
      </c>
      <c r="N56" s="1604">
        <f t="shared" ca="1" si="23"/>
        <v>6</v>
      </c>
      <c r="O56" s="1604">
        <f t="shared" ca="1" si="23"/>
        <v>10</v>
      </c>
      <c r="P56" s="1604">
        <f t="shared" ca="1" si="11"/>
        <v>87</v>
      </c>
      <c r="Q56" s="1604">
        <f t="shared" ca="1" si="12"/>
        <v>3</v>
      </c>
      <c r="R56" s="1604">
        <f t="shared" ca="1" si="12"/>
        <v>5</v>
      </c>
      <c r="S56" s="1605" t="str">
        <f t="shared" ca="1" si="20"/>
        <v>m -10/M -2</v>
      </c>
      <c r="T56" s="1606" t="str">
        <f t="shared" ca="1" si="21"/>
        <v>m -6/M 1</v>
      </c>
    </row>
    <row r="57" spans="1:20" ht="16.05" customHeight="1">
      <c r="A57" s="1602" t="s">
        <v>7093</v>
      </c>
      <c r="B57" s="1603" t="str">
        <f t="shared" ca="1" si="30"/>
        <v>Couvert</v>
      </c>
      <c r="C57" s="1603">
        <f t="shared" ca="1" si="1"/>
        <v>-2</v>
      </c>
      <c r="D57" s="1603">
        <f t="shared" ca="1" si="31"/>
        <v>0</v>
      </c>
      <c r="E57" s="1603">
        <f t="shared" ca="1" si="7"/>
        <v>-3</v>
      </c>
      <c r="F57" s="1603">
        <f t="shared" ca="1" si="8"/>
        <v>4</v>
      </c>
      <c r="G57" s="1603">
        <f t="shared" ca="1" si="32"/>
        <v>0</v>
      </c>
      <c r="H57" s="1603" t="str">
        <f t="shared" ca="1" si="35"/>
        <v>-</v>
      </c>
      <c r="I57" s="1603" t="str">
        <f t="shared" ca="1" si="34"/>
        <v>Nul</v>
      </c>
      <c r="J57" s="1603" t="str">
        <f t="shared" ca="1" si="5"/>
        <v>Nord</v>
      </c>
      <c r="K57" s="1604">
        <f t="shared" ca="1" si="23"/>
        <v>7</v>
      </c>
      <c r="L57" s="1604">
        <f t="shared" ca="1" si="23"/>
        <v>6</v>
      </c>
      <c r="M57" s="1604">
        <f t="shared" ca="1" si="23"/>
        <v>1</v>
      </c>
      <c r="N57" s="1604">
        <f t="shared" ca="1" si="23"/>
        <v>5</v>
      </c>
      <c r="O57" s="1604">
        <f t="shared" ca="1" si="23"/>
        <v>9</v>
      </c>
      <c r="P57" s="1604">
        <f t="shared" ca="1" si="11"/>
        <v>88</v>
      </c>
      <c r="Q57" s="1604">
        <f t="shared" ca="1" si="12"/>
        <v>3</v>
      </c>
      <c r="R57" s="1604">
        <f t="shared" ca="1" si="12"/>
        <v>4</v>
      </c>
      <c r="S57" s="1605" t="str">
        <f t="shared" ca="1" si="20"/>
        <v>m -3/M 4</v>
      </c>
      <c r="T57" s="1606" t="str">
        <f t="shared" ca="1" si="21"/>
        <v>m -3/M 3</v>
      </c>
    </row>
    <row r="58" spans="1:20" ht="16.05" customHeight="1">
      <c r="A58" s="1602" t="s">
        <v>7094</v>
      </c>
      <c r="B58" s="1603" t="str">
        <f t="shared" ca="1" si="30"/>
        <v>Nuageux</v>
      </c>
      <c r="C58" s="1603">
        <f t="shared" ca="1" si="1"/>
        <v>-2</v>
      </c>
      <c r="D58" s="1603">
        <f t="shared" ca="1" si="31"/>
        <v>0</v>
      </c>
      <c r="E58" s="1603">
        <f t="shared" ca="1" si="7"/>
        <v>-3</v>
      </c>
      <c r="F58" s="1603">
        <f t="shared" ca="1" si="8"/>
        <v>3</v>
      </c>
      <c r="G58" s="1603">
        <f t="shared" ca="1" si="32"/>
        <v>20</v>
      </c>
      <c r="H58" s="1603" t="str">
        <f t="shared" ca="1" si="35"/>
        <v>Normales</v>
      </c>
      <c r="I58" s="1603" t="str">
        <f t="shared" ca="1" si="34"/>
        <v>Modéré</v>
      </c>
      <c r="J58" s="1603" t="str">
        <f t="shared" ca="1" si="5"/>
        <v>Nord-ouest</v>
      </c>
      <c r="K58" s="1604">
        <f t="shared" ca="1" si="23"/>
        <v>9</v>
      </c>
      <c r="L58" s="1604">
        <f t="shared" ca="1" si="23"/>
        <v>8</v>
      </c>
      <c r="M58" s="1604">
        <f t="shared" ca="1" si="23"/>
        <v>5</v>
      </c>
      <c r="N58" s="1604">
        <f t="shared" ca="1" si="23"/>
        <v>10</v>
      </c>
      <c r="O58" s="1604">
        <f t="shared" ca="1" si="23"/>
        <v>5</v>
      </c>
      <c r="P58" s="1604">
        <f t="shared" ca="1" si="11"/>
        <v>15</v>
      </c>
      <c r="Q58" s="1604">
        <f t="shared" ca="1" si="12"/>
        <v>3</v>
      </c>
      <c r="R58" s="1604">
        <f t="shared" ca="1" si="12"/>
        <v>3</v>
      </c>
      <c r="S58" s="1605" t="str">
        <f t="shared" ca="1" si="20"/>
        <v>m -8/M -2</v>
      </c>
      <c r="T58" s="1606" t="str">
        <f t="shared" ca="1" si="21"/>
        <v>m -13/M -7</v>
      </c>
    </row>
    <row r="59" spans="1:20" ht="16.05" customHeight="1">
      <c r="A59" s="1602" t="s">
        <v>7095</v>
      </c>
      <c r="B59" s="1603" t="str">
        <f t="shared" ca="1" si="30"/>
        <v>Nuageux</v>
      </c>
      <c r="C59" s="1603">
        <f t="shared" ca="1" si="1"/>
        <v>-2</v>
      </c>
      <c r="D59" s="1603">
        <f t="shared" ca="1" si="31"/>
        <v>-15</v>
      </c>
      <c r="E59" s="1603">
        <f t="shared" ca="1" si="7"/>
        <v>-18</v>
      </c>
      <c r="F59" s="1603">
        <f t="shared" ca="1" si="8"/>
        <v>-12</v>
      </c>
      <c r="G59" s="1603">
        <f t="shared" ca="1" si="32"/>
        <v>50</v>
      </c>
      <c r="H59" s="1603" t="str">
        <f t="shared" ca="1" si="35"/>
        <v>Très fortes</v>
      </c>
      <c r="I59" s="1603" t="str">
        <f t="shared" ca="1" si="34"/>
        <v>Fort</v>
      </c>
      <c r="J59" s="1603" t="str">
        <f t="shared" ca="1" si="5"/>
        <v>Sud-ouest</v>
      </c>
      <c r="K59" s="1604">
        <f t="shared" ca="1" si="23"/>
        <v>9</v>
      </c>
      <c r="L59" s="1604">
        <f t="shared" ca="1" si="23"/>
        <v>1</v>
      </c>
      <c r="M59" s="1604">
        <f t="shared" ca="1" si="23"/>
        <v>9</v>
      </c>
      <c r="N59" s="1604">
        <f t="shared" ca="1" si="23"/>
        <v>4</v>
      </c>
      <c r="O59" s="1604">
        <f t="shared" ca="1" si="23"/>
        <v>1</v>
      </c>
      <c r="P59" s="1604">
        <f t="shared" ca="1" si="11"/>
        <v>14</v>
      </c>
      <c r="Q59" s="1604">
        <f t="shared" ca="1" si="12"/>
        <v>3</v>
      </c>
      <c r="R59" s="1604">
        <f t="shared" ca="1" si="12"/>
        <v>3</v>
      </c>
      <c r="S59" s="1605" t="str">
        <f t="shared" ca="1" si="20"/>
        <v>m -10/M -3</v>
      </c>
      <c r="T59" s="1606" t="str">
        <f t="shared" ca="1" si="21"/>
        <v>m -1/M 6</v>
      </c>
    </row>
    <row r="60" spans="1:20" ht="16.05" customHeight="1" thickBot="1">
      <c r="A60" s="1602" t="s">
        <v>7096</v>
      </c>
      <c r="B60" s="1603" t="str">
        <f t="shared" ca="1" si="30"/>
        <v>Flocons</v>
      </c>
      <c r="C60" s="1603">
        <f t="shared" ca="1" si="1"/>
        <v>0</v>
      </c>
      <c r="D60" s="1603">
        <f t="shared" ca="1" si="31"/>
        <v>10</v>
      </c>
      <c r="E60" s="1603">
        <f t="shared" ca="1" si="7"/>
        <v>7</v>
      </c>
      <c r="F60" s="1603">
        <f t="shared" ca="1" si="8"/>
        <v>15</v>
      </c>
      <c r="G60" s="1603">
        <f t="shared" ca="1" si="32"/>
        <v>10</v>
      </c>
      <c r="H60" s="1603" t="str">
        <f t="shared" ca="1" si="35"/>
        <v>Bruine</v>
      </c>
      <c r="I60" s="1603" t="str">
        <f t="shared" ca="1" si="34"/>
        <v>Brise</v>
      </c>
      <c r="J60" s="1603" t="str">
        <f t="shared" ca="1" si="5"/>
        <v>Nord</v>
      </c>
      <c r="K60" s="1604">
        <f t="shared" ca="1" si="23"/>
        <v>2</v>
      </c>
      <c r="L60" s="1604">
        <f t="shared" ca="1" si="23"/>
        <v>10</v>
      </c>
      <c r="M60" s="1604">
        <f t="shared" ca="1" si="23"/>
        <v>4</v>
      </c>
      <c r="N60" s="1604">
        <f t="shared" ca="1" si="23"/>
        <v>7</v>
      </c>
      <c r="O60" s="1604">
        <f t="shared" ca="1" si="23"/>
        <v>9</v>
      </c>
      <c r="P60" s="1604">
        <f t="shared" ca="1" si="11"/>
        <v>18</v>
      </c>
      <c r="Q60" s="1604">
        <f t="shared" ca="1" si="12"/>
        <v>3</v>
      </c>
      <c r="R60" s="1604">
        <f t="shared" ca="1" si="12"/>
        <v>5</v>
      </c>
      <c r="S60" s="1607"/>
      <c r="T60" s="1608"/>
    </row>
  </sheetData>
  <pageMargins left="0.70866141732283472" right="0.70866141732283472" top="0.74803149606299213" bottom="0.74803149606299213" header="0.31496062992125984" footer="0.31496062992125984"/>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6"/>
  <sheetViews>
    <sheetView topLeftCell="A44" workbookViewId="0">
      <selection activeCell="E49" sqref="E49"/>
    </sheetView>
  </sheetViews>
  <sheetFormatPr baseColWidth="10" defaultColWidth="9.109375" defaultRowHeight="15.75" customHeight="1"/>
  <cols>
    <col min="1" max="1" width="5" style="3" bestFit="1" customWidth="1"/>
    <col min="2" max="2" width="10.6640625" style="2" bestFit="1" customWidth="1"/>
    <col min="3" max="3" width="12.5546875" style="1" hidden="1" customWidth="1"/>
    <col min="4" max="4" width="12.33203125" style="1" customWidth="1"/>
    <col min="5" max="5" width="7.33203125" style="1" customWidth="1"/>
    <col min="6" max="6" width="18.44140625" style="1" customWidth="1"/>
    <col min="7" max="7" width="9.6640625" style="1" customWidth="1"/>
    <col min="8" max="8" width="11.44140625" style="1" customWidth="1"/>
    <col min="9" max="10" width="9.109375" style="1" customWidth="1"/>
    <col min="11" max="11" width="17.109375" style="1" customWidth="1"/>
    <col min="12" max="12" width="20.6640625" style="1" customWidth="1"/>
    <col min="13" max="16384" width="9.109375" style="1"/>
  </cols>
  <sheetData>
    <row r="1" spans="1:15" ht="15.75" hidden="1" customHeight="1" thickBot="1"/>
    <row r="2" spans="1:15" ht="15.75" hidden="1" customHeight="1" thickBot="1">
      <c r="A2" s="3" t="s">
        <v>180</v>
      </c>
      <c r="B2" s="30" t="s">
        <v>165</v>
      </c>
      <c r="C2" s="28" t="s">
        <v>153</v>
      </c>
      <c r="D2" s="28" t="s">
        <v>142</v>
      </c>
      <c r="E2" s="29" t="s">
        <v>136</v>
      </c>
      <c r="F2" s="28" t="s">
        <v>129</v>
      </c>
      <c r="G2" s="27" t="s">
        <v>776</v>
      </c>
      <c r="H2" s="27" t="s">
        <v>178</v>
      </c>
      <c r="I2" s="9" t="s">
        <v>179</v>
      </c>
      <c r="J2" s="27" t="s">
        <v>178</v>
      </c>
      <c r="K2" s="27" t="s">
        <v>1</v>
      </c>
      <c r="L2" s="27" t="s">
        <v>748</v>
      </c>
      <c r="M2" s="27" t="s">
        <v>674</v>
      </c>
      <c r="N2" s="27" t="s">
        <v>775</v>
      </c>
      <c r="O2" s="27" t="s">
        <v>774</v>
      </c>
    </row>
    <row r="3" spans="1:15" ht="15.75" hidden="1" customHeight="1">
      <c r="A3" s="3">
        <v>1</v>
      </c>
      <c r="B3" s="26" t="s">
        <v>158</v>
      </c>
      <c r="C3" s="24" t="s">
        <v>177</v>
      </c>
      <c r="D3" s="24" t="s">
        <v>176</v>
      </c>
      <c r="E3" s="25" t="s">
        <v>175</v>
      </c>
      <c r="F3" s="24" t="s">
        <v>174</v>
      </c>
      <c r="G3" s="31">
        <v>1</v>
      </c>
      <c r="H3" s="1">
        <v>1</v>
      </c>
      <c r="I3" s="22" t="s">
        <v>648</v>
      </c>
      <c r="J3" s="1">
        <v>1</v>
      </c>
      <c r="K3" s="1" t="s">
        <v>129</v>
      </c>
      <c r="L3" s="1" t="s">
        <v>773</v>
      </c>
      <c r="M3" s="1" t="s">
        <v>772</v>
      </c>
      <c r="N3" s="1" t="s">
        <v>771</v>
      </c>
      <c r="O3" s="42" t="s">
        <v>147</v>
      </c>
    </row>
    <row r="4" spans="1:15" ht="15.75" hidden="1" customHeight="1">
      <c r="A4" s="3">
        <v>5</v>
      </c>
      <c r="B4" s="15" t="s">
        <v>172</v>
      </c>
      <c r="C4" s="13" t="s">
        <v>157</v>
      </c>
      <c r="D4" s="13" t="s">
        <v>171</v>
      </c>
      <c r="E4" s="14" t="s">
        <v>170</v>
      </c>
      <c r="F4" s="13" t="s">
        <v>169</v>
      </c>
      <c r="G4" s="31">
        <v>5</v>
      </c>
      <c r="H4" s="1">
        <v>2</v>
      </c>
      <c r="I4" s="21" t="s">
        <v>173</v>
      </c>
      <c r="J4" s="1">
        <v>4</v>
      </c>
      <c r="K4" s="1" t="s">
        <v>129</v>
      </c>
      <c r="L4" s="1" t="s">
        <v>770</v>
      </c>
      <c r="M4" s="1" t="s">
        <v>769</v>
      </c>
      <c r="N4" s="1" t="s">
        <v>763</v>
      </c>
      <c r="O4" s="42" t="s">
        <v>147</v>
      </c>
    </row>
    <row r="5" spans="1:15" ht="15.75" hidden="1" customHeight="1">
      <c r="A5" s="3">
        <v>9</v>
      </c>
      <c r="B5" s="23" t="s">
        <v>168</v>
      </c>
      <c r="C5" s="9" t="s">
        <v>139</v>
      </c>
      <c r="D5" s="9" t="s">
        <v>8</v>
      </c>
      <c r="E5" s="16" t="s">
        <v>28</v>
      </c>
      <c r="F5" s="9" t="s">
        <v>167</v>
      </c>
      <c r="G5" s="31">
        <v>15</v>
      </c>
      <c r="H5" s="1">
        <v>3</v>
      </c>
      <c r="I5" s="22" t="s">
        <v>166</v>
      </c>
      <c r="J5" s="1">
        <v>7</v>
      </c>
      <c r="K5" s="1" t="s">
        <v>129</v>
      </c>
      <c r="L5" s="1" t="s">
        <v>768</v>
      </c>
      <c r="M5" s="1" t="s">
        <v>767</v>
      </c>
      <c r="N5" s="1" t="s">
        <v>763</v>
      </c>
      <c r="O5" s="42" t="s">
        <v>147</v>
      </c>
    </row>
    <row r="6" spans="1:15" ht="15.75" hidden="1" customHeight="1">
      <c r="A6" s="3">
        <v>13</v>
      </c>
      <c r="B6" s="15" t="s">
        <v>45</v>
      </c>
      <c r="C6" s="13" t="s">
        <v>164</v>
      </c>
      <c r="D6" s="13" t="s">
        <v>65</v>
      </c>
      <c r="E6" s="14" t="s">
        <v>163</v>
      </c>
      <c r="F6" s="13" t="s">
        <v>162</v>
      </c>
      <c r="G6" s="31">
        <v>85</v>
      </c>
      <c r="H6" s="1">
        <v>4</v>
      </c>
      <c r="I6" s="21" t="s">
        <v>147</v>
      </c>
      <c r="J6" s="1">
        <v>9</v>
      </c>
      <c r="K6" s="1" t="s">
        <v>129</v>
      </c>
      <c r="L6" s="1" t="s">
        <v>766</v>
      </c>
      <c r="M6" s="1" t="s">
        <v>765</v>
      </c>
      <c r="N6" s="1" t="s">
        <v>763</v>
      </c>
      <c r="O6" s="42" t="s">
        <v>147</v>
      </c>
    </row>
    <row r="7" spans="1:15" ht="15.75" hidden="1" customHeight="1">
      <c r="A7" s="3">
        <v>17</v>
      </c>
      <c r="B7" s="17" t="s">
        <v>161</v>
      </c>
      <c r="C7" s="9" t="s">
        <v>160</v>
      </c>
      <c r="D7" s="9" t="s">
        <v>159</v>
      </c>
      <c r="E7" s="16" t="s">
        <v>158</v>
      </c>
      <c r="F7" s="9" t="s">
        <v>87</v>
      </c>
      <c r="G7" s="31">
        <v>95</v>
      </c>
      <c r="H7" s="1">
        <v>5</v>
      </c>
      <c r="I7" s="22" t="s">
        <v>137</v>
      </c>
      <c r="J7" s="1">
        <v>10</v>
      </c>
      <c r="K7" s="1" t="s">
        <v>129</v>
      </c>
      <c r="L7" s="1" t="s">
        <v>764</v>
      </c>
      <c r="M7" s="1" t="s">
        <v>563</v>
      </c>
      <c r="N7" s="1" t="s">
        <v>763</v>
      </c>
      <c r="O7" s="42" t="s">
        <v>147</v>
      </c>
    </row>
    <row r="8" spans="1:15" ht="15.75" hidden="1" customHeight="1">
      <c r="A8" s="3">
        <v>21</v>
      </c>
      <c r="B8" s="15" t="s">
        <v>157</v>
      </c>
      <c r="C8" s="13" t="s">
        <v>156</v>
      </c>
      <c r="D8" s="13" t="s">
        <v>155</v>
      </c>
      <c r="E8" s="14" t="s">
        <v>101</v>
      </c>
      <c r="F8" s="13" t="s">
        <v>154</v>
      </c>
      <c r="G8" s="31">
        <v>99</v>
      </c>
      <c r="H8" s="1">
        <v>6</v>
      </c>
      <c r="I8" s="21" t="s">
        <v>130</v>
      </c>
      <c r="K8" s="1" t="s">
        <v>129</v>
      </c>
      <c r="L8" s="1" t="s">
        <v>762</v>
      </c>
      <c r="M8" s="1" t="s">
        <v>761</v>
      </c>
      <c r="N8" s="1" t="s">
        <v>246</v>
      </c>
      <c r="O8" s="42" t="s">
        <v>147</v>
      </c>
    </row>
    <row r="9" spans="1:15" ht="15.75" hidden="1" customHeight="1">
      <c r="A9" s="3">
        <v>25</v>
      </c>
      <c r="B9" s="17" t="s">
        <v>152</v>
      </c>
      <c r="C9" s="9" t="s">
        <v>151</v>
      </c>
      <c r="D9" s="9" t="s">
        <v>150</v>
      </c>
      <c r="E9" s="16" t="s">
        <v>149</v>
      </c>
      <c r="F9" s="9" t="s">
        <v>148</v>
      </c>
      <c r="G9" s="31">
        <v>100</v>
      </c>
      <c r="H9" s="1">
        <v>7</v>
      </c>
      <c r="I9" s="22" t="s">
        <v>571</v>
      </c>
      <c r="K9" s="1" t="s">
        <v>129</v>
      </c>
      <c r="L9" s="1" t="s">
        <v>760</v>
      </c>
      <c r="M9" s="1" t="s">
        <v>759</v>
      </c>
      <c r="N9" s="1" t="s">
        <v>246</v>
      </c>
      <c r="O9" s="42" t="s">
        <v>137</v>
      </c>
    </row>
    <row r="10" spans="1:15" ht="15.75" hidden="1" customHeight="1">
      <c r="A10" s="3">
        <v>29</v>
      </c>
      <c r="B10" s="15" t="s">
        <v>146</v>
      </c>
      <c r="C10" s="13" t="s">
        <v>145</v>
      </c>
      <c r="D10" s="13" t="s">
        <v>144</v>
      </c>
      <c r="E10" s="14" t="s">
        <v>143</v>
      </c>
      <c r="F10" s="13" t="s">
        <v>105</v>
      </c>
      <c r="G10" s="152"/>
      <c r="H10" s="1">
        <v>8</v>
      </c>
      <c r="I10" s="21"/>
      <c r="K10" s="1" t="s">
        <v>129</v>
      </c>
      <c r="L10" s="1" t="s">
        <v>758</v>
      </c>
      <c r="M10" s="1" t="s">
        <v>757</v>
      </c>
      <c r="N10" s="1" t="s">
        <v>246</v>
      </c>
      <c r="O10" s="42" t="s">
        <v>137</v>
      </c>
    </row>
    <row r="11" spans="1:15" ht="15.75" hidden="1" customHeight="1">
      <c r="A11" s="3">
        <v>33</v>
      </c>
      <c r="B11" s="17" t="s">
        <v>141</v>
      </c>
      <c r="C11" s="9" t="s">
        <v>48</v>
      </c>
      <c r="D11" s="9" t="s">
        <v>140</v>
      </c>
      <c r="E11" s="16" t="s">
        <v>139</v>
      </c>
      <c r="F11" s="9" t="s">
        <v>138</v>
      </c>
      <c r="G11" s="152"/>
      <c r="H11" s="1">
        <v>9</v>
      </c>
      <c r="I11" s="22"/>
      <c r="K11" s="1" t="s">
        <v>129</v>
      </c>
      <c r="L11" s="1" t="s">
        <v>756</v>
      </c>
      <c r="M11" s="1" t="s">
        <v>755</v>
      </c>
      <c r="N11" s="1" t="s">
        <v>753</v>
      </c>
      <c r="O11" s="42" t="s">
        <v>166</v>
      </c>
    </row>
    <row r="12" spans="1:15" ht="15.75" hidden="1" customHeight="1" thickBot="1">
      <c r="A12" s="3">
        <v>37</v>
      </c>
      <c r="B12" s="20" t="s">
        <v>135</v>
      </c>
      <c r="C12" s="18" t="s">
        <v>134</v>
      </c>
      <c r="D12" s="18" t="s">
        <v>133</v>
      </c>
      <c r="E12" s="19" t="s">
        <v>132</v>
      </c>
      <c r="F12" s="18" t="s">
        <v>131</v>
      </c>
      <c r="G12" s="152"/>
      <c r="H12" s="1">
        <v>10</v>
      </c>
      <c r="I12" s="21"/>
      <c r="K12" s="1" t="s">
        <v>129</v>
      </c>
      <c r="L12" s="1" t="s">
        <v>56</v>
      </c>
      <c r="M12" s="1" t="s">
        <v>754</v>
      </c>
      <c r="N12" s="1" t="s">
        <v>753</v>
      </c>
      <c r="O12" s="42" t="s">
        <v>166</v>
      </c>
    </row>
    <row r="13" spans="1:15" ht="15.75" hidden="1" customHeight="1">
      <c r="A13" s="3">
        <v>41</v>
      </c>
      <c r="B13" s="17" t="s">
        <v>128</v>
      </c>
      <c r="C13" s="9" t="s">
        <v>127</v>
      </c>
      <c r="D13" s="9" t="s">
        <v>126</v>
      </c>
      <c r="E13" s="16" t="s">
        <v>125</v>
      </c>
      <c r="F13" s="9" t="s">
        <v>124</v>
      </c>
      <c r="O13" s="42" t="s">
        <v>147</v>
      </c>
    </row>
    <row r="14" spans="1:15" ht="15.75" hidden="1" customHeight="1">
      <c r="A14" s="3">
        <v>44</v>
      </c>
      <c r="B14" s="15" t="s">
        <v>34</v>
      </c>
      <c r="C14" s="13" t="s">
        <v>42</v>
      </c>
      <c r="D14" s="13" t="s">
        <v>123</v>
      </c>
      <c r="E14" s="14" t="s">
        <v>122</v>
      </c>
      <c r="F14" s="13" t="s">
        <v>121</v>
      </c>
      <c r="O14" s="42" t="s">
        <v>147</v>
      </c>
    </row>
    <row r="15" spans="1:15" ht="15.75" hidden="1" customHeight="1">
      <c r="A15" s="3">
        <v>47</v>
      </c>
      <c r="B15" s="17" t="s">
        <v>120</v>
      </c>
      <c r="C15" s="9" t="s">
        <v>117</v>
      </c>
      <c r="D15" s="9" t="s">
        <v>119</v>
      </c>
      <c r="E15" s="16" t="s">
        <v>118</v>
      </c>
      <c r="F15" s="9" t="s">
        <v>117</v>
      </c>
      <c r="O15" s="42" t="s">
        <v>147</v>
      </c>
    </row>
    <row r="16" spans="1:15" ht="15.75" hidden="1" customHeight="1">
      <c r="A16" s="3">
        <v>50</v>
      </c>
      <c r="B16" s="15" t="s">
        <v>116</v>
      </c>
      <c r="C16" s="13" t="s">
        <v>115</v>
      </c>
      <c r="D16" s="13" t="s">
        <v>68</v>
      </c>
      <c r="E16" s="14" t="s">
        <v>94</v>
      </c>
      <c r="F16" s="13" t="s">
        <v>70</v>
      </c>
      <c r="O16" s="42" t="s">
        <v>147</v>
      </c>
    </row>
    <row r="17" spans="1:15" ht="15.75" hidden="1" customHeight="1">
      <c r="A17" s="3">
        <v>53</v>
      </c>
      <c r="B17" s="17" t="s">
        <v>114</v>
      </c>
      <c r="C17" s="9" t="s">
        <v>113</v>
      </c>
      <c r="D17" s="9" t="s">
        <v>112</v>
      </c>
      <c r="E17" s="16" t="s">
        <v>111</v>
      </c>
      <c r="F17" s="9" t="s">
        <v>110</v>
      </c>
      <c r="O17" s="42" t="s">
        <v>147</v>
      </c>
    </row>
    <row r="18" spans="1:15" ht="15.75" hidden="1" customHeight="1">
      <c r="A18" s="3">
        <v>56</v>
      </c>
      <c r="B18" s="15" t="s">
        <v>8</v>
      </c>
      <c r="C18" s="13" t="s">
        <v>109</v>
      </c>
      <c r="D18" s="13" t="s">
        <v>108</v>
      </c>
      <c r="E18" s="14" t="s">
        <v>107</v>
      </c>
      <c r="F18" s="13" t="s">
        <v>106</v>
      </c>
      <c r="O18" s="42" t="s">
        <v>147</v>
      </c>
    </row>
    <row r="19" spans="1:15" ht="15.75" hidden="1" customHeight="1">
      <c r="A19" s="3">
        <v>59</v>
      </c>
      <c r="B19" s="17" t="s">
        <v>105</v>
      </c>
      <c r="C19" s="9" t="s">
        <v>104</v>
      </c>
      <c r="D19" s="9" t="s">
        <v>103</v>
      </c>
      <c r="E19" s="16" t="s">
        <v>102</v>
      </c>
      <c r="F19" s="9" t="s">
        <v>101</v>
      </c>
      <c r="O19" s="42" t="s">
        <v>147</v>
      </c>
    </row>
    <row r="20" spans="1:15" ht="15.75" hidden="1" customHeight="1">
      <c r="A20" s="3">
        <v>62</v>
      </c>
      <c r="B20" s="15" t="s">
        <v>100</v>
      </c>
      <c r="C20" s="13" t="s">
        <v>99</v>
      </c>
      <c r="D20" s="13" t="s">
        <v>98</v>
      </c>
      <c r="E20" s="14" t="s">
        <v>97</v>
      </c>
      <c r="F20" s="13" t="s">
        <v>96</v>
      </c>
      <c r="O20" s="42" t="s">
        <v>147</v>
      </c>
    </row>
    <row r="21" spans="1:15" ht="15.75" hidden="1" customHeight="1">
      <c r="A21" s="3">
        <v>65</v>
      </c>
      <c r="B21" s="17" t="s">
        <v>95</v>
      </c>
      <c r="C21" s="9" t="s">
        <v>94</v>
      </c>
      <c r="D21" s="9" t="s">
        <v>93</v>
      </c>
      <c r="E21" s="16" t="s">
        <v>92</v>
      </c>
      <c r="F21" s="9" t="s">
        <v>91</v>
      </c>
      <c r="O21" s="42" t="s">
        <v>147</v>
      </c>
    </row>
    <row r="22" spans="1:15" ht="15.75" hidden="1" customHeight="1" thickBot="1">
      <c r="A22" s="3">
        <v>68</v>
      </c>
      <c r="B22" s="20" t="s">
        <v>90</v>
      </c>
      <c r="C22" s="18" t="s">
        <v>89</v>
      </c>
      <c r="D22" s="18" t="s">
        <v>88</v>
      </c>
      <c r="E22" s="19" t="s">
        <v>87</v>
      </c>
      <c r="F22" s="18" t="s">
        <v>86</v>
      </c>
      <c r="O22" s="42" t="s">
        <v>147</v>
      </c>
    </row>
    <row r="23" spans="1:15" ht="15.75" hidden="1" customHeight="1">
      <c r="A23" s="3">
        <v>71</v>
      </c>
      <c r="B23" s="17" t="s">
        <v>85</v>
      </c>
      <c r="C23" s="9" t="s">
        <v>84</v>
      </c>
      <c r="D23" s="9" t="s">
        <v>83</v>
      </c>
      <c r="E23" s="16" t="s">
        <v>68</v>
      </c>
      <c r="F23" s="9" t="s">
        <v>82</v>
      </c>
      <c r="O23" s="42" t="s">
        <v>166</v>
      </c>
    </row>
    <row r="24" spans="1:15" ht="15.75" hidden="1" customHeight="1">
      <c r="A24" s="3">
        <v>73</v>
      </c>
      <c r="B24" s="15" t="s">
        <v>81</v>
      </c>
      <c r="C24" s="13" t="s">
        <v>16</v>
      </c>
      <c r="D24" s="13" t="s">
        <v>80</v>
      </c>
      <c r="E24" s="14" t="s">
        <v>79</v>
      </c>
      <c r="F24" s="13" t="s">
        <v>78</v>
      </c>
      <c r="O24" s="42" t="s">
        <v>137</v>
      </c>
    </row>
    <row r="25" spans="1:15" ht="15.75" hidden="1" customHeight="1">
      <c r="A25" s="3">
        <v>75</v>
      </c>
      <c r="B25" s="17" t="s">
        <v>77</v>
      </c>
      <c r="C25" s="9" t="s">
        <v>76</v>
      </c>
      <c r="D25" s="9" t="s">
        <v>75</v>
      </c>
      <c r="E25" s="16" t="s">
        <v>67</v>
      </c>
      <c r="F25" s="9" t="s">
        <v>74</v>
      </c>
      <c r="O25" s="42" t="s">
        <v>752</v>
      </c>
    </row>
    <row r="26" spans="1:15" ht="15.75" hidden="1" customHeight="1">
      <c r="A26" s="3">
        <v>77</v>
      </c>
      <c r="B26" s="15" t="s">
        <v>73</v>
      </c>
      <c r="C26" s="13" t="s">
        <v>72</v>
      </c>
      <c r="D26" s="13" t="s">
        <v>71</v>
      </c>
      <c r="E26" s="14" t="s">
        <v>70</v>
      </c>
      <c r="F26" s="13" t="s">
        <v>69</v>
      </c>
      <c r="O26" s="42" t="s">
        <v>752</v>
      </c>
    </row>
    <row r="27" spans="1:15" ht="15.75" hidden="1" customHeight="1">
      <c r="A27" s="3">
        <v>79</v>
      </c>
      <c r="B27" s="17" t="s">
        <v>68</v>
      </c>
      <c r="C27" s="9" t="s">
        <v>67</v>
      </c>
      <c r="D27" s="9" t="s">
        <v>35</v>
      </c>
      <c r="E27" s="16" t="s">
        <v>35</v>
      </c>
      <c r="F27" s="9" t="s">
        <v>66</v>
      </c>
      <c r="O27" s="42" t="s">
        <v>130</v>
      </c>
    </row>
    <row r="28" spans="1:15" ht="15.75" hidden="1" customHeight="1">
      <c r="A28" s="3">
        <v>81</v>
      </c>
      <c r="B28" s="15" t="s">
        <v>65</v>
      </c>
      <c r="C28" s="13" t="s">
        <v>64</v>
      </c>
      <c r="D28" s="13" t="s">
        <v>63</v>
      </c>
      <c r="E28" s="14" t="s">
        <v>62</v>
      </c>
      <c r="F28" s="13" t="s">
        <v>61</v>
      </c>
      <c r="O28" s="42" t="s">
        <v>130</v>
      </c>
    </row>
    <row r="29" spans="1:15" ht="15.75" hidden="1" customHeight="1">
      <c r="A29" s="3">
        <v>83</v>
      </c>
      <c r="B29" s="17" t="s">
        <v>60</v>
      </c>
      <c r="C29" s="9" t="s">
        <v>59</v>
      </c>
      <c r="D29" s="9" t="s">
        <v>58</v>
      </c>
      <c r="E29" s="16" t="s">
        <v>57</v>
      </c>
      <c r="F29" s="9" t="s">
        <v>56</v>
      </c>
      <c r="O29" s="42" t="s">
        <v>147</v>
      </c>
    </row>
    <row r="30" spans="1:15" ht="15.75" hidden="1" customHeight="1">
      <c r="A30" s="3">
        <v>85</v>
      </c>
      <c r="B30" s="15" t="s">
        <v>55</v>
      </c>
      <c r="C30" s="13" t="s">
        <v>54</v>
      </c>
      <c r="D30" s="13" t="s">
        <v>53</v>
      </c>
      <c r="E30" s="14" t="s">
        <v>52</v>
      </c>
      <c r="F30" s="13" t="s">
        <v>51</v>
      </c>
      <c r="O30" s="42" t="s">
        <v>147</v>
      </c>
    </row>
    <row r="31" spans="1:15" ht="15.75" hidden="1" customHeight="1">
      <c r="A31" s="3">
        <v>87</v>
      </c>
      <c r="B31" s="17" t="s">
        <v>50</v>
      </c>
      <c r="C31" s="9" t="s">
        <v>49</v>
      </c>
      <c r="D31" s="9" t="s">
        <v>48</v>
      </c>
      <c r="E31" s="16" t="s">
        <v>47</v>
      </c>
      <c r="F31" s="9" t="s">
        <v>46</v>
      </c>
      <c r="O31" s="42" t="s">
        <v>147</v>
      </c>
    </row>
    <row r="32" spans="1:15" ht="15.75" hidden="1" customHeight="1" thickBot="1">
      <c r="A32" s="3">
        <v>89</v>
      </c>
      <c r="B32" s="20" t="s">
        <v>45</v>
      </c>
      <c r="C32" s="18" t="s">
        <v>44</v>
      </c>
      <c r="D32" s="18" t="s">
        <v>43</v>
      </c>
      <c r="E32" s="19" t="s">
        <v>42</v>
      </c>
      <c r="F32" s="18" t="s">
        <v>34</v>
      </c>
      <c r="O32" s="42" t="s">
        <v>147</v>
      </c>
    </row>
    <row r="33" spans="1:15" ht="15.75" hidden="1" customHeight="1">
      <c r="A33" s="3">
        <v>91</v>
      </c>
      <c r="B33" s="17" t="s">
        <v>41</v>
      </c>
      <c r="C33" s="9" t="s">
        <v>40</v>
      </c>
      <c r="D33" s="9" t="s">
        <v>22</v>
      </c>
      <c r="E33" s="16" t="s">
        <v>39</v>
      </c>
      <c r="F33" s="9" t="s">
        <v>38</v>
      </c>
      <c r="O33" s="42" t="s">
        <v>648</v>
      </c>
    </row>
    <row r="34" spans="1:15" ht="15.75" hidden="1" customHeight="1">
      <c r="A34" s="3">
        <v>92</v>
      </c>
      <c r="B34" s="15" t="s">
        <v>38</v>
      </c>
      <c r="C34" s="13" t="s">
        <v>37</v>
      </c>
      <c r="D34" s="13" t="s">
        <v>36</v>
      </c>
      <c r="E34" s="14" t="s">
        <v>35</v>
      </c>
      <c r="F34" s="13" t="s">
        <v>34</v>
      </c>
      <c r="O34" s="42" t="s">
        <v>571</v>
      </c>
    </row>
    <row r="35" spans="1:15" ht="15.75" hidden="1" customHeight="1">
      <c r="A35" s="3">
        <v>93</v>
      </c>
      <c r="B35" s="17" t="s">
        <v>33</v>
      </c>
      <c r="C35" s="9" t="s">
        <v>32</v>
      </c>
      <c r="D35" s="9" t="s">
        <v>31</v>
      </c>
      <c r="E35" s="16" t="s">
        <v>30</v>
      </c>
      <c r="F35" s="9" t="s">
        <v>27</v>
      </c>
      <c r="O35" s="42" t="s">
        <v>147</v>
      </c>
    </row>
    <row r="36" spans="1:15" ht="15.75" hidden="1" customHeight="1">
      <c r="A36" s="3">
        <v>94</v>
      </c>
      <c r="B36" s="15" t="s">
        <v>10</v>
      </c>
      <c r="C36" s="13" t="s">
        <v>29</v>
      </c>
      <c r="D36" s="13" t="s">
        <v>28</v>
      </c>
      <c r="E36" s="14" t="s">
        <v>27</v>
      </c>
      <c r="F36" s="13" t="s">
        <v>26</v>
      </c>
      <c r="O36" s="42" t="s">
        <v>147</v>
      </c>
    </row>
    <row r="37" spans="1:15" ht="15.75" hidden="1" customHeight="1">
      <c r="A37" s="3">
        <v>95</v>
      </c>
      <c r="B37" s="17" t="s">
        <v>25</v>
      </c>
      <c r="C37" s="9" t="s">
        <v>24</v>
      </c>
      <c r="D37" s="9" t="s">
        <v>23</v>
      </c>
      <c r="E37" s="16" t="s">
        <v>22</v>
      </c>
      <c r="F37" s="9" t="s">
        <v>21</v>
      </c>
      <c r="O37" s="42" t="s">
        <v>147</v>
      </c>
    </row>
    <row r="38" spans="1:15" ht="15.75" hidden="1" customHeight="1">
      <c r="A38" s="3">
        <v>96</v>
      </c>
      <c r="B38" s="15" t="s">
        <v>20</v>
      </c>
      <c r="C38" s="13" t="s">
        <v>19</v>
      </c>
      <c r="D38" s="13" t="s">
        <v>18</v>
      </c>
      <c r="E38" s="14" t="s">
        <v>17</v>
      </c>
      <c r="F38" s="13" t="s">
        <v>16</v>
      </c>
      <c r="O38" s="42" t="s">
        <v>147</v>
      </c>
    </row>
    <row r="39" spans="1:15" ht="15.75" hidden="1" customHeight="1">
      <c r="A39" s="3">
        <v>97</v>
      </c>
      <c r="B39" s="17" t="s">
        <v>15</v>
      </c>
      <c r="C39" s="9" t="s">
        <v>14</v>
      </c>
      <c r="D39" s="9" t="s">
        <v>13</v>
      </c>
      <c r="E39" s="16" t="s">
        <v>12</v>
      </c>
      <c r="F39" s="9" t="s">
        <v>11</v>
      </c>
      <c r="O39" s="42" t="s">
        <v>147</v>
      </c>
    </row>
    <row r="40" spans="1:15" ht="15.75" hidden="1" customHeight="1">
      <c r="A40" s="3">
        <v>98</v>
      </c>
      <c r="B40" s="15" t="s">
        <v>10</v>
      </c>
      <c r="C40" s="13" t="s">
        <v>9</v>
      </c>
      <c r="D40" s="6" t="s">
        <v>3</v>
      </c>
      <c r="E40" s="14" t="s">
        <v>8</v>
      </c>
      <c r="F40" s="13" t="s">
        <v>7</v>
      </c>
      <c r="O40" s="42" t="s">
        <v>147</v>
      </c>
    </row>
    <row r="41" spans="1:15" ht="15.75" hidden="1" customHeight="1">
      <c r="A41" s="3">
        <v>99</v>
      </c>
      <c r="B41" s="12" t="s">
        <v>3</v>
      </c>
      <c r="C41" s="11" t="s">
        <v>3</v>
      </c>
      <c r="D41" s="11" t="s">
        <v>4</v>
      </c>
      <c r="E41" s="10" t="s">
        <v>3</v>
      </c>
      <c r="F41" s="9" t="s">
        <v>6</v>
      </c>
      <c r="O41" s="42" t="s">
        <v>147</v>
      </c>
    </row>
    <row r="42" spans="1:15" ht="15.75" hidden="1" customHeight="1">
      <c r="A42" s="3">
        <v>100</v>
      </c>
      <c r="B42" s="8" t="s">
        <v>4</v>
      </c>
      <c r="C42" s="6" t="s">
        <v>4</v>
      </c>
      <c r="D42" s="6" t="s">
        <v>5</v>
      </c>
      <c r="E42" s="7" t="s">
        <v>4</v>
      </c>
      <c r="F42" s="6" t="s">
        <v>3</v>
      </c>
      <c r="O42" s="42" t="s">
        <v>147</v>
      </c>
    </row>
    <row r="43" spans="1:15" ht="15.75" hidden="1" customHeight="1" thickBot="1"/>
    <row r="44" spans="1:15" ht="13.8" thickBot="1">
      <c r="B44" s="151" t="s">
        <v>751</v>
      </c>
      <c r="D44" s="150">
        <v>1000</v>
      </c>
    </row>
    <row r="45" spans="1:15" s="619" customFormat="1" ht="12.6" customHeight="1">
      <c r="A45" s="618" t="s">
        <v>751</v>
      </c>
      <c r="B45" s="618"/>
      <c r="C45" s="619" t="s">
        <v>1</v>
      </c>
      <c r="D45" s="619" t="s">
        <v>750</v>
      </c>
      <c r="F45" s="619" t="s">
        <v>749</v>
      </c>
      <c r="G45" s="619" t="s">
        <v>748</v>
      </c>
      <c r="H45" s="619" t="s">
        <v>674</v>
      </c>
    </row>
    <row r="46" spans="1:15" s="622" customFormat="1" ht="12.6" customHeight="1">
      <c r="A46" s="620">
        <f>D44</f>
        <v>1000</v>
      </c>
      <c r="B46" s="620" t="str">
        <f t="shared" ref="B46:B77" ca="1" si="0">LOOKUP(RANDBETWEEN(1,100),DEvenement,PLMO)</f>
        <v>=</v>
      </c>
      <c r="C46" s="621" t="str">
        <f ca="1">IF(B46&lt;&gt;"=",LOOKUP(_xll.ALEA.ENTRE.BORNES(1,10),$H$3:$H12,Type),"-")</f>
        <v>-</v>
      </c>
      <c r="D46" s="621" t="str">
        <f ca="1">IF(B46&lt;&gt;"=",A46+RANDBETWEEN(1,10), " ")</f>
        <v xml:space="preserve"> </v>
      </c>
      <c r="E46" s="621" t="str">
        <f t="shared" ref="E46:E77" ca="1" si="1">IF(B46&lt;&gt;"=",LOOKUP(RANDBETWEEN(1,10),Dé10,duree)," ")</f>
        <v xml:space="preserve"> </v>
      </c>
      <c r="F46" s="621" t="str">
        <f t="shared" ref="F46:F77" ca="1" si="2">IF(B46&lt;&gt;"=",LOOKUP(RANDBETWEEN(1,100),DEvenement,royaume)," ")</f>
        <v xml:space="preserve"> </v>
      </c>
      <c r="G46" s="621" t="str">
        <f t="shared" ref="G46:G77" ca="1" si="3">IF(B46&lt;&gt;"=",LOOKUP(RANDBETWEEN(1,10),Dé10,etendue)," ")</f>
        <v xml:space="preserve"> </v>
      </c>
      <c r="H46" s="621" t="str">
        <f t="shared" ref="H46:H77" ca="1" si="4">IF(B46&lt;&gt;"=",LOOKUP(RANDBETWEEN(1,10),Dé10,population)," ")</f>
        <v xml:space="preserve"> </v>
      </c>
    </row>
    <row r="47" spans="1:15" s="622" customFormat="1" ht="12.6" customHeight="1">
      <c r="A47" s="620">
        <f t="shared" ref="A47:A78" si="5">A46+10</f>
        <v>1010</v>
      </c>
      <c r="B47" s="620" t="str">
        <f t="shared" ca="1" si="0"/>
        <v>=</v>
      </c>
      <c r="C47" s="621" t="str">
        <f ca="1">IF(B47&lt;&gt;"=",LOOKUP(_xll.ALEA.ENTRE.BORNES(1,10),$G$3:$G13,Type),"-")</f>
        <v>-</v>
      </c>
      <c r="D47" s="621" t="str">
        <f t="shared" ref="D47:D96" ca="1" si="6">IF(B47&lt;&gt;"=",A47+RANDBETWEEN(1,10), " ")</f>
        <v xml:space="preserve"> </v>
      </c>
      <c r="E47" s="621" t="str">
        <f t="shared" ca="1" si="1"/>
        <v xml:space="preserve"> </v>
      </c>
      <c r="F47" s="621" t="str">
        <f t="shared" ca="1" si="2"/>
        <v xml:space="preserve"> </v>
      </c>
      <c r="G47" s="621" t="str">
        <f t="shared" ca="1" si="3"/>
        <v xml:space="preserve"> </v>
      </c>
      <c r="H47" s="621" t="str">
        <f t="shared" ca="1" si="4"/>
        <v xml:space="preserve"> </v>
      </c>
    </row>
    <row r="48" spans="1:15" s="622" customFormat="1" ht="12.6" customHeight="1">
      <c r="A48" s="620">
        <f t="shared" si="5"/>
        <v>1020</v>
      </c>
      <c r="B48" s="620" t="str">
        <f t="shared" ca="1" si="0"/>
        <v>=</v>
      </c>
      <c r="C48" s="621" t="str">
        <f ca="1">IF(B48&lt;&gt;"=",LOOKUP(_xll.ALEA.ENTRE.BORNES(1,10),$G$3:$G14,Type),"-")</f>
        <v>-</v>
      </c>
      <c r="D48" s="621" t="str">
        <f t="shared" ca="1" si="6"/>
        <v xml:space="preserve"> </v>
      </c>
      <c r="E48" s="621" t="str">
        <f t="shared" ca="1" si="1"/>
        <v xml:space="preserve"> </v>
      </c>
      <c r="F48" s="621" t="str">
        <f t="shared" ca="1" si="2"/>
        <v xml:space="preserve"> </v>
      </c>
      <c r="G48" s="621" t="str">
        <f t="shared" ca="1" si="3"/>
        <v xml:space="preserve"> </v>
      </c>
      <c r="H48" s="621" t="str">
        <f t="shared" ca="1" si="4"/>
        <v xml:space="preserve"> </v>
      </c>
    </row>
    <row r="49" spans="1:8" s="622" customFormat="1" ht="12.6" customHeight="1">
      <c r="A49" s="620">
        <f t="shared" si="5"/>
        <v>1030</v>
      </c>
      <c r="B49" s="620" t="str">
        <f t="shared" ca="1" si="0"/>
        <v>=</v>
      </c>
      <c r="C49" s="621" t="str">
        <f ca="1">IF(B49&lt;&gt;"=",LOOKUP(_xll.ALEA.ENTRE.BORNES(1,10),$G$3:$G15,Type),"-")</f>
        <v>-</v>
      </c>
      <c r="D49" s="621" t="str">
        <f t="shared" ca="1" si="6"/>
        <v xml:space="preserve"> </v>
      </c>
      <c r="E49" s="621" t="str">
        <f t="shared" ca="1" si="1"/>
        <v xml:space="preserve"> </v>
      </c>
      <c r="F49" s="621" t="str">
        <f t="shared" ca="1" si="2"/>
        <v xml:space="preserve"> </v>
      </c>
      <c r="G49" s="621" t="str">
        <f t="shared" ca="1" si="3"/>
        <v xml:space="preserve"> </v>
      </c>
      <c r="H49" s="621" t="str">
        <f t="shared" ca="1" si="4"/>
        <v xml:space="preserve"> </v>
      </c>
    </row>
    <row r="50" spans="1:8" s="622" customFormat="1" ht="12.6" customHeight="1">
      <c r="A50" s="620">
        <f t="shared" si="5"/>
        <v>1040</v>
      </c>
      <c r="B50" s="620" t="str">
        <f t="shared" ca="1" si="0"/>
        <v>=</v>
      </c>
      <c r="C50" s="621" t="str">
        <f ca="1">IF(B50&lt;&gt;"=",LOOKUP(_xll.ALEA.ENTRE.BORNES(1,10),$G$3:$G16,Type),"-")</f>
        <v>-</v>
      </c>
      <c r="D50" s="621" t="str">
        <f t="shared" ca="1" si="6"/>
        <v xml:space="preserve"> </v>
      </c>
      <c r="E50" s="621" t="str">
        <f t="shared" ca="1" si="1"/>
        <v xml:space="preserve"> </v>
      </c>
      <c r="F50" s="621" t="str">
        <f t="shared" ca="1" si="2"/>
        <v xml:space="preserve"> </v>
      </c>
      <c r="G50" s="621" t="str">
        <f t="shared" ca="1" si="3"/>
        <v xml:space="preserve"> </v>
      </c>
      <c r="H50" s="621" t="str">
        <f t="shared" ca="1" si="4"/>
        <v xml:space="preserve"> </v>
      </c>
    </row>
    <row r="51" spans="1:8" s="622" customFormat="1" ht="12.6" customHeight="1">
      <c r="A51" s="620">
        <f t="shared" si="5"/>
        <v>1050</v>
      </c>
      <c r="B51" s="620" t="str">
        <f t="shared" ca="1" si="0"/>
        <v>=</v>
      </c>
      <c r="C51" s="621" t="str">
        <f ca="1">IF(B51&lt;&gt;"=",LOOKUP(_xll.ALEA.ENTRE.BORNES(1,10),$G$3:$G17,Type),"-")</f>
        <v>-</v>
      </c>
      <c r="D51" s="621" t="str">
        <f t="shared" ca="1" si="6"/>
        <v xml:space="preserve"> </v>
      </c>
      <c r="E51" s="621" t="str">
        <f t="shared" ca="1" si="1"/>
        <v xml:space="preserve"> </v>
      </c>
      <c r="F51" s="621" t="str">
        <f t="shared" ca="1" si="2"/>
        <v xml:space="preserve"> </v>
      </c>
      <c r="G51" s="621" t="str">
        <f t="shared" ca="1" si="3"/>
        <v xml:space="preserve"> </v>
      </c>
      <c r="H51" s="621" t="str">
        <f t="shared" ca="1" si="4"/>
        <v xml:space="preserve"> </v>
      </c>
    </row>
    <row r="52" spans="1:8" s="622" customFormat="1" ht="12.6" customHeight="1">
      <c r="A52" s="620">
        <f t="shared" si="5"/>
        <v>1060</v>
      </c>
      <c r="B52" s="620" t="str">
        <f t="shared" ca="1" si="0"/>
        <v>=</v>
      </c>
      <c r="C52" s="621" t="str">
        <f ca="1">IF(B52&lt;&gt;"=",LOOKUP(_xll.ALEA.ENTRE.BORNES(1,10),$G$3:$G18,Type),"-")</f>
        <v>-</v>
      </c>
      <c r="D52" s="621" t="str">
        <f t="shared" ca="1" si="6"/>
        <v xml:space="preserve"> </v>
      </c>
      <c r="E52" s="621" t="str">
        <f t="shared" ca="1" si="1"/>
        <v xml:space="preserve"> </v>
      </c>
      <c r="F52" s="621" t="str">
        <f t="shared" ca="1" si="2"/>
        <v xml:space="preserve"> </v>
      </c>
      <c r="G52" s="621" t="str">
        <f t="shared" ca="1" si="3"/>
        <v xml:space="preserve"> </v>
      </c>
      <c r="H52" s="621" t="str">
        <f t="shared" ca="1" si="4"/>
        <v xml:space="preserve"> </v>
      </c>
    </row>
    <row r="53" spans="1:8" s="622" customFormat="1" ht="12.6" customHeight="1">
      <c r="A53" s="620">
        <f t="shared" si="5"/>
        <v>1070</v>
      </c>
      <c r="B53" s="620" t="str">
        <f t="shared" ca="1" si="0"/>
        <v>=</v>
      </c>
      <c r="C53" s="621" t="str">
        <f ca="1">IF(B53&lt;&gt;"=",LOOKUP(_xll.ALEA.ENTRE.BORNES(1,10),$G$3:$G19,Type),"-")</f>
        <v>-</v>
      </c>
      <c r="D53" s="621" t="str">
        <f t="shared" ca="1" si="6"/>
        <v xml:space="preserve"> </v>
      </c>
      <c r="E53" s="621" t="str">
        <f t="shared" ca="1" si="1"/>
        <v xml:space="preserve"> </v>
      </c>
      <c r="F53" s="621" t="str">
        <f t="shared" ca="1" si="2"/>
        <v xml:space="preserve"> </v>
      </c>
      <c r="G53" s="621" t="str">
        <f t="shared" ca="1" si="3"/>
        <v xml:space="preserve"> </v>
      </c>
      <c r="H53" s="621" t="str">
        <f t="shared" ca="1" si="4"/>
        <v xml:space="preserve"> </v>
      </c>
    </row>
    <row r="54" spans="1:8" s="622" customFormat="1" ht="12.6" customHeight="1">
      <c r="A54" s="620">
        <f t="shared" si="5"/>
        <v>1080</v>
      </c>
      <c r="B54" s="620" t="str">
        <f t="shared" ca="1" si="0"/>
        <v>+++</v>
      </c>
      <c r="C54" s="621" t="e">
        <f ca="1">IF(B54&lt;&gt;"=",LOOKUP(_xll.ALEA.ENTRE.BORNES(1,10),$G$3:$G20,Type),"-")</f>
        <v>#NAME?</v>
      </c>
      <c r="D54" s="621">
        <f t="shared" ca="1" si="6"/>
        <v>1085</v>
      </c>
      <c r="E54" s="621" t="str">
        <f t="shared" ca="1" si="1"/>
        <v>année</v>
      </c>
      <c r="F54" s="621" t="str">
        <f t="shared" ca="1" si="2"/>
        <v>décret</v>
      </c>
      <c r="G54" s="621" t="str">
        <f t="shared" ca="1" si="3"/>
        <v>partout</v>
      </c>
      <c r="H54" s="621" t="str">
        <f t="shared" ca="1" si="4"/>
        <v>plèbe</v>
      </c>
    </row>
    <row r="55" spans="1:8" s="622" customFormat="1" ht="12.6" customHeight="1">
      <c r="A55" s="620">
        <f t="shared" si="5"/>
        <v>1090</v>
      </c>
      <c r="B55" s="620" t="str">
        <f t="shared" ca="1" si="0"/>
        <v>-</v>
      </c>
      <c r="C55" s="621" t="e">
        <f ca="1">IF(B55&lt;&gt;"=",LOOKUP(_xll.ALEA.ENTRE.BORNES(1,10),$G$3:$G21,Type),"-")</f>
        <v>#NAME?</v>
      </c>
      <c r="D55" s="621">
        <f t="shared" ca="1" si="6"/>
        <v>1097</v>
      </c>
      <c r="E55" s="621" t="str">
        <f t="shared" ca="1" si="1"/>
        <v>saison</v>
      </c>
      <c r="F55" s="621" t="str">
        <f t="shared" ca="1" si="2"/>
        <v>ressource</v>
      </c>
      <c r="G55" s="621" t="str">
        <f t="shared" ca="1" si="3"/>
        <v>sud-est</v>
      </c>
      <c r="H55" s="621" t="str">
        <f t="shared" ca="1" si="4"/>
        <v>plèbe</v>
      </c>
    </row>
    <row r="56" spans="1:8" s="622" customFormat="1" ht="12.6" customHeight="1">
      <c r="A56" s="620">
        <f t="shared" si="5"/>
        <v>1100</v>
      </c>
      <c r="B56" s="620" t="str">
        <f t="shared" ca="1" si="0"/>
        <v>- -</v>
      </c>
      <c r="C56" s="621" t="e">
        <f ca="1">IF(B56&lt;&gt;"=",LOOKUP(_xll.ALEA.ENTRE.BORNES(1,10),$G$3:$G22,Type),"-")</f>
        <v>#NAME?</v>
      </c>
      <c r="D56" s="621">
        <f t="shared" ca="1" si="6"/>
        <v>1108</v>
      </c>
      <c r="E56" s="621" t="str">
        <f t="shared" ca="1" si="1"/>
        <v>année</v>
      </c>
      <c r="F56" s="621" t="str">
        <f t="shared" ca="1" si="2"/>
        <v>minorité</v>
      </c>
      <c r="G56" s="621" t="str">
        <f t="shared" ca="1" si="3"/>
        <v>sud-est</v>
      </c>
      <c r="H56" s="621" t="str">
        <f t="shared" ca="1" si="4"/>
        <v>plèbe</v>
      </c>
    </row>
    <row r="57" spans="1:8" s="622" customFormat="1" ht="12.6" customHeight="1">
      <c r="A57" s="620">
        <f t="shared" si="5"/>
        <v>1110</v>
      </c>
      <c r="B57" s="620" t="str">
        <f t="shared" ca="1" si="0"/>
        <v>=</v>
      </c>
      <c r="C57" s="621" t="str">
        <f ca="1">IF(B57&lt;&gt;"=",LOOKUP(_xll.ALEA.ENTRE.BORNES(1,10),$G$3:$G23,Type),"-")</f>
        <v>-</v>
      </c>
      <c r="D57" s="621" t="str">
        <f t="shared" ca="1" si="6"/>
        <v xml:space="preserve"> </v>
      </c>
      <c r="E57" s="621" t="str">
        <f t="shared" ca="1" si="1"/>
        <v xml:space="preserve"> </v>
      </c>
      <c r="F57" s="621" t="str">
        <f t="shared" ca="1" si="2"/>
        <v xml:space="preserve"> </v>
      </c>
      <c r="G57" s="621" t="str">
        <f t="shared" ca="1" si="3"/>
        <v xml:space="preserve"> </v>
      </c>
      <c r="H57" s="621" t="str">
        <f t="shared" ca="1" si="4"/>
        <v xml:space="preserve"> </v>
      </c>
    </row>
    <row r="58" spans="1:8" s="622" customFormat="1" ht="12.6" customHeight="1">
      <c r="A58" s="620">
        <f t="shared" si="5"/>
        <v>1120</v>
      </c>
      <c r="B58" s="620" t="str">
        <f t="shared" ca="1" si="0"/>
        <v>=</v>
      </c>
      <c r="C58" s="621" t="str">
        <f ca="1">IF(B58&lt;&gt;"=",LOOKUP(_xll.ALEA.ENTRE.BORNES(1,10),$G$3:$G24,Type),"-")</f>
        <v>-</v>
      </c>
      <c r="D58" s="621" t="str">
        <f t="shared" ca="1" si="6"/>
        <v xml:space="preserve"> </v>
      </c>
      <c r="E58" s="621" t="str">
        <f t="shared" ca="1" si="1"/>
        <v xml:space="preserve"> </v>
      </c>
      <c r="F58" s="621" t="str">
        <f t="shared" ca="1" si="2"/>
        <v xml:space="preserve"> </v>
      </c>
      <c r="G58" s="621" t="str">
        <f t="shared" ca="1" si="3"/>
        <v xml:space="preserve"> </v>
      </c>
      <c r="H58" s="621" t="str">
        <f t="shared" ca="1" si="4"/>
        <v xml:space="preserve"> </v>
      </c>
    </row>
    <row r="59" spans="1:8" s="622" customFormat="1" ht="12.6" customHeight="1">
      <c r="A59" s="620">
        <f t="shared" si="5"/>
        <v>1130</v>
      </c>
      <c r="B59" s="620" t="str">
        <f t="shared" ca="1" si="0"/>
        <v>=</v>
      </c>
      <c r="C59" s="621" t="str">
        <f ca="1">IF(B59&lt;&gt;"=",LOOKUP(_xll.ALEA.ENTRE.BORNES(1,10),$G$3:$G25,Type),"-")</f>
        <v>-</v>
      </c>
      <c r="D59" s="621" t="str">
        <f t="shared" ca="1" si="6"/>
        <v xml:space="preserve"> </v>
      </c>
      <c r="E59" s="621" t="str">
        <f t="shared" ca="1" si="1"/>
        <v xml:space="preserve"> </v>
      </c>
      <c r="F59" s="621" t="str">
        <f t="shared" ca="1" si="2"/>
        <v xml:space="preserve"> </v>
      </c>
      <c r="G59" s="621" t="str">
        <f t="shared" ca="1" si="3"/>
        <v xml:space="preserve"> </v>
      </c>
      <c r="H59" s="621" t="str">
        <f t="shared" ca="1" si="4"/>
        <v xml:space="preserve"> </v>
      </c>
    </row>
    <row r="60" spans="1:8" s="622" customFormat="1" ht="12.6" customHeight="1">
      <c r="A60" s="620">
        <f t="shared" si="5"/>
        <v>1140</v>
      </c>
      <c r="B60" s="620" t="str">
        <f t="shared" ca="1" si="0"/>
        <v>=</v>
      </c>
      <c r="C60" s="621" t="str">
        <f ca="1">IF(B60&lt;&gt;"=",LOOKUP(_xll.ALEA.ENTRE.BORNES(1,10),$G$3:$G26,Type),"-")</f>
        <v>-</v>
      </c>
      <c r="D60" s="621" t="str">
        <f t="shared" ca="1" si="6"/>
        <v xml:space="preserve"> </v>
      </c>
      <c r="E60" s="621" t="str">
        <f t="shared" ca="1" si="1"/>
        <v xml:space="preserve"> </v>
      </c>
      <c r="F60" s="621" t="str">
        <f t="shared" ca="1" si="2"/>
        <v xml:space="preserve"> </v>
      </c>
      <c r="G60" s="621" t="str">
        <f t="shared" ca="1" si="3"/>
        <v xml:space="preserve"> </v>
      </c>
      <c r="H60" s="621" t="str">
        <f t="shared" ca="1" si="4"/>
        <v xml:space="preserve"> </v>
      </c>
    </row>
    <row r="61" spans="1:8" s="622" customFormat="1" ht="12.6" customHeight="1">
      <c r="A61" s="620">
        <f t="shared" si="5"/>
        <v>1150</v>
      </c>
      <c r="B61" s="620" t="str">
        <f t="shared" ca="1" si="0"/>
        <v>=</v>
      </c>
      <c r="C61" s="621" t="str">
        <f ca="1">IF(B61&lt;&gt;"=",LOOKUP(_xll.ALEA.ENTRE.BORNES(1,10),$G$3:$G27,Type),"-")</f>
        <v>-</v>
      </c>
      <c r="D61" s="621" t="str">
        <f t="shared" ca="1" si="6"/>
        <v xml:space="preserve"> </v>
      </c>
      <c r="E61" s="621" t="str">
        <f t="shared" ca="1" si="1"/>
        <v xml:space="preserve"> </v>
      </c>
      <c r="F61" s="621" t="str">
        <f t="shared" ca="1" si="2"/>
        <v xml:space="preserve"> </v>
      </c>
      <c r="G61" s="621" t="str">
        <f t="shared" ca="1" si="3"/>
        <v xml:space="preserve"> </v>
      </c>
      <c r="H61" s="621" t="str">
        <f t="shared" ca="1" si="4"/>
        <v xml:space="preserve"> </v>
      </c>
    </row>
    <row r="62" spans="1:8" s="622" customFormat="1" ht="12.6" customHeight="1">
      <c r="A62" s="620">
        <f t="shared" si="5"/>
        <v>1160</v>
      </c>
      <c r="B62" s="620" t="str">
        <f t="shared" ca="1" si="0"/>
        <v>=</v>
      </c>
      <c r="C62" s="621" t="str">
        <f ca="1">IF(B62&lt;&gt;"=",LOOKUP(_xll.ALEA.ENTRE.BORNES(1,10),$G$3:$G28,Type),"-")</f>
        <v>-</v>
      </c>
      <c r="D62" s="621" t="str">
        <f t="shared" ca="1" si="6"/>
        <v xml:space="preserve"> </v>
      </c>
      <c r="E62" s="621" t="str">
        <f t="shared" ca="1" si="1"/>
        <v xml:space="preserve"> </v>
      </c>
      <c r="F62" s="621" t="str">
        <f t="shared" ca="1" si="2"/>
        <v xml:space="preserve"> </v>
      </c>
      <c r="G62" s="621" t="str">
        <f t="shared" ca="1" si="3"/>
        <v xml:space="preserve"> </v>
      </c>
      <c r="H62" s="621" t="str">
        <f t="shared" ca="1" si="4"/>
        <v xml:space="preserve"> </v>
      </c>
    </row>
    <row r="63" spans="1:8" s="622" customFormat="1" ht="12.6" customHeight="1">
      <c r="A63" s="620">
        <f t="shared" si="5"/>
        <v>1170</v>
      </c>
      <c r="B63" s="620" t="str">
        <f t="shared" ca="1" si="0"/>
        <v>=</v>
      </c>
      <c r="C63" s="621" t="str">
        <f ca="1">IF(B63&lt;&gt;"=",LOOKUP(_xll.ALEA.ENTRE.BORNES(1,10),$G$3:$G29,Type),"-")</f>
        <v>-</v>
      </c>
      <c r="D63" s="621" t="str">
        <f t="shared" ca="1" si="6"/>
        <v xml:space="preserve"> </v>
      </c>
      <c r="E63" s="621" t="str">
        <f t="shared" ca="1" si="1"/>
        <v xml:space="preserve"> </v>
      </c>
      <c r="F63" s="621" t="str">
        <f t="shared" ca="1" si="2"/>
        <v xml:space="preserve"> </v>
      </c>
      <c r="G63" s="621" t="str">
        <f t="shared" ca="1" si="3"/>
        <v xml:space="preserve"> </v>
      </c>
      <c r="H63" s="621" t="str">
        <f t="shared" ca="1" si="4"/>
        <v xml:space="preserve"> </v>
      </c>
    </row>
    <row r="64" spans="1:8" s="622" customFormat="1" ht="12.6" customHeight="1">
      <c r="A64" s="620">
        <f t="shared" si="5"/>
        <v>1180</v>
      </c>
      <c r="B64" s="620" t="str">
        <f t="shared" ca="1" si="0"/>
        <v>=</v>
      </c>
      <c r="C64" s="621" t="str">
        <f ca="1">IF(B64&lt;&gt;"=",LOOKUP(_xll.ALEA.ENTRE.BORNES(1,10),$G$3:$G30,Type),"-")</f>
        <v>-</v>
      </c>
      <c r="D64" s="621" t="str">
        <f t="shared" ca="1" si="6"/>
        <v xml:space="preserve"> </v>
      </c>
      <c r="E64" s="621" t="str">
        <f t="shared" ca="1" si="1"/>
        <v xml:space="preserve"> </v>
      </c>
      <c r="F64" s="621" t="str">
        <f t="shared" ca="1" si="2"/>
        <v xml:space="preserve"> </v>
      </c>
      <c r="G64" s="621" t="str">
        <f t="shared" ca="1" si="3"/>
        <v xml:space="preserve"> </v>
      </c>
      <c r="H64" s="621" t="str">
        <f t="shared" ca="1" si="4"/>
        <v xml:space="preserve"> </v>
      </c>
    </row>
    <row r="65" spans="1:8" s="622" customFormat="1" ht="12.6" customHeight="1">
      <c r="A65" s="620">
        <f t="shared" si="5"/>
        <v>1190</v>
      </c>
      <c r="B65" s="620" t="str">
        <f t="shared" ca="1" si="0"/>
        <v>=</v>
      </c>
      <c r="C65" s="621" t="str">
        <f ca="1">IF(B65&lt;&gt;"=",LOOKUP(_xll.ALEA.ENTRE.BORNES(1,10),$G$3:$G31,Type),"-")</f>
        <v>-</v>
      </c>
      <c r="D65" s="621" t="str">
        <f t="shared" ca="1" si="6"/>
        <v xml:space="preserve"> </v>
      </c>
      <c r="E65" s="621" t="str">
        <f t="shared" ca="1" si="1"/>
        <v xml:space="preserve"> </v>
      </c>
      <c r="F65" s="621" t="str">
        <f t="shared" ca="1" si="2"/>
        <v xml:space="preserve"> </v>
      </c>
      <c r="G65" s="621" t="str">
        <f t="shared" ca="1" si="3"/>
        <v xml:space="preserve"> </v>
      </c>
      <c r="H65" s="621" t="str">
        <f t="shared" ca="1" si="4"/>
        <v xml:space="preserve"> </v>
      </c>
    </row>
    <row r="66" spans="1:8" s="622" customFormat="1" ht="12.6" customHeight="1">
      <c r="A66" s="620">
        <f t="shared" si="5"/>
        <v>1200</v>
      </c>
      <c r="B66" s="620" t="str">
        <f t="shared" ca="1" si="0"/>
        <v>=</v>
      </c>
      <c r="C66" s="621" t="str">
        <f ca="1">IF(B66&lt;&gt;"=",LOOKUP(_xll.ALEA.ENTRE.BORNES(1,10),$G$3:$G32,Type),"-")</f>
        <v>-</v>
      </c>
      <c r="D66" s="621" t="str">
        <f t="shared" ca="1" si="6"/>
        <v xml:space="preserve"> </v>
      </c>
      <c r="E66" s="621" t="str">
        <f t="shared" ca="1" si="1"/>
        <v xml:space="preserve"> </v>
      </c>
      <c r="F66" s="621" t="str">
        <f t="shared" ca="1" si="2"/>
        <v xml:space="preserve"> </v>
      </c>
      <c r="G66" s="621" t="str">
        <f t="shared" ca="1" si="3"/>
        <v xml:space="preserve"> </v>
      </c>
      <c r="H66" s="621" t="str">
        <f t="shared" ca="1" si="4"/>
        <v xml:space="preserve"> </v>
      </c>
    </row>
    <row r="67" spans="1:8" s="622" customFormat="1" ht="12.6" customHeight="1">
      <c r="A67" s="620">
        <f t="shared" si="5"/>
        <v>1210</v>
      </c>
      <c r="B67" s="620" t="str">
        <f t="shared" ca="1" si="0"/>
        <v>=</v>
      </c>
      <c r="C67" s="621" t="str">
        <f ca="1">IF(B67&lt;&gt;"=",LOOKUP(_xll.ALEA.ENTRE.BORNES(1,10),$G$3:$G33,Type),"-")</f>
        <v>-</v>
      </c>
      <c r="D67" s="621" t="str">
        <f t="shared" ca="1" si="6"/>
        <v xml:space="preserve"> </v>
      </c>
      <c r="E67" s="621" t="str">
        <f t="shared" ca="1" si="1"/>
        <v xml:space="preserve"> </v>
      </c>
      <c r="F67" s="621" t="str">
        <f t="shared" ca="1" si="2"/>
        <v xml:space="preserve"> </v>
      </c>
      <c r="G67" s="621" t="str">
        <f t="shared" ca="1" si="3"/>
        <v xml:space="preserve"> </v>
      </c>
      <c r="H67" s="621" t="str">
        <f t="shared" ca="1" si="4"/>
        <v xml:space="preserve"> </v>
      </c>
    </row>
    <row r="68" spans="1:8" s="622" customFormat="1" ht="12.6" customHeight="1">
      <c r="A68" s="620">
        <f t="shared" si="5"/>
        <v>1220</v>
      </c>
      <c r="B68" s="620" t="str">
        <f t="shared" ca="1" si="0"/>
        <v>=</v>
      </c>
      <c r="C68" s="621" t="str">
        <f ca="1">IF(B68&lt;&gt;"=",LOOKUP(_xll.ALEA.ENTRE.BORNES(1,10),$G$3:$G34,Type),"-")</f>
        <v>-</v>
      </c>
      <c r="D68" s="621" t="str">
        <f t="shared" ca="1" si="6"/>
        <v xml:space="preserve"> </v>
      </c>
      <c r="E68" s="621" t="str">
        <f t="shared" ca="1" si="1"/>
        <v xml:space="preserve"> </v>
      </c>
      <c r="F68" s="621" t="str">
        <f t="shared" ca="1" si="2"/>
        <v xml:space="preserve"> </v>
      </c>
      <c r="G68" s="621" t="str">
        <f t="shared" ca="1" si="3"/>
        <v xml:space="preserve"> </v>
      </c>
      <c r="H68" s="621" t="str">
        <f t="shared" ca="1" si="4"/>
        <v xml:space="preserve"> </v>
      </c>
    </row>
    <row r="69" spans="1:8" s="622" customFormat="1" ht="12.6" customHeight="1">
      <c r="A69" s="620">
        <f t="shared" si="5"/>
        <v>1230</v>
      </c>
      <c r="B69" s="620" t="str">
        <f t="shared" ca="1" si="0"/>
        <v>=</v>
      </c>
      <c r="C69" s="621" t="str">
        <f ca="1">IF(B69&lt;&gt;"=",LOOKUP(_xll.ALEA.ENTRE.BORNES(1,10),$G$3:$G35,Type),"-")</f>
        <v>-</v>
      </c>
      <c r="D69" s="621" t="str">
        <f t="shared" ca="1" si="6"/>
        <v xml:space="preserve"> </v>
      </c>
      <c r="E69" s="621" t="str">
        <f t="shared" ca="1" si="1"/>
        <v xml:space="preserve"> </v>
      </c>
      <c r="F69" s="621" t="str">
        <f t="shared" ca="1" si="2"/>
        <v xml:space="preserve"> </v>
      </c>
      <c r="G69" s="621" t="str">
        <f t="shared" ca="1" si="3"/>
        <v xml:space="preserve"> </v>
      </c>
      <c r="H69" s="621" t="str">
        <f t="shared" ca="1" si="4"/>
        <v xml:space="preserve"> </v>
      </c>
    </row>
    <row r="70" spans="1:8" s="622" customFormat="1" ht="12.6" customHeight="1">
      <c r="A70" s="620">
        <f t="shared" si="5"/>
        <v>1240</v>
      </c>
      <c r="B70" s="620" t="str">
        <f t="shared" ca="1" si="0"/>
        <v>- -</v>
      </c>
      <c r="C70" s="621" t="e">
        <f ca="1">IF(B70&lt;&gt;"=",LOOKUP(_xll.ALEA.ENTRE.BORNES(1,10),$G$3:$G36,Type),"-")</f>
        <v>#NAME?</v>
      </c>
      <c r="D70" s="621">
        <f t="shared" ca="1" si="6"/>
        <v>1247</v>
      </c>
      <c r="E70" s="621" t="str">
        <f t="shared" ca="1" si="1"/>
        <v>saison</v>
      </c>
      <c r="F70" s="621" t="str">
        <f t="shared" ca="1" si="2"/>
        <v>territoire</v>
      </c>
      <c r="G70" s="621" t="str">
        <f t="shared" ca="1" si="3"/>
        <v>frontière</v>
      </c>
      <c r="H70" s="621" t="str">
        <f t="shared" ca="1" si="4"/>
        <v>marchands</v>
      </c>
    </row>
    <row r="71" spans="1:8" s="622" customFormat="1" ht="12.6" customHeight="1">
      <c r="A71" s="620">
        <f t="shared" si="5"/>
        <v>1250</v>
      </c>
      <c r="B71" s="620" t="str">
        <f t="shared" ca="1" si="0"/>
        <v>=</v>
      </c>
      <c r="C71" s="621" t="str">
        <f ca="1">IF(B71&lt;&gt;"=",LOOKUP(_xll.ALEA.ENTRE.BORNES(1,10),$G$3:$G37,Type),"-")</f>
        <v>-</v>
      </c>
      <c r="D71" s="621" t="str">
        <f t="shared" ca="1" si="6"/>
        <v xml:space="preserve"> </v>
      </c>
      <c r="E71" s="621" t="str">
        <f t="shared" ca="1" si="1"/>
        <v xml:space="preserve"> </v>
      </c>
      <c r="F71" s="621" t="str">
        <f t="shared" ca="1" si="2"/>
        <v xml:space="preserve"> </v>
      </c>
      <c r="G71" s="621" t="str">
        <f t="shared" ca="1" si="3"/>
        <v xml:space="preserve"> </v>
      </c>
      <c r="H71" s="621" t="str">
        <f t="shared" ca="1" si="4"/>
        <v xml:space="preserve"> </v>
      </c>
    </row>
    <row r="72" spans="1:8" s="622" customFormat="1" ht="12.6" customHeight="1">
      <c r="A72" s="620">
        <f t="shared" si="5"/>
        <v>1260</v>
      </c>
      <c r="B72" s="620" t="str">
        <f t="shared" ca="1" si="0"/>
        <v>=</v>
      </c>
      <c r="C72" s="621" t="str">
        <f ca="1">IF(B72&lt;&gt;"=",LOOKUP(_xll.ALEA.ENTRE.BORNES(1,10),$G$3:$G38,Type),"-")</f>
        <v>-</v>
      </c>
      <c r="D72" s="621" t="str">
        <f t="shared" ca="1" si="6"/>
        <v xml:space="preserve"> </v>
      </c>
      <c r="E72" s="621" t="str">
        <f t="shared" ca="1" si="1"/>
        <v xml:space="preserve"> </v>
      </c>
      <c r="F72" s="621" t="str">
        <f t="shared" ca="1" si="2"/>
        <v xml:space="preserve"> </v>
      </c>
      <c r="G72" s="621" t="str">
        <f t="shared" ca="1" si="3"/>
        <v xml:space="preserve"> </v>
      </c>
      <c r="H72" s="621" t="str">
        <f t="shared" ca="1" si="4"/>
        <v xml:space="preserve"> </v>
      </c>
    </row>
    <row r="73" spans="1:8" s="622" customFormat="1" ht="12.6" customHeight="1">
      <c r="A73" s="620">
        <f t="shared" si="5"/>
        <v>1270</v>
      </c>
      <c r="B73" s="620" t="str">
        <f t="shared" ca="1" si="0"/>
        <v>=</v>
      </c>
      <c r="C73" s="621" t="str">
        <f ca="1">IF(B73&lt;&gt;"=",LOOKUP(_xll.ALEA.ENTRE.BORNES(1,10),$G$3:$G39,Type),"-")</f>
        <v>-</v>
      </c>
      <c r="D73" s="621" t="str">
        <f t="shared" ca="1" si="6"/>
        <v xml:space="preserve"> </v>
      </c>
      <c r="E73" s="621" t="str">
        <f t="shared" ca="1" si="1"/>
        <v xml:space="preserve"> </v>
      </c>
      <c r="F73" s="621" t="str">
        <f t="shared" ca="1" si="2"/>
        <v xml:space="preserve"> </v>
      </c>
      <c r="G73" s="621" t="str">
        <f t="shared" ca="1" si="3"/>
        <v xml:space="preserve"> </v>
      </c>
      <c r="H73" s="621" t="str">
        <f t="shared" ca="1" si="4"/>
        <v xml:space="preserve"> </v>
      </c>
    </row>
    <row r="74" spans="1:8" s="622" customFormat="1" ht="12.6" customHeight="1">
      <c r="A74" s="620">
        <f t="shared" si="5"/>
        <v>1280</v>
      </c>
      <c r="B74" s="620" t="str">
        <f t="shared" ca="1" si="0"/>
        <v>=</v>
      </c>
      <c r="C74" s="621" t="str">
        <f ca="1">IF(B74&lt;&gt;"=",LOOKUP(_xll.ALEA.ENTRE.BORNES(1,10),$G$3:$G40,Type),"-")</f>
        <v>-</v>
      </c>
      <c r="D74" s="621" t="str">
        <f t="shared" ca="1" si="6"/>
        <v xml:space="preserve"> </v>
      </c>
      <c r="E74" s="621" t="str">
        <f t="shared" ca="1" si="1"/>
        <v xml:space="preserve"> </v>
      </c>
      <c r="F74" s="621" t="str">
        <f t="shared" ca="1" si="2"/>
        <v xml:space="preserve"> </v>
      </c>
      <c r="G74" s="621" t="str">
        <f t="shared" ca="1" si="3"/>
        <v xml:space="preserve"> </v>
      </c>
      <c r="H74" s="621" t="str">
        <f t="shared" ca="1" si="4"/>
        <v xml:space="preserve"> </v>
      </c>
    </row>
    <row r="75" spans="1:8" s="622" customFormat="1" ht="12.6" customHeight="1">
      <c r="A75" s="620">
        <f t="shared" si="5"/>
        <v>1290</v>
      </c>
      <c r="B75" s="620" t="str">
        <f t="shared" ca="1" si="0"/>
        <v>=</v>
      </c>
      <c r="C75" s="621" t="str">
        <f ca="1">IF(B75&lt;&gt;"=",LOOKUP(_xll.ALEA.ENTRE.BORNES(1,10),$G$3:$G41,Type),"-")</f>
        <v>-</v>
      </c>
      <c r="D75" s="621" t="str">
        <f t="shared" ca="1" si="6"/>
        <v xml:space="preserve"> </v>
      </c>
      <c r="E75" s="621" t="str">
        <f t="shared" ca="1" si="1"/>
        <v xml:space="preserve"> </v>
      </c>
      <c r="F75" s="621" t="str">
        <f t="shared" ca="1" si="2"/>
        <v xml:space="preserve"> </v>
      </c>
      <c r="G75" s="621" t="str">
        <f t="shared" ca="1" si="3"/>
        <v xml:space="preserve"> </v>
      </c>
      <c r="H75" s="621" t="str">
        <f t="shared" ca="1" si="4"/>
        <v xml:space="preserve"> </v>
      </c>
    </row>
    <row r="76" spans="1:8" s="622" customFormat="1" ht="12.6" customHeight="1">
      <c r="A76" s="620">
        <f t="shared" si="5"/>
        <v>1300</v>
      </c>
      <c r="B76" s="620" t="str">
        <f t="shared" ca="1" si="0"/>
        <v>=</v>
      </c>
      <c r="C76" s="621" t="str">
        <f ca="1">IF(B76&lt;&gt;"=",LOOKUP(_xll.ALEA.ENTRE.BORNES(1,10),$G$3:$G42,Type),"-")</f>
        <v>-</v>
      </c>
      <c r="D76" s="621" t="str">
        <f t="shared" ca="1" si="6"/>
        <v xml:space="preserve"> </v>
      </c>
      <c r="E76" s="621" t="str">
        <f t="shared" ca="1" si="1"/>
        <v xml:space="preserve"> </v>
      </c>
      <c r="F76" s="621" t="str">
        <f t="shared" ca="1" si="2"/>
        <v xml:space="preserve"> </v>
      </c>
      <c r="G76" s="621" t="str">
        <f t="shared" ca="1" si="3"/>
        <v xml:space="preserve"> </v>
      </c>
      <c r="H76" s="621" t="str">
        <f t="shared" ca="1" si="4"/>
        <v xml:space="preserve"> </v>
      </c>
    </row>
    <row r="77" spans="1:8" s="622" customFormat="1" ht="12.6" customHeight="1">
      <c r="A77" s="620">
        <f t="shared" si="5"/>
        <v>1310</v>
      </c>
      <c r="B77" s="620" t="str">
        <f t="shared" ca="1" si="0"/>
        <v>=</v>
      </c>
      <c r="C77" s="621" t="str">
        <f ca="1">IF(B77&lt;&gt;"=",LOOKUP(_xll.ALEA.ENTRE.BORNES(1,10),$G$3:$G43,Type),"-")</f>
        <v>-</v>
      </c>
      <c r="D77" s="621" t="str">
        <f t="shared" ca="1" si="6"/>
        <v xml:space="preserve"> </v>
      </c>
      <c r="E77" s="621" t="str">
        <f t="shared" ca="1" si="1"/>
        <v xml:space="preserve"> </v>
      </c>
      <c r="F77" s="621" t="str">
        <f t="shared" ca="1" si="2"/>
        <v xml:space="preserve"> </v>
      </c>
      <c r="G77" s="621" t="str">
        <f t="shared" ca="1" si="3"/>
        <v xml:space="preserve"> </v>
      </c>
      <c r="H77" s="621" t="str">
        <f t="shared" ca="1" si="4"/>
        <v xml:space="preserve"> </v>
      </c>
    </row>
    <row r="78" spans="1:8" s="622" customFormat="1" ht="12.6" customHeight="1">
      <c r="A78" s="620">
        <f t="shared" si="5"/>
        <v>1320</v>
      </c>
      <c r="B78" s="620" t="str">
        <f t="shared" ref="B78:B96" ca="1" si="7">LOOKUP(RANDBETWEEN(1,100),DEvenement,PLMO)</f>
        <v>=</v>
      </c>
      <c r="C78" s="621" t="str">
        <f ca="1">IF(B78&lt;&gt;"=",LOOKUP(_xll.ALEA.ENTRE.BORNES(1,10),$G$3:$G44,Type),"-")</f>
        <v>-</v>
      </c>
      <c r="D78" s="621" t="str">
        <f t="shared" ca="1" si="6"/>
        <v xml:space="preserve"> </v>
      </c>
      <c r="E78" s="621" t="str">
        <f t="shared" ref="E78:E96" ca="1" si="8">IF(B78&lt;&gt;"=",LOOKUP(RANDBETWEEN(1,10),Dé10,duree)," ")</f>
        <v xml:space="preserve"> </v>
      </c>
      <c r="F78" s="621" t="str">
        <f t="shared" ref="F78:F96" ca="1" si="9">IF(B78&lt;&gt;"=",LOOKUP(RANDBETWEEN(1,100),DEvenement,royaume)," ")</f>
        <v xml:space="preserve"> </v>
      </c>
      <c r="G78" s="621" t="str">
        <f t="shared" ref="G78:G96" ca="1" si="10">IF(B78&lt;&gt;"=",LOOKUP(RANDBETWEEN(1,10),Dé10,etendue)," ")</f>
        <v xml:space="preserve"> </v>
      </c>
      <c r="H78" s="621" t="str">
        <f t="shared" ref="H78:H96" ca="1" si="11">IF(B78&lt;&gt;"=",LOOKUP(RANDBETWEEN(1,10),Dé10,population)," ")</f>
        <v xml:space="preserve"> </v>
      </c>
    </row>
    <row r="79" spans="1:8" s="622" customFormat="1" ht="12.6" customHeight="1">
      <c r="A79" s="620">
        <f t="shared" ref="A79:A96" si="12">A78+10</f>
        <v>1330</v>
      </c>
      <c r="B79" s="620" t="str">
        <f t="shared" ca="1" si="7"/>
        <v>=</v>
      </c>
      <c r="C79" s="621" t="str">
        <f ca="1">IF(B79&lt;&gt;"=",LOOKUP(_xll.ALEA.ENTRE.BORNES(1,10),$G$3:$G45,Type),"-")</f>
        <v>-</v>
      </c>
      <c r="D79" s="621" t="str">
        <f t="shared" ca="1" si="6"/>
        <v xml:space="preserve"> </v>
      </c>
      <c r="E79" s="621" t="str">
        <f t="shared" ca="1" si="8"/>
        <v xml:space="preserve"> </v>
      </c>
      <c r="F79" s="621" t="str">
        <f t="shared" ca="1" si="9"/>
        <v xml:space="preserve"> </v>
      </c>
      <c r="G79" s="621" t="str">
        <f t="shared" ca="1" si="10"/>
        <v xml:space="preserve"> </v>
      </c>
      <c r="H79" s="621" t="str">
        <f t="shared" ca="1" si="11"/>
        <v xml:space="preserve"> </v>
      </c>
    </row>
    <row r="80" spans="1:8" s="622" customFormat="1" ht="12.6" customHeight="1">
      <c r="A80" s="620">
        <f t="shared" si="12"/>
        <v>1340</v>
      </c>
      <c r="B80" s="620" t="str">
        <f t="shared" ca="1" si="7"/>
        <v>=</v>
      </c>
      <c r="C80" s="621" t="str">
        <f ca="1">IF(B80&lt;&gt;"=",LOOKUP(_xll.ALEA.ENTRE.BORNES(1,10),$G$3:$G46,Type),"-")</f>
        <v>-</v>
      </c>
      <c r="D80" s="621" t="str">
        <f t="shared" ca="1" si="6"/>
        <v xml:space="preserve"> </v>
      </c>
      <c r="E80" s="621" t="str">
        <f t="shared" ca="1" si="8"/>
        <v xml:space="preserve"> </v>
      </c>
      <c r="F80" s="621" t="str">
        <f t="shared" ca="1" si="9"/>
        <v xml:space="preserve"> </v>
      </c>
      <c r="G80" s="621" t="str">
        <f t="shared" ca="1" si="10"/>
        <v xml:space="preserve"> </v>
      </c>
      <c r="H80" s="621" t="str">
        <f t="shared" ca="1" si="11"/>
        <v xml:space="preserve"> </v>
      </c>
    </row>
    <row r="81" spans="1:8" s="622" customFormat="1" ht="12.6" customHeight="1">
      <c r="A81" s="620">
        <f t="shared" si="12"/>
        <v>1350</v>
      </c>
      <c r="B81" s="620" t="str">
        <f t="shared" ca="1" si="7"/>
        <v>=</v>
      </c>
      <c r="C81" s="621" t="str">
        <f ca="1">IF(B81&lt;&gt;"=",LOOKUP(_xll.ALEA.ENTRE.BORNES(1,10),$G$3:$G47,Type),"-")</f>
        <v>-</v>
      </c>
      <c r="D81" s="621" t="str">
        <f t="shared" ca="1" si="6"/>
        <v xml:space="preserve"> </v>
      </c>
      <c r="E81" s="621" t="str">
        <f t="shared" ca="1" si="8"/>
        <v xml:space="preserve"> </v>
      </c>
      <c r="F81" s="621" t="str">
        <f t="shared" ca="1" si="9"/>
        <v xml:space="preserve"> </v>
      </c>
      <c r="G81" s="621" t="str">
        <f t="shared" ca="1" si="10"/>
        <v xml:space="preserve"> </v>
      </c>
      <c r="H81" s="621" t="str">
        <f t="shared" ca="1" si="11"/>
        <v xml:space="preserve"> </v>
      </c>
    </row>
    <row r="82" spans="1:8" s="622" customFormat="1" ht="12.6" customHeight="1">
      <c r="A82" s="620">
        <f t="shared" si="12"/>
        <v>1360</v>
      </c>
      <c r="B82" s="620" t="str">
        <f t="shared" ca="1" si="7"/>
        <v>+ +</v>
      </c>
      <c r="C82" s="621" t="e">
        <f ca="1">IF(B82&lt;&gt;"=",LOOKUP(_xll.ALEA.ENTRE.BORNES(1,10),$G$3:$G48,Type),"-")</f>
        <v>#NAME?</v>
      </c>
      <c r="D82" s="621">
        <f t="shared" ca="1" si="6"/>
        <v>1367</v>
      </c>
      <c r="E82" s="621" t="str">
        <f t="shared" ca="1" si="8"/>
        <v>année</v>
      </c>
      <c r="F82" s="621" t="str">
        <f t="shared" ca="1" si="9"/>
        <v>immigration</v>
      </c>
      <c r="G82" s="621" t="str">
        <f t="shared" ca="1" si="10"/>
        <v>sud</v>
      </c>
      <c r="H82" s="621" t="str">
        <f t="shared" ca="1" si="11"/>
        <v>nobles</v>
      </c>
    </row>
    <row r="83" spans="1:8" s="622" customFormat="1" ht="12.6" customHeight="1">
      <c r="A83" s="620">
        <f t="shared" si="12"/>
        <v>1370</v>
      </c>
      <c r="B83" s="620" t="str">
        <f t="shared" ca="1" si="7"/>
        <v>=</v>
      </c>
      <c r="C83" s="621" t="str">
        <f ca="1">IF(B83&lt;&gt;"=",LOOKUP(_xll.ALEA.ENTRE.BORNES(1,10),$G$3:$G49,Type),"-")</f>
        <v>-</v>
      </c>
      <c r="D83" s="621" t="str">
        <f t="shared" ca="1" si="6"/>
        <v xml:space="preserve"> </v>
      </c>
      <c r="E83" s="621" t="str">
        <f t="shared" ca="1" si="8"/>
        <v xml:space="preserve"> </v>
      </c>
      <c r="F83" s="621" t="str">
        <f t="shared" ca="1" si="9"/>
        <v xml:space="preserve"> </v>
      </c>
      <c r="G83" s="621" t="str">
        <f t="shared" ca="1" si="10"/>
        <v xml:space="preserve"> </v>
      </c>
      <c r="H83" s="621" t="str">
        <f t="shared" ca="1" si="11"/>
        <v xml:space="preserve"> </v>
      </c>
    </row>
    <row r="84" spans="1:8" s="622" customFormat="1" ht="12.6" customHeight="1">
      <c r="A84" s="620">
        <f t="shared" si="12"/>
        <v>1380</v>
      </c>
      <c r="B84" s="620" t="str">
        <f t="shared" ca="1" si="7"/>
        <v>+</v>
      </c>
      <c r="C84" s="621" t="e">
        <f ca="1">IF(B84&lt;&gt;"=",LOOKUP(_xll.ALEA.ENTRE.BORNES(1,10),$G$3:$G50,Type),"-")</f>
        <v>#NAME?</v>
      </c>
      <c r="D84" s="621">
        <f t="shared" ca="1" si="6"/>
        <v>1381</v>
      </c>
      <c r="E84" s="621" t="str">
        <f t="shared" ca="1" si="8"/>
        <v>mois</v>
      </c>
      <c r="F84" s="621" t="str">
        <f t="shared" ca="1" si="9"/>
        <v>récolte</v>
      </c>
      <c r="G84" s="621" t="str">
        <f t="shared" ca="1" si="10"/>
        <v>ouest</v>
      </c>
      <c r="H84" s="621" t="str">
        <f t="shared" ca="1" si="11"/>
        <v>étrangers</v>
      </c>
    </row>
    <row r="85" spans="1:8" s="622" customFormat="1" ht="12.6" customHeight="1">
      <c r="A85" s="620">
        <f t="shared" si="12"/>
        <v>1390</v>
      </c>
      <c r="B85" s="620" t="str">
        <f t="shared" ca="1" si="7"/>
        <v>=</v>
      </c>
      <c r="C85" s="621" t="str">
        <f ca="1">IF(B85&lt;&gt;"=",LOOKUP(_xll.ALEA.ENTRE.BORNES(1,10),$G$3:$G51,Type),"-")</f>
        <v>-</v>
      </c>
      <c r="D85" s="621" t="str">
        <f t="shared" ca="1" si="6"/>
        <v xml:space="preserve"> </v>
      </c>
      <c r="E85" s="621" t="str">
        <f t="shared" ca="1" si="8"/>
        <v xml:space="preserve"> </v>
      </c>
      <c r="F85" s="621" t="str">
        <f t="shared" ca="1" si="9"/>
        <v xml:space="preserve"> </v>
      </c>
      <c r="G85" s="621" t="str">
        <f t="shared" ca="1" si="10"/>
        <v xml:space="preserve"> </v>
      </c>
      <c r="H85" s="621" t="str">
        <f t="shared" ca="1" si="11"/>
        <v xml:space="preserve"> </v>
      </c>
    </row>
    <row r="86" spans="1:8" s="622" customFormat="1" ht="12.6" customHeight="1">
      <c r="A86" s="620">
        <f t="shared" si="12"/>
        <v>1400</v>
      </c>
      <c r="B86" s="620" t="str">
        <f t="shared" ca="1" si="7"/>
        <v>=</v>
      </c>
      <c r="C86" s="621" t="str">
        <f ca="1">IF(B86&lt;&gt;"=",LOOKUP(_xll.ALEA.ENTRE.BORNES(1,10),$G$3:$G52,Type),"-")</f>
        <v>-</v>
      </c>
      <c r="D86" s="621" t="str">
        <f t="shared" ca="1" si="6"/>
        <v xml:space="preserve"> </v>
      </c>
      <c r="E86" s="621" t="str">
        <f t="shared" ca="1" si="8"/>
        <v xml:space="preserve"> </v>
      </c>
      <c r="F86" s="621" t="str">
        <f t="shared" ca="1" si="9"/>
        <v xml:space="preserve"> </v>
      </c>
      <c r="G86" s="621" t="str">
        <f t="shared" ca="1" si="10"/>
        <v xml:space="preserve"> </v>
      </c>
      <c r="H86" s="621" t="str">
        <f t="shared" ca="1" si="11"/>
        <v xml:space="preserve"> </v>
      </c>
    </row>
    <row r="87" spans="1:8" s="622" customFormat="1" ht="12.6" customHeight="1">
      <c r="A87" s="620">
        <f t="shared" si="12"/>
        <v>1410</v>
      </c>
      <c r="B87" s="620" t="str">
        <f t="shared" ca="1" si="7"/>
        <v>-</v>
      </c>
      <c r="C87" s="621" t="e">
        <f ca="1">IF(B87&lt;&gt;"=",LOOKUP(_xll.ALEA.ENTRE.BORNES(1,10),$G$3:$G53,Type),"-")</f>
        <v>#NAME?</v>
      </c>
      <c r="D87" s="621">
        <f t="shared" ca="1" si="6"/>
        <v>1419</v>
      </c>
      <c r="E87" s="621" t="str">
        <f t="shared" ca="1" si="8"/>
        <v>saison</v>
      </c>
      <c r="F87" s="621" t="str">
        <f t="shared" ca="1" si="9"/>
        <v>inquisition</v>
      </c>
      <c r="G87" s="621" t="str">
        <f t="shared" ca="1" si="10"/>
        <v>nord-ouest</v>
      </c>
      <c r="H87" s="621" t="str">
        <f t="shared" ca="1" si="11"/>
        <v>nobles</v>
      </c>
    </row>
    <row r="88" spans="1:8" s="622" customFormat="1" ht="12.6" customHeight="1">
      <c r="A88" s="620">
        <f t="shared" si="12"/>
        <v>1420</v>
      </c>
      <c r="B88" s="620" t="str">
        <f t="shared" ca="1" si="7"/>
        <v>=</v>
      </c>
      <c r="C88" s="621" t="str">
        <f ca="1">IF(B88&lt;&gt;"=",LOOKUP(_xll.ALEA.ENTRE.BORNES(1,10),$G$3:$G54,Type),"-")</f>
        <v>-</v>
      </c>
      <c r="D88" s="621" t="str">
        <f t="shared" ca="1" si="6"/>
        <v xml:space="preserve"> </v>
      </c>
      <c r="E88" s="621" t="str">
        <f t="shared" ca="1" si="8"/>
        <v xml:space="preserve"> </v>
      </c>
      <c r="F88" s="621" t="str">
        <f t="shared" ca="1" si="9"/>
        <v xml:space="preserve"> </v>
      </c>
      <c r="G88" s="621" t="str">
        <f t="shared" ca="1" si="10"/>
        <v xml:space="preserve"> </v>
      </c>
      <c r="H88" s="621" t="str">
        <f t="shared" ca="1" si="11"/>
        <v xml:space="preserve"> </v>
      </c>
    </row>
    <row r="89" spans="1:8" s="622" customFormat="1" ht="12.6" customHeight="1">
      <c r="A89" s="620">
        <f t="shared" si="12"/>
        <v>1430</v>
      </c>
      <c r="B89" s="620" t="str">
        <f t="shared" ca="1" si="7"/>
        <v>+++</v>
      </c>
      <c r="C89" s="621" t="e">
        <f ca="1">IF(B89&lt;&gt;"=",LOOKUP(_xll.ALEA.ENTRE.BORNES(1,10),$G$3:$G55,Type),"-")</f>
        <v>#NAME?</v>
      </c>
      <c r="D89" s="621">
        <f t="shared" ca="1" si="6"/>
        <v>1438</v>
      </c>
      <c r="E89" s="621" t="str">
        <f t="shared" ca="1" si="8"/>
        <v>saison</v>
      </c>
      <c r="F89" s="621" t="str">
        <f t="shared" ca="1" si="9"/>
        <v>complot</v>
      </c>
      <c r="G89" s="621" t="str">
        <f t="shared" ca="1" si="10"/>
        <v>nord</v>
      </c>
      <c r="H89" s="621" t="str">
        <f t="shared" ca="1" si="11"/>
        <v>marchands</v>
      </c>
    </row>
    <row r="90" spans="1:8" s="622" customFormat="1" ht="12.6" customHeight="1">
      <c r="A90" s="620">
        <f t="shared" si="12"/>
        <v>1440</v>
      </c>
      <c r="B90" s="620" t="str">
        <f t="shared" ca="1" si="7"/>
        <v>-</v>
      </c>
      <c r="C90" s="621" t="e">
        <f ca="1">IF(B90&lt;&gt;"=",LOOKUP(_xll.ALEA.ENTRE.BORNES(1,10),$G$3:$G56,Type),"-")</f>
        <v>#NAME?</v>
      </c>
      <c r="D90" s="621">
        <f t="shared" ca="1" si="6"/>
        <v>1447</v>
      </c>
      <c r="E90" s="621" t="str">
        <f t="shared" ca="1" si="8"/>
        <v>année</v>
      </c>
      <c r="F90" s="621" t="str">
        <f t="shared" ca="1" si="9"/>
        <v>décret</v>
      </c>
      <c r="G90" s="621" t="str">
        <f t="shared" ca="1" si="10"/>
        <v>nord</v>
      </c>
      <c r="H90" s="621" t="str">
        <f t="shared" ca="1" si="11"/>
        <v>guerriers</v>
      </c>
    </row>
    <row r="91" spans="1:8" s="622" customFormat="1" ht="12.6" customHeight="1">
      <c r="A91" s="620">
        <f t="shared" si="12"/>
        <v>1450</v>
      </c>
      <c r="B91" s="620" t="str">
        <f t="shared" ca="1" si="7"/>
        <v>=</v>
      </c>
      <c r="C91" s="621" t="str">
        <f ca="1">IF(B91&lt;&gt;"=",LOOKUP(_xll.ALEA.ENTRE.BORNES(1,10),$G$3:$G57,Type),"-")</f>
        <v>-</v>
      </c>
      <c r="D91" s="621" t="str">
        <f t="shared" ca="1" si="6"/>
        <v xml:space="preserve"> </v>
      </c>
      <c r="E91" s="621" t="str">
        <f t="shared" ca="1" si="8"/>
        <v xml:space="preserve"> </v>
      </c>
      <c r="F91" s="621" t="str">
        <f t="shared" ca="1" si="9"/>
        <v xml:space="preserve"> </v>
      </c>
      <c r="G91" s="621" t="str">
        <f t="shared" ca="1" si="10"/>
        <v xml:space="preserve"> </v>
      </c>
      <c r="H91" s="621" t="str">
        <f t="shared" ca="1" si="11"/>
        <v xml:space="preserve"> </v>
      </c>
    </row>
    <row r="92" spans="1:8" s="622" customFormat="1" ht="12.6" customHeight="1">
      <c r="A92" s="620">
        <f t="shared" si="12"/>
        <v>1460</v>
      </c>
      <c r="B92" s="620" t="str">
        <f t="shared" ca="1" si="7"/>
        <v>=</v>
      </c>
      <c r="C92" s="621" t="str">
        <f ca="1">IF(B92&lt;&gt;"=",LOOKUP(_xll.ALEA.ENTRE.BORNES(1,10),$G$3:$G58,Type),"-")</f>
        <v>-</v>
      </c>
      <c r="D92" s="621" t="str">
        <f t="shared" ca="1" si="6"/>
        <v xml:space="preserve"> </v>
      </c>
      <c r="E92" s="621" t="str">
        <f t="shared" ca="1" si="8"/>
        <v xml:space="preserve"> </v>
      </c>
      <c r="F92" s="621" t="str">
        <f t="shared" ca="1" si="9"/>
        <v xml:space="preserve"> </v>
      </c>
      <c r="G92" s="621" t="str">
        <f t="shared" ca="1" si="10"/>
        <v xml:space="preserve"> </v>
      </c>
      <c r="H92" s="621" t="str">
        <f t="shared" ca="1" si="11"/>
        <v xml:space="preserve"> </v>
      </c>
    </row>
    <row r="93" spans="1:8" s="622" customFormat="1" ht="12.6" customHeight="1">
      <c r="A93" s="620">
        <f t="shared" si="12"/>
        <v>1470</v>
      </c>
      <c r="B93" s="620" t="str">
        <f t="shared" ca="1" si="7"/>
        <v>=</v>
      </c>
      <c r="C93" s="621" t="str">
        <f ca="1">IF(B93&lt;&gt;"=",LOOKUP(_xll.ALEA.ENTRE.BORNES(1,10),$G$3:$G59,Type),"-")</f>
        <v>-</v>
      </c>
      <c r="D93" s="621" t="str">
        <f t="shared" ca="1" si="6"/>
        <v xml:space="preserve"> </v>
      </c>
      <c r="E93" s="621" t="str">
        <f t="shared" ca="1" si="8"/>
        <v xml:space="preserve"> </v>
      </c>
      <c r="F93" s="621" t="str">
        <f t="shared" ca="1" si="9"/>
        <v xml:space="preserve"> </v>
      </c>
      <c r="G93" s="621" t="str">
        <f t="shared" ca="1" si="10"/>
        <v xml:space="preserve"> </v>
      </c>
      <c r="H93" s="621" t="str">
        <f t="shared" ca="1" si="11"/>
        <v xml:space="preserve"> </v>
      </c>
    </row>
    <row r="94" spans="1:8" s="622" customFormat="1" ht="12.6" customHeight="1">
      <c r="A94" s="620">
        <f t="shared" si="12"/>
        <v>1480</v>
      </c>
      <c r="B94" s="620" t="str">
        <f t="shared" ca="1" si="7"/>
        <v>+ +</v>
      </c>
      <c r="C94" s="621" t="e">
        <f ca="1">IF(B94&lt;&gt;"=",LOOKUP(_xll.ALEA.ENTRE.BORNES(1,10),$G$3:$G60,Type),"-")</f>
        <v>#NAME?</v>
      </c>
      <c r="D94" s="621">
        <f t="shared" ca="1" si="6"/>
        <v>1485</v>
      </c>
      <c r="E94" s="621" t="str">
        <f t="shared" ca="1" si="8"/>
        <v>jour</v>
      </c>
      <c r="F94" s="621" t="str">
        <f t="shared" ca="1" si="9"/>
        <v>accord</v>
      </c>
      <c r="G94" s="621" t="str">
        <f t="shared" ca="1" si="10"/>
        <v>sud-ouest</v>
      </c>
      <c r="H94" s="621" t="str">
        <f t="shared" ca="1" si="11"/>
        <v>guerriers</v>
      </c>
    </row>
    <row r="95" spans="1:8" s="622" customFormat="1" ht="12.6" customHeight="1">
      <c r="A95" s="620">
        <f t="shared" si="12"/>
        <v>1490</v>
      </c>
      <c r="B95" s="620" t="str">
        <f t="shared" ca="1" si="7"/>
        <v>=</v>
      </c>
      <c r="C95" s="621" t="str">
        <f ca="1">IF(B95&lt;&gt;"=",LOOKUP(_xll.ALEA.ENTRE.BORNES(1,10),$G$3:$G61,Type),"-")</f>
        <v>-</v>
      </c>
      <c r="D95" s="621" t="str">
        <f t="shared" ca="1" si="6"/>
        <v xml:space="preserve"> </v>
      </c>
      <c r="E95" s="621" t="str">
        <f t="shared" ca="1" si="8"/>
        <v xml:space="preserve"> </v>
      </c>
      <c r="F95" s="621" t="str">
        <f t="shared" ca="1" si="9"/>
        <v xml:space="preserve"> </v>
      </c>
      <c r="G95" s="621" t="str">
        <f t="shared" ca="1" si="10"/>
        <v xml:space="preserve"> </v>
      </c>
      <c r="H95" s="621" t="str">
        <f t="shared" ca="1" si="11"/>
        <v xml:space="preserve"> </v>
      </c>
    </row>
    <row r="96" spans="1:8" s="622" customFormat="1" ht="12.6" customHeight="1">
      <c r="A96" s="620">
        <f t="shared" si="12"/>
        <v>1500</v>
      </c>
      <c r="B96" s="620" t="str">
        <f t="shared" ca="1" si="7"/>
        <v>=</v>
      </c>
      <c r="C96" s="621" t="str">
        <f ca="1">IF(B96&lt;&gt;"=",LOOKUP(_xll.ALEA.ENTRE.BORNES(1,10),$G$3:$G62,Type),"-")</f>
        <v>-</v>
      </c>
      <c r="D96" s="621" t="str">
        <f t="shared" ca="1" si="6"/>
        <v xml:space="preserve"> </v>
      </c>
      <c r="E96" s="621" t="str">
        <f t="shared" ca="1" si="8"/>
        <v xml:space="preserve"> </v>
      </c>
      <c r="F96" s="621" t="str">
        <f t="shared" ca="1" si="9"/>
        <v xml:space="preserve"> </v>
      </c>
      <c r="G96" s="621" t="str">
        <f t="shared" ca="1" si="10"/>
        <v xml:space="preserve"> </v>
      </c>
      <c r="H96" s="621" t="str">
        <f t="shared" ca="1" si="11"/>
        <v xml:space="preserve"> </v>
      </c>
    </row>
  </sheetData>
  <pageMargins left="0.25" right="0.25" top="0.75" bottom="0.75" header="0.3" footer="0.3"/>
  <pageSetup paperSize="9" orientation="portrait" horizontalDpi="300" verticalDpi="300" r:id="rId1"/>
  <headerFooter>
    <oddFooter>&amp;C_x000D_&amp;1#&amp;"Arial"&amp;9&amp;K000000 Internal</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2"/>
  <sheetViews>
    <sheetView topLeftCell="A45" workbookViewId="0">
      <selection activeCell="A45" sqref="A45"/>
    </sheetView>
  </sheetViews>
  <sheetFormatPr baseColWidth="10" defaultColWidth="8.88671875" defaultRowHeight="12.75" customHeight="1"/>
  <cols>
    <col min="1" max="1" width="3" style="3" customWidth="1"/>
    <col min="2" max="2" width="3.33203125" style="2" customWidth="1"/>
    <col min="3" max="3" width="7.33203125" style="1" customWidth="1"/>
    <col min="4" max="4" width="14.44140625" style="1" customWidth="1"/>
    <col min="5" max="5" width="38.6640625" style="1" customWidth="1"/>
    <col min="6" max="6" width="0" style="1" hidden="1" customWidth="1"/>
    <col min="7" max="7" width="4.109375" style="1" hidden="1" customWidth="1"/>
    <col min="8" max="8" width="23.88671875" style="1" hidden="1" customWidth="1"/>
    <col min="9" max="9" width="10.33203125" style="1" customWidth="1"/>
    <col min="10" max="10" width="13.5546875" style="1" customWidth="1"/>
    <col min="11" max="11" width="10.109375" style="1" bestFit="1" customWidth="1"/>
    <col min="12" max="12" width="13.5546875" style="1" customWidth="1"/>
    <col min="13" max="13" width="13.5546875" style="1" bestFit="1" customWidth="1"/>
    <col min="14" max="14" width="16.109375" style="1" bestFit="1" customWidth="1"/>
    <col min="15" max="15" width="16.6640625" style="1" bestFit="1" customWidth="1"/>
    <col min="16" max="16" width="18.5546875" style="1" bestFit="1" customWidth="1"/>
    <col min="17" max="17" width="19.109375" style="1" bestFit="1" customWidth="1"/>
    <col min="18" max="18" width="18.88671875" style="1" bestFit="1" customWidth="1"/>
    <col min="19" max="16384" width="8.88671875" style="1"/>
  </cols>
  <sheetData>
    <row r="1" spans="1:17" ht="12.75" hidden="1" customHeight="1" thickBot="1"/>
    <row r="2" spans="1:17" ht="12.75" hidden="1" customHeight="1" thickBot="1">
      <c r="A2" s="3" t="s">
        <v>180</v>
      </c>
      <c r="B2" s="30" t="s">
        <v>165</v>
      </c>
      <c r="C2" s="28" t="s">
        <v>153</v>
      </c>
      <c r="D2" s="28" t="s">
        <v>142</v>
      </c>
      <c r="E2" s="29" t="s">
        <v>136</v>
      </c>
      <c r="F2" s="28" t="s">
        <v>129</v>
      </c>
      <c r="G2" s="27" t="s">
        <v>178</v>
      </c>
      <c r="H2" s="9" t="s">
        <v>179</v>
      </c>
      <c r="I2" s="27" t="s">
        <v>2342</v>
      </c>
      <c r="J2" s="27"/>
      <c r="K2" s="27" t="s">
        <v>178</v>
      </c>
      <c r="L2" s="27" t="s">
        <v>1</v>
      </c>
      <c r="M2" s="623" t="s">
        <v>2515</v>
      </c>
      <c r="N2" s="142" t="s">
        <v>2516</v>
      </c>
      <c r="O2" s="142" t="s">
        <v>90</v>
      </c>
      <c r="P2" s="624" t="s">
        <v>128</v>
      </c>
      <c r="Q2" s="142" t="s">
        <v>264</v>
      </c>
    </row>
    <row r="3" spans="1:17" ht="12.75" hidden="1" customHeight="1">
      <c r="A3" s="3">
        <v>1</v>
      </c>
      <c r="B3" s="26" t="s">
        <v>158</v>
      </c>
      <c r="C3" s="24" t="s">
        <v>177</v>
      </c>
      <c r="D3" s="24" t="s">
        <v>176</v>
      </c>
      <c r="E3" s="25" t="s">
        <v>175</v>
      </c>
      <c r="F3" s="24" t="s">
        <v>174</v>
      </c>
      <c r="G3" s="1">
        <v>1</v>
      </c>
      <c r="H3" s="22" t="s">
        <v>173</v>
      </c>
      <c r="I3" s="22" t="s">
        <v>2515</v>
      </c>
      <c r="J3" s="22"/>
      <c r="K3" s="1">
        <v>1</v>
      </c>
      <c r="L3" s="1" t="s">
        <v>165</v>
      </c>
      <c r="M3" s="625" t="s">
        <v>2239</v>
      </c>
      <c r="N3" s="626" t="s">
        <v>611</v>
      </c>
      <c r="O3" s="626" t="s">
        <v>1526</v>
      </c>
      <c r="P3" s="627" t="s">
        <v>2240</v>
      </c>
      <c r="Q3" s="628" t="s">
        <v>2241</v>
      </c>
    </row>
    <row r="4" spans="1:17" ht="12.75" hidden="1" customHeight="1">
      <c r="A4" s="3">
        <v>5</v>
      </c>
      <c r="B4" s="15" t="s">
        <v>172</v>
      </c>
      <c r="C4" s="13" t="s">
        <v>157</v>
      </c>
      <c r="D4" s="13" t="s">
        <v>171</v>
      </c>
      <c r="E4" s="14" t="s">
        <v>170</v>
      </c>
      <c r="F4" s="13" t="s">
        <v>169</v>
      </c>
      <c r="G4" s="1">
        <v>2</v>
      </c>
      <c r="H4" s="21" t="s">
        <v>166</v>
      </c>
      <c r="I4" s="22" t="s">
        <v>2515</v>
      </c>
      <c r="J4" s="22"/>
      <c r="K4" s="1">
        <v>4</v>
      </c>
      <c r="L4" s="1" t="s">
        <v>165</v>
      </c>
      <c r="M4" s="629" t="s">
        <v>2242</v>
      </c>
      <c r="N4" s="630" t="s">
        <v>1492</v>
      </c>
      <c r="O4" s="630" t="s">
        <v>566</v>
      </c>
      <c r="P4" s="631" t="s">
        <v>1759</v>
      </c>
      <c r="Q4" s="632" t="s">
        <v>2243</v>
      </c>
    </row>
    <row r="5" spans="1:17" ht="12.75" hidden="1" customHeight="1">
      <c r="A5" s="3">
        <v>9</v>
      </c>
      <c r="B5" s="23" t="s">
        <v>168</v>
      </c>
      <c r="C5" s="9" t="s">
        <v>139</v>
      </c>
      <c r="D5" s="9" t="s">
        <v>8</v>
      </c>
      <c r="E5" s="16" t="s">
        <v>28</v>
      </c>
      <c r="F5" s="9" t="s">
        <v>167</v>
      </c>
      <c r="G5" s="1">
        <v>3</v>
      </c>
      <c r="H5" s="22" t="s">
        <v>166</v>
      </c>
      <c r="I5" s="22" t="s">
        <v>2515</v>
      </c>
      <c r="J5" s="22"/>
      <c r="K5" s="1">
        <v>7</v>
      </c>
      <c r="L5" s="1" t="s">
        <v>165</v>
      </c>
      <c r="M5" s="633" t="s">
        <v>2244</v>
      </c>
      <c r="N5" s="634" t="s">
        <v>1420</v>
      </c>
      <c r="O5" s="634" t="s">
        <v>1494</v>
      </c>
      <c r="P5" s="635" t="s">
        <v>1505</v>
      </c>
      <c r="Q5" s="636" t="s">
        <v>691</v>
      </c>
    </row>
    <row r="6" spans="1:17" ht="12.75" hidden="1" customHeight="1">
      <c r="A6" s="3">
        <v>13</v>
      </c>
      <c r="B6" s="15" t="s">
        <v>45</v>
      </c>
      <c r="C6" s="13" t="s">
        <v>164</v>
      </c>
      <c r="D6" s="13" t="s">
        <v>65</v>
      </c>
      <c r="E6" s="14" t="s">
        <v>163</v>
      </c>
      <c r="F6" s="13" t="s">
        <v>162</v>
      </c>
      <c r="G6" s="1">
        <v>4</v>
      </c>
      <c r="H6" s="21" t="s">
        <v>147</v>
      </c>
      <c r="I6" s="21" t="s">
        <v>2516</v>
      </c>
      <c r="J6" s="21"/>
      <c r="K6" s="1">
        <v>9</v>
      </c>
      <c r="L6" s="1" t="s">
        <v>153</v>
      </c>
      <c r="M6" s="629" t="s">
        <v>2245</v>
      </c>
      <c r="N6" s="630" t="s">
        <v>2246</v>
      </c>
      <c r="O6" s="630" t="s">
        <v>1484</v>
      </c>
      <c r="P6" s="631" t="s">
        <v>2247</v>
      </c>
      <c r="Q6" s="632" t="s">
        <v>1854</v>
      </c>
    </row>
    <row r="7" spans="1:17" ht="12.75" hidden="1" customHeight="1">
      <c r="A7" s="3">
        <v>17</v>
      </c>
      <c r="B7" s="17" t="s">
        <v>161</v>
      </c>
      <c r="C7" s="9" t="s">
        <v>160</v>
      </c>
      <c r="D7" s="9" t="s">
        <v>159</v>
      </c>
      <c r="E7" s="16" t="s">
        <v>158</v>
      </c>
      <c r="F7" s="9" t="s">
        <v>87</v>
      </c>
      <c r="G7" s="1">
        <v>5</v>
      </c>
      <c r="H7" s="22" t="s">
        <v>147</v>
      </c>
      <c r="I7" s="21" t="s">
        <v>2516</v>
      </c>
      <c r="J7" s="21"/>
      <c r="K7" s="1">
        <v>10</v>
      </c>
      <c r="L7" s="1" t="s">
        <v>153</v>
      </c>
      <c r="M7" s="637" t="s">
        <v>2248</v>
      </c>
      <c r="N7" s="634" t="s">
        <v>2249</v>
      </c>
      <c r="O7" s="634" t="s">
        <v>2250</v>
      </c>
      <c r="P7" s="638" t="s">
        <v>2251</v>
      </c>
      <c r="Q7" s="639" t="s">
        <v>2252</v>
      </c>
    </row>
    <row r="8" spans="1:17" ht="12.75" hidden="1" customHeight="1">
      <c r="A8" s="3">
        <v>21</v>
      </c>
      <c r="B8" s="15" t="s">
        <v>157</v>
      </c>
      <c r="C8" s="13" t="s">
        <v>156</v>
      </c>
      <c r="D8" s="13" t="s">
        <v>155</v>
      </c>
      <c r="E8" s="14" t="s">
        <v>101</v>
      </c>
      <c r="F8" s="13" t="s">
        <v>154</v>
      </c>
      <c r="G8" s="1">
        <v>6</v>
      </c>
      <c r="H8" s="21" t="s">
        <v>147</v>
      </c>
      <c r="I8" s="21" t="s">
        <v>90</v>
      </c>
      <c r="J8" s="21"/>
      <c r="L8" s="1" t="s">
        <v>153</v>
      </c>
      <c r="M8" s="629" t="s">
        <v>2253</v>
      </c>
      <c r="N8" s="630" t="s">
        <v>1493</v>
      </c>
      <c r="O8" s="630" t="s">
        <v>1434</v>
      </c>
      <c r="P8" s="631" t="s">
        <v>2254</v>
      </c>
      <c r="Q8" s="632" t="s">
        <v>2255</v>
      </c>
    </row>
    <row r="9" spans="1:17" ht="12.75" hidden="1" customHeight="1">
      <c r="A9" s="3">
        <v>25</v>
      </c>
      <c r="B9" s="17" t="s">
        <v>152</v>
      </c>
      <c r="C9" s="9" t="s">
        <v>151</v>
      </c>
      <c r="D9" s="9" t="s">
        <v>150</v>
      </c>
      <c r="E9" s="16" t="s">
        <v>149</v>
      </c>
      <c r="F9" s="9" t="s">
        <v>148</v>
      </c>
      <c r="G9" s="1">
        <v>7</v>
      </c>
      <c r="H9" s="22" t="s">
        <v>147</v>
      </c>
      <c r="I9" s="21" t="s">
        <v>90</v>
      </c>
      <c r="J9" s="21"/>
      <c r="L9" s="1" t="s">
        <v>142</v>
      </c>
      <c r="M9" s="637" t="s">
        <v>2256</v>
      </c>
      <c r="N9" s="634" t="s">
        <v>574</v>
      </c>
      <c r="O9" s="634" t="s">
        <v>599</v>
      </c>
      <c r="P9" s="635" t="s">
        <v>2257</v>
      </c>
      <c r="Q9" s="639" t="s">
        <v>2258</v>
      </c>
    </row>
    <row r="10" spans="1:17" ht="12.75" hidden="1" customHeight="1">
      <c r="A10" s="3">
        <v>29</v>
      </c>
      <c r="B10" s="15" t="s">
        <v>146</v>
      </c>
      <c r="C10" s="13" t="s">
        <v>145</v>
      </c>
      <c r="D10" s="13" t="s">
        <v>144</v>
      </c>
      <c r="E10" s="14" t="s">
        <v>143</v>
      </c>
      <c r="F10" s="13" t="s">
        <v>105</v>
      </c>
      <c r="G10" s="1">
        <v>8</v>
      </c>
      <c r="H10" s="21" t="s">
        <v>137</v>
      </c>
      <c r="I10" s="21" t="s">
        <v>128</v>
      </c>
      <c r="J10" s="21"/>
      <c r="L10" s="1" t="s">
        <v>142</v>
      </c>
      <c r="M10" s="629" t="s">
        <v>2259</v>
      </c>
      <c r="N10" s="630" t="s">
        <v>613</v>
      </c>
      <c r="O10" s="630" t="s">
        <v>1410</v>
      </c>
      <c r="P10" s="631" t="s">
        <v>1495</v>
      </c>
      <c r="Q10" s="640" t="s">
        <v>2260</v>
      </c>
    </row>
    <row r="11" spans="1:17" ht="12.75" hidden="1" customHeight="1">
      <c r="A11" s="3">
        <v>33</v>
      </c>
      <c r="B11" s="17" t="s">
        <v>141</v>
      </c>
      <c r="C11" s="9" t="s">
        <v>48</v>
      </c>
      <c r="D11" s="9" t="s">
        <v>140</v>
      </c>
      <c r="E11" s="16" t="s">
        <v>139</v>
      </c>
      <c r="F11" s="9" t="s">
        <v>138</v>
      </c>
      <c r="G11" s="1">
        <v>9</v>
      </c>
      <c r="H11" s="22" t="s">
        <v>137</v>
      </c>
      <c r="I11" s="22" t="s">
        <v>128</v>
      </c>
      <c r="J11" s="22"/>
      <c r="L11" s="1" t="s">
        <v>136</v>
      </c>
      <c r="M11" s="637" t="s">
        <v>2261</v>
      </c>
      <c r="N11" s="634" t="s">
        <v>1385</v>
      </c>
      <c r="O11" s="634" t="s">
        <v>1370</v>
      </c>
      <c r="P11" s="635" t="s">
        <v>1756</v>
      </c>
      <c r="Q11" s="639" t="s">
        <v>2262</v>
      </c>
    </row>
    <row r="12" spans="1:17" ht="12.75" hidden="1" customHeight="1" thickBot="1">
      <c r="A12" s="3">
        <v>37</v>
      </c>
      <c r="B12" s="20" t="s">
        <v>135</v>
      </c>
      <c r="C12" s="18" t="s">
        <v>134</v>
      </c>
      <c r="D12" s="18" t="s">
        <v>133</v>
      </c>
      <c r="E12" s="19" t="s">
        <v>132</v>
      </c>
      <c r="F12" s="18" t="s">
        <v>131</v>
      </c>
      <c r="G12" s="1">
        <v>10</v>
      </c>
      <c r="H12" s="21" t="s">
        <v>130</v>
      </c>
      <c r="I12" s="21" t="s">
        <v>264</v>
      </c>
      <c r="J12" s="21"/>
      <c r="L12" s="1" t="s">
        <v>129</v>
      </c>
      <c r="M12" s="641" t="s">
        <v>2263</v>
      </c>
      <c r="N12" s="642" t="s">
        <v>1463</v>
      </c>
      <c r="O12" s="642" t="s">
        <v>1456</v>
      </c>
      <c r="P12" s="643" t="s">
        <v>2264</v>
      </c>
      <c r="Q12" s="644" t="s">
        <v>2265</v>
      </c>
    </row>
    <row r="13" spans="1:17" ht="12.75" hidden="1" customHeight="1">
      <c r="A13" s="3">
        <v>41</v>
      </c>
      <c r="B13" s="17" t="s">
        <v>128</v>
      </c>
      <c r="C13" s="9" t="s">
        <v>127</v>
      </c>
      <c r="D13" s="9" t="s">
        <v>126</v>
      </c>
      <c r="E13" s="16" t="s">
        <v>125</v>
      </c>
      <c r="F13" s="9" t="s">
        <v>124</v>
      </c>
      <c r="M13" s="637" t="s">
        <v>2266</v>
      </c>
      <c r="N13" s="634" t="s">
        <v>1341</v>
      </c>
      <c r="O13" s="634" t="s">
        <v>1445</v>
      </c>
      <c r="P13" s="635" t="s">
        <v>693</v>
      </c>
      <c r="Q13" s="639" t="s">
        <v>2267</v>
      </c>
    </row>
    <row r="14" spans="1:17" ht="12.75" hidden="1" customHeight="1">
      <c r="A14" s="3">
        <v>44</v>
      </c>
      <c r="B14" s="15" t="s">
        <v>34</v>
      </c>
      <c r="C14" s="13" t="s">
        <v>42</v>
      </c>
      <c r="D14" s="13" t="s">
        <v>123</v>
      </c>
      <c r="E14" s="14" t="s">
        <v>122</v>
      </c>
      <c r="F14" s="13" t="s">
        <v>121</v>
      </c>
      <c r="M14" s="629" t="s">
        <v>2268</v>
      </c>
      <c r="N14" s="630" t="s">
        <v>1330</v>
      </c>
      <c r="O14" s="630" t="s">
        <v>603</v>
      </c>
      <c r="P14" s="631" t="s">
        <v>2269</v>
      </c>
      <c r="Q14" s="632" t="s">
        <v>2270</v>
      </c>
    </row>
    <row r="15" spans="1:17" ht="12.75" hidden="1" customHeight="1">
      <c r="A15" s="3">
        <v>47</v>
      </c>
      <c r="B15" s="17" t="s">
        <v>120</v>
      </c>
      <c r="C15" s="9" t="s">
        <v>117</v>
      </c>
      <c r="D15" s="9" t="s">
        <v>119</v>
      </c>
      <c r="E15" s="16" t="s">
        <v>118</v>
      </c>
      <c r="F15" s="9" t="s">
        <v>117</v>
      </c>
      <c r="M15" s="637" t="s">
        <v>2271</v>
      </c>
      <c r="N15" s="634" t="s">
        <v>1515</v>
      </c>
      <c r="O15" s="634" t="s">
        <v>1473</v>
      </c>
      <c r="P15" s="635" t="s">
        <v>2272</v>
      </c>
      <c r="Q15" s="639" t="s">
        <v>2273</v>
      </c>
    </row>
    <row r="16" spans="1:17" ht="12.75" hidden="1" customHeight="1">
      <c r="A16" s="3">
        <v>50</v>
      </c>
      <c r="B16" s="15" t="s">
        <v>116</v>
      </c>
      <c r="C16" s="13" t="s">
        <v>115</v>
      </c>
      <c r="D16" s="13" t="s">
        <v>68</v>
      </c>
      <c r="E16" s="14" t="s">
        <v>94</v>
      </c>
      <c r="F16" s="13" t="s">
        <v>70</v>
      </c>
      <c r="M16" s="629" t="s">
        <v>2274</v>
      </c>
      <c r="N16" s="630" t="s">
        <v>1462</v>
      </c>
      <c r="O16" s="630" t="s">
        <v>1525</v>
      </c>
      <c r="P16" s="631" t="s">
        <v>2275</v>
      </c>
      <c r="Q16" s="632" t="s">
        <v>2252</v>
      </c>
    </row>
    <row r="17" spans="1:17" ht="12.75" hidden="1" customHeight="1">
      <c r="A17" s="3">
        <v>53</v>
      </c>
      <c r="B17" s="17" t="s">
        <v>114</v>
      </c>
      <c r="C17" s="9" t="s">
        <v>113</v>
      </c>
      <c r="D17" s="9" t="s">
        <v>112</v>
      </c>
      <c r="E17" s="16" t="s">
        <v>111</v>
      </c>
      <c r="F17" s="9" t="s">
        <v>110</v>
      </c>
      <c r="M17" s="637" t="s">
        <v>2276</v>
      </c>
      <c r="N17" s="634" t="s">
        <v>1397</v>
      </c>
      <c r="O17" s="634" t="s">
        <v>1384</v>
      </c>
      <c r="P17" s="635" t="s">
        <v>2277</v>
      </c>
      <c r="Q17" s="639" t="s">
        <v>2255</v>
      </c>
    </row>
    <row r="18" spans="1:17" ht="12.75" hidden="1" customHeight="1">
      <c r="A18" s="3">
        <v>56</v>
      </c>
      <c r="B18" s="15" t="s">
        <v>8</v>
      </c>
      <c r="C18" s="13" t="s">
        <v>109</v>
      </c>
      <c r="D18" s="13" t="s">
        <v>108</v>
      </c>
      <c r="E18" s="14" t="s">
        <v>107</v>
      </c>
      <c r="F18" s="13" t="s">
        <v>106</v>
      </c>
      <c r="M18" s="629" t="s">
        <v>2278</v>
      </c>
      <c r="N18" s="630" t="s">
        <v>1455</v>
      </c>
      <c r="O18" s="630" t="s">
        <v>2279</v>
      </c>
      <c r="P18" s="631" t="s">
        <v>2280</v>
      </c>
      <c r="Q18" s="632" t="s">
        <v>2258</v>
      </c>
    </row>
    <row r="19" spans="1:17" ht="12.75" hidden="1" customHeight="1">
      <c r="A19" s="3">
        <v>59</v>
      </c>
      <c r="B19" s="17" t="s">
        <v>105</v>
      </c>
      <c r="C19" s="9" t="s">
        <v>104</v>
      </c>
      <c r="D19" s="9" t="s">
        <v>103</v>
      </c>
      <c r="E19" s="16" t="s">
        <v>102</v>
      </c>
      <c r="F19" s="9" t="s">
        <v>101</v>
      </c>
      <c r="M19" s="637" t="s">
        <v>2281</v>
      </c>
      <c r="N19" s="634" t="s">
        <v>1355</v>
      </c>
      <c r="O19" s="634" t="s">
        <v>1483</v>
      </c>
      <c r="P19" s="635" t="s">
        <v>2282</v>
      </c>
      <c r="Q19" s="639" t="s">
        <v>2283</v>
      </c>
    </row>
    <row r="20" spans="1:17" ht="12.75" hidden="1" customHeight="1">
      <c r="A20" s="3">
        <v>62</v>
      </c>
      <c r="B20" s="15" t="s">
        <v>100</v>
      </c>
      <c r="C20" s="13" t="s">
        <v>99</v>
      </c>
      <c r="D20" s="13" t="s">
        <v>98</v>
      </c>
      <c r="E20" s="14" t="s">
        <v>97</v>
      </c>
      <c r="F20" s="13" t="s">
        <v>96</v>
      </c>
      <c r="M20" s="629" t="s">
        <v>2284</v>
      </c>
      <c r="N20" s="630" t="s">
        <v>1356</v>
      </c>
      <c r="O20" s="630" t="s">
        <v>1457</v>
      </c>
      <c r="P20" s="631" t="s">
        <v>2285</v>
      </c>
      <c r="Q20" s="632" t="s">
        <v>2265</v>
      </c>
    </row>
    <row r="21" spans="1:17" ht="12.75" hidden="1" customHeight="1">
      <c r="A21" s="3">
        <v>65</v>
      </c>
      <c r="B21" s="17" t="s">
        <v>95</v>
      </c>
      <c r="C21" s="9" t="s">
        <v>94</v>
      </c>
      <c r="D21" s="9" t="s">
        <v>93</v>
      </c>
      <c r="E21" s="16" t="s">
        <v>92</v>
      </c>
      <c r="F21" s="9" t="s">
        <v>91</v>
      </c>
      <c r="M21" s="637" t="s">
        <v>2286</v>
      </c>
      <c r="N21" s="634" t="s">
        <v>1491</v>
      </c>
      <c r="O21" s="634" t="s">
        <v>1446</v>
      </c>
      <c r="P21" s="635" t="s">
        <v>2287</v>
      </c>
      <c r="Q21" s="636" t="s">
        <v>2288</v>
      </c>
    </row>
    <row r="22" spans="1:17" ht="12.75" hidden="1" customHeight="1" thickBot="1">
      <c r="A22" s="3">
        <v>68</v>
      </c>
      <c r="B22" s="20" t="s">
        <v>90</v>
      </c>
      <c r="C22" s="18" t="s">
        <v>89</v>
      </c>
      <c r="D22" s="18" t="s">
        <v>88</v>
      </c>
      <c r="E22" s="19" t="s">
        <v>87</v>
      </c>
      <c r="F22" s="18" t="s">
        <v>86</v>
      </c>
      <c r="M22" s="641" t="s">
        <v>2289</v>
      </c>
      <c r="N22" s="642" t="s">
        <v>1535</v>
      </c>
      <c r="O22" s="642" t="s">
        <v>1357</v>
      </c>
      <c r="P22" s="645" t="s">
        <v>694</v>
      </c>
      <c r="Q22" s="644" t="s">
        <v>2290</v>
      </c>
    </row>
    <row r="23" spans="1:17" ht="12.75" hidden="1" customHeight="1">
      <c r="A23" s="3">
        <v>71</v>
      </c>
      <c r="B23" s="17" t="s">
        <v>85</v>
      </c>
      <c r="C23" s="9" t="s">
        <v>84</v>
      </c>
      <c r="D23" s="9" t="s">
        <v>83</v>
      </c>
      <c r="E23" s="16" t="s">
        <v>68</v>
      </c>
      <c r="F23" s="9" t="s">
        <v>82</v>
      </c>
      <c r="M23" s="637" t="s">
        <v>2266</v>
      </c>
      <c r="N23" s="634" t="s">
        <v>1383</v>
      </c>
      <c r="O23" s="634" t="s">
        <v>1513</v>
      </c>
      <c r="P23" s="635" t="s">
        <v>653</v>
      </c>
      <c r="Q23" s="639" t="s">
        <v>2291</v>
      </c>
    </row>
    <row r="24" spans="1:17" ht="12.75" hidden="1" customHeight="1">
      <c r="A24" s="3">
        <v>73</v>
      </c>
      <c r="B24" s="15" t="s">
        <v>81</v>
      </c>
      <c r="C24" s="13" t="s">
        <v>16</v>
      </c>
      <c r="D24" s="13" t="s">
        <v>80</v>
      </c>
      <c r="E24" s="14" t="s">
        <v>79</v>
      </c>
      <c r="F24" s="13" t="s">
        <v>78</v>
      </c>
      <c r="M24" s="629" t="s">
        <v>2268</v>
      </c>
      <c r="N24" s="630" t="s">
        <v>1354</v>
      </c>
      <c r="O24" s="630" t="s">
        <v>1433</v>
      </c>
      <c r="P24" s="631" t="s">
        <v>1762</v>
      </c>
      <c r="Q24" s="632" t="s">
        <v>2292</v>
      </c>
    </row>
    <row r="25" spans="1:17" ht="12.75" hidden="1" customHeight="1">
      <c r="A25" s="3">
        <v>75</v>
      </c>
      <c r="B25" s="17" t="s">
        <v>77</v>
      </c>
      <c r="C25" s="9" t="s">
        <v>76</v>
      </c>
      <c r="D25" s="9" t="s">
        <v>75</v>
      </c>
      <c r="E25" s="16" t="s">
        <v>67</v>
      </c>
      <c r="F25" s="9" t="s">
        <v>74</v>
      </c>
      <c r="M25" s="637" t="s">
        <v>2271</v>
      </c>
      <c r="N25" s="634" t="s">
        <v>2293</v>
      </c>
      <c r="O25" s="634" t="s">
        <v>1409</v>
      </c>
      <c r="P25" s="635" t="s">
        <v>2294</v>
      </c>
      <c r="Q25" s="639" t="s">
        <v>2295</v>
      </c>
    </row>
    <row r="26" spans="1:17" ht="12.75" hidden="1" customHeight="1">
      <c r="A26" s="3">
        <v>77</v>
      </c>
      <c r="B26" s="15" t="s">
        <v>73</v>
      </c>
      <c r="C26" s="13" t="s">
        <v>72</v>
      </c>
      <c r="D26" s="13" t="s">
        <v>71</v>
      </c>
      <c r="E26" s="14" t="s">
        <v>70</v>
      </c>
      <c r="F26" s="13" t="s">
        <v>69</v>
      </c>
      <c r="M26" s="629" t="s">
        <v>2274</v>
      </c>
      <c r="N26" s="630" t="s">
        <v>2296</v>
      </c>
      <c r="O26" s="630" t="s">
        <v>2297</v>
      </c>
      <c r="P26" s="646" t="s">
        <v>2298</v>
      </c>
      <c r="Q26" s="632" t="s">
        <v>2299</v>
      </c>
    </row>
    <row r="27" spans="1:17" ht="12.75" hidden="1" customHeight="1">
      <c r="A27" s="3">
        <v>79</v>
      </c>
      <c r="B27" s="17" t="s">
        <v>68</v>
      </c>
      <c r="C27" s="9" t="s">
        <v>67</v>
      </c>
      <c r="D27" s="9" t="s">
        <v>35</v>
      </c>
      <c r="E27" s="16" t="s">
        <v>35</v>
      </c>
      <c r="F27" s="9" t="s">
        <v>66</v>
      </c>
      <c r="M27" s="637" t="s">
        <v>2276</v>
      </c>
      <c r="N27" s="634" t="s">
        <v>1536</v>
      </c>
      <c r="O27" s="634" t="s">
        <v>2300</v>
      </c>
      <c r="P27" s="635" t="s">
        <v>2301</v>
      </c>
      <c r="Q27" s="639" t="s">
        <v>2302</v>
      </c>
    </row>
    <row r="28" spans="1:17" ht="12.75" hidden="1" customHeight="1">
      <c r="A28" s="3">
        <v>81</v>
      </c>
      <c r="B28" s="15" t="s">
        <v>65</v>
      </c>
      <c r="C28" s="13" t="s">
        <v>64</v>
      </c>
      <c r="D28" s="13" t="s">
        <v>63</v>
      </c>
      <c r="E28" s="14" t="s">
        <v>62</v>
      </c>
      <c r="F28" s="13" t="s">
        <v>61</v>
      </c>
      <c r="M28" s="629" t="s">
        <v>2278</v>
      </c>
      <c r="N28" s="630" t="s">
        <v>1444</v>
      </c>
      <c r="O28" s="630" t="s">
        <v>2303</v>
      </c>
      <c r="P28" s="646" t="s">
        <v>2304</v>
      </c>
      <c r="Q28" s="632" t="s">
        <v>2305</v>
      </c>
    </row>
    <row r="29" spans="1:17" ht="12.75" hidden="1" customHeight="1">
      <c r="A29" s="3">
        <v>83</v>
      </c>
      <c r="B29" s="17" t="s">
        <v>60</v>
      </c>
      <c r="C29" s="9" t="s">
        <v>59</v>
      </c>
      <c r="D29" s="9" t="s">
        <v>58</v>
      </c>
      <c r="E29" s="16" t="s">
        <v>57</v>
      </c>
      <c r="F29" s="9" t="s">
        <v>56</v>
      </c>
      <c r="M29" s="637" t="s">
        <v>2281</v>
      </c>
      <c r="N29" s="634" t="s">
        <v>1329</v>
      </c>
      <c r="O29" s="634" t="s">
        <v>2306</v>
      </c>
      <c r="P29" s="635" t="s">
        <v>688</v>
      </c>
      <c r="Q29" s="636" t="s">
        <v>2307</v>
      </c>
    </row>
    <row r="30" spans="1:17" ht="12.75" hidden="1" customHeight="1">
      <c r="A30" s="3">
        <v>85</v>
      </c>
      <c r="B30" s="15" t="s">
        <v>55</v>
      </c>
      <c r="C30" s="13" t="s">
        <v>54</v>
      </c>
      <c r="D30" s="13" t="s">
        <v>53</v>
      </c>
      <c r="E30" s="14" t="s">
        <v>52</v>
      </c>
      <c r="F30" s="13" t="s">
        <v>51</v>
      </c>
      <c r="M30" s="629" t="s">
        <v>2284</v>
      </c>
      <c r="N30" s="630" t="s">
        <v>1432</v>
      </c>
      <c r="O30" s="630" t="s">
        <v>1421</v>
      </c>
      <c r="P30" s="646" t="s">
        <v>2308</v>
      </c>
      <c r="Q30" s="632" t="s">
        <v>2309</v>
      </c>
    </row>
    <row r="31" spans="1:17" ht="12.75" hidden="1" customHeight="1">
      <c r="A31" s="3">
        <v>87</v>
      </c>
      <c r="B31" s="17" t="s">
        <v>50</v>
      </c>
      <c r="C31" s="9" t="s">
        <v>49</v>
      </c>
      <c r="D31" s="9" t="s">
        <v>48</v>
      </c>
      <c r="E31" s="16" t="s">
        <v>47</v>
      </c>
      <c r="F31" s="9" t="s">
        <v>46</v>
      </c>
      <c r="M31" s="637" t="s">
        <v>2286</v>
      </c>
      <c r="N31" s="634" t="s">
        <v>1396</v>
      </c>
      <c r="O31" s="634" t="s">
        <v>1512</v>
      </c>
      <c r="P31" s="635" t="s">
        <v>693</v>
      </c>
      <c r="Q31" s="639" t="s">
        <v>2310</v>
      </c>
    </row>
    <row r="32" spans="1:17" ht="12.75" hidden="1" customHeight="1" thickBot="1">
      <c r="A32" s="3">
        <v>89</v>
      </c>
      <c r="B32" s="20" t="s">
        <v>45</v>
      </c>
      <c r="C32" s="18" t="s">
        <v>44</v>
      </c>
      <c r="D32" s="18" t="s">
        <v>43</v>
      </c>
      <c r="E32" s="19" t="s">
        <v>42</v>
      </c>
      <c r="F32" s="18" t="s">
        <v>34</v>
      </c>
      <c r="M32" s="641" t="s">
        <v>2289</v>
      </c>
      <c r="N32" s="642" t="s">
        <v>1524</v>
      </c>
      <c r="O32" s="642" t="s">
        <v>1474</v>
      </c>
      <c r="P32" s="645" t="s">
        <v>2311</v>
      </c>
      <c r="Q32" s="644" t="s">
        <v>2312</v>
      </c>
    </row>
    <row r="33" spans="1:18" ht="12.75" hidden="1" customHeight="1">
      <c r="A33" s="3">
        <v>91</v>
      </c>
      <c r="B33" s="17" t="s">
        <v>41</v>
      </c>
      <c r="C33" s="9" t="s">
        <v>40</v>
      </c>
      <c r="D33" s="9" t="s">
        <v>22</v>
      </c>
      <c r="E33" s="16" t="s">
        <v>39</v>
      </c>
      <c r="F33" s="9" t="s">
        <v>38</v>
      </c>
      <c r="M33" s="637" t="s">
        <v>2239</v>
      </c>
      <c r="N33" s="634" t="s">
        <v>1431</v>
      </c>
      <c r="O33" s="634" t="s">
        <v>1443</v>
      </c>
      <c r="P33" s="379" t="s">
        <v>2280</v>
      </c>
      <c r="Q33" s="639" t="s">
        <v>2313</v>
      </c>
    </row>
    <row r="34" spans="1:18" ht="12.75" hidden="1" customHeight="1">
      <c r="A34" s="3">
        <v>92</v>
      </c>
      <c r="B34" s="15" t="s">
        <v>38</v>
      </c>
      <c r="C34" s="13" t="s">
        <v>37</v>
      </c>
      <c r="D34" s="13" t="s">
        <v>36</v>
      </c>
      <c r="E34" s="14" t="s">
        <v>35</v>
      </c>
      <c r="F34" s="13" t="s">
        <v>34</v>
      </c>
      <c r="M34" s="629" t="s">
        <v>2242</v>
      </c>
      <c r="N34" s="630" t="s">
        <v>1418</v>
      </c>
      <c r="O34" s="630" t="s">
        <v>2314</v>
      </c>
      <c r="P34" s="631" t="s">
        <v>2315</v>
      </c>
      <c r="Q34" s="632" t="s">
        <v>2316</v>
      </c>
    </row>
    <row r="35" spans="1:18" ht="12.75" hidden="1" customHeight="1">
      <c r="A35" s="3">
        <v>93</v>
      </c>
      <c r="B35" s="17" t="s">
        <v>33</v>
      </c>
      <c r="C35" s="9" t="s">
        <v>32</v>
      </c>
      <c r="D35" s="9" t="s">
        <v>31</v>
      </c>
      <c r="E35" s="16" t="s">
        <v>30</v>
      </c>
      <c r="F35" s="9" t="s">
        <v>27</v>
      </c>
      <c r="M35" s="633" t="s">
        <v>2244</v>
      </c>
      <c r="N35" s="634" t="s">
        <v>1339</v>
      </c>
      <c r="O35" s="634" t="s">
        <v>1338</v>
      </c>
      <c r="P35" s="635" t="s">
        <v>2317</v>
      </c>
      <c r="Q35" s="639" t="s">
        <v>2318</v>
      </c>
    </row>
    <row r="36" spans="1:18" ht="12.75" hidden="1" customHeight="1">
      <c r="A36" s="3">
        <v>94</v>
      </c>
      <c r="B36" s="15" t="s">
        <v>10</v>
      </c>
      <c r="C36" s="13" t="s">
        <v>29</v>
      </c>
      <c r="D36" s="13" t="s">
        <v>28</v>
      </c>
      <c r="E36" s="14" t="s">
        <v>27</v>
      </c>
      <c r="F36" s="13" t="s">
        <v>26</v>
      </c>
      <c r="M36" s="629" t="s">
        <v>2245</v>
      </c>
      <c r="N36" s="630" t="s">
        <v>1534</v>
      </c>
      <c r="O36" s="630" t="s">
        <v>2319</v>
      </c>
      <c r="P36" s="631" t="s">
        <v>2320</v>
      </c>
      <c r="Q36" s="632" t="s">
        <v>690</v>
      </c>
    </row>
    <row r="37" spans="1:18" ht="12.75" hidden="1" customHeight="1">
      <c r="A37" s="3">
        <v>95</v>
      </c>
      <c r="B37" s="17" t="s">
        <v>25</v>
      </c>
      <c r="C37" s="9" t="s">
        <v>24</v>
      </c>
      <c r="D37" s="9" t="s">
        <v>23</v>
      </c>
      <c r="E37" s="16" t="s">
        <v>22</v>
      </c>
      <c r="F37" s="9" t="s">
        <v>21</v>
      </c>
      <c r="M37" s="637" t="s">
        <v>2248</v>
      </c>
      <c r="N37" s="634" t="s">
        <v>1472</v>
      </c>
      <c r="O37" s="634" t="s">
        <v>1407</v>
      </c>
      <c r="P37" s="647" t="s">
        <v>696</v>
      </c>
      <c r="Q37" s="639" t="s">
        <v>2321</v>
      </c>
    </row>
    <row r="38" spans="1:18" ht="12.75" hidden="1" customHeight="1">
      <c r="A38" s="3">
        <v>96</v>
      </c>
      <c r="B38" s="15" t="s">
        <v>20</v>
      </c>
      <c r="C38" s="13" t="s">
        <v>19</v>
      </c>
      <c r="D38" s="13" t="s">
        <v>18</v>
      </c>
      <c r="E38" s="14" t="s">
        <v>17</v>
      </c>
      <c r="F38" s="13" t="s">
        <v>16</v>
      </c>
      <c r="M38" s="629" t="s">
        <v>2253</v>
      </c>
      <c r="N38" s="630" t="s">
        <v>579</v>
      </c>
      <c r="O38" s="630" t="s">
        <v>2322</v>
      </c>
      <c r="P38" s="646" t="s">
        <v>695</v>
      </c>
      <c r="Q38" s="632" t="s">
        <v>2323</v>
      </c>
    </row>
    <row r="39" spans="1:18" ht="12.75" hidden="1" customHeight="1">
      <c r="A39" s="3">
        <v>97</v>
      </c>
      <c r="B39" s="17" t="s">
        <v>15</v>
      </c>
      <c r="C39" s="9" t="s">
        <v>14</v>
      </c>
      <c r="D39" s="9" t="s">
        <v>13</v>
      </c>
      <c r="E39" s="16" t="s">
        <v>12</v>
      </c>
      <c r="F39" s="9" t="s">
        <v>11</v>
      </c>
      <c r="M39" s="637" t="s">
        <v>2256</v>
      </c>
      <c r="N39" s="634" t="s">
        <v>1395</v>
      </c>
      <c r="O39" s="634" t="s">
        <v>2324</v>
      </c>
      <c r="P39" s="635" t="s">
        <v>2325</v>
      </c>
      <c r="Q39" s="639" t="s">
        <v>2326</v>
      </c>
    </row>
    <row r="40" spans="1:18" ht="12.75" hidden="1" customHeight="1">
      <c r="A40" s="3">
        <v>98</v>
      </c>
      <c r="B40" s="15" t="s">
        <v>10</v>
      </c>
      <c r="C40" s="13" t="s">
        <v>9</v>
      </c>
      <c r="D40" s="6" t="s">
        <v>3</v>
      </c>
      <c r="E40" s="14" t="s">
        <v>8</v>
      </c>
      <c r="F40" s="13" t="s">
        <v>7</v>
      </c>
      <c r="M40" s="629" t="s">
        <v>2259</v>
      </c>
      <c r="N40" s="630" t="s">
        <v>1382</v>
      </c>
      <c r="O40" s="630" t="s">
        <v>2327</v>
      </c>
      <c r="P40" s="646" t="s">
        <v>2328</v>
      </c>
      <c r="Q40" s="640" t="s">
        <v>2329</v>
      </c>
    </row>
    <row r="41" spans="1:18" ht="12.75" hidden="1" customHeight="1">
      <c r="A41" s="3">
        <v>99</v>
      </c>
      <c r="B41" s="12" t="s">
        <v>3</v>
      </c>
      <c r="C41" s="11" t="s">
        <v>3</v>
      </c>
      <c r="D41" s="11" t="s">
        <v>4</v>
      </c>
      <c r="E41" s="10" t="s">
        <v>3</v>
      </c>
      <c r="F41" s="9" t="s">
        <v>6</v>
      </c>
      <c r="M41" s="637" t="s">
        <v>2261</v>
      </c>
      <c r="N41" s="634" t="s">
        <v>1328</v>
      </c>
      <c r="O41" s="634" t="s">
        <v>1502</v>
      </c>
      <c r="P41" s="638" t="s">
        <v>2330</v>
      </c>
      <c r="Q41" s="636" t="s">
        <v>2331</v>
      </c>
    </row>
    <row r="42" spans="1:18" ht="12.75" hidden="1" customHeight="1" thickBot="1">
      <c r="A42" s="3">
        <v>100</v>
      </c>
      <c r="B42" s="8" t="s">
        <v>4</v>
      </c>
      <c r="C42" s="6" t="s">
        <v>4</v>
      </c>
      <c r="D42" s="6" t="s">
        <v>5</v>
      </c>
      <c r="E42" s="7" t="s">
        <v>4</v>
      </c>
      <c r="F42" s="6" t="s">
        <v>3</v>
      </c>
      <c r="M42" s="641" t="s">
        <v>2263</v>
      </c>
      <c r="N42" s="642" t="s">
        <v>2332</v>
      </c>
      <c r="O42" s="642" t="s">
        <v>2333</v>
      </c>
      <c r="P42" s="645" t="s">
        <v>2334</v>
      </c>
      <c r="Q42" s="644" t="s">
        <v>2335</v>
      </c>
    </row>
    <row r="43" spans="1:18" ht="12.75" hidden="1" customHeight="1" thickBot="1">
      <c r="M43" s="4" t="s">
        <v>2336</v>
      </c>
      <c r="N43" s="4" t="s">
        <v>2337</v>
      </c>
      <c r="O43" s="4" t="s">
        <v>2338</v>
      </c>
      <c r="P43" s="4" t="s">
        <v>2339</v>
      </c>
      <c r="Q43" s="4" t="s">
        <v>2340</v>
      </c>
    </row>
    <row r="44" spans="1:18" ht="12.75" hidden="1" customHeight="1" thickBot="1">
      <c r="A44" s="3" t="s">
        <v>2517</v>
      </c>
      <c r="B44" s="779"/>
      <c r="C44" s="780"/>
      <c r="D44" s="1" t="s">
        <v>142</v>
      </c>
      <c r="E44" s="781"/>
    </row>
    <row r="45" spans="1:18" s="4" customFormat="1" ht="14.4" thickBot="1">
      <c r="A45" s="617" t="s">
        <v>2</v>
      </c>
      <c r="B45" s="617"/>
      <c r="C45" s="651" t="s">
        <v>2086</v>
      </c>
      <c r="D45" s="651" t="s">
        <v>2341</v>
      </c>
      <c r="E45" s="651" t="s">
        <v>0</v>
      </c>
      <c r="F45" s="651"/>
      <c r="G45" s="651"/>
      <c r="H45" s="651"/>
      <c r="I45" s="619" t="s">
        <v>2343</v>
      </c>
      <c r="J45" s="619"/>
      <c r="K45" s="619" t="s">
        <v>2344</v>
      </c>
      <c r="N45" s="4" t="s">
        <v>165</v>
      </c>
      <c r="O45" s="4" t="s">
        <v>153</v>
      </c>
      <c r="P45" s="4" t="s">
        <v>142</v>
      </c>
      <c r="Q45" s="4" t="s">
        <v>136</v>
      </c>
      <c r="R45" s="4" t="s">
        <v>129</v>
      </c>
    </row>
    <row r="46" spans="1:18" ht="10.95" customHeight="1">
      <c r="A46" s="648">
        <v>0</v>
      </c>
      <c r="B46" s="648" t="str">
        <f ca="1">IF(RANDBETWEEN(1,100)&lt;33,LOOKUP(RANDBETWEEN(1,10),$G$3:$G12,PlusMoins),"=")</f>
        <v>- -</v>
      </c>
      <c r="C46" s="652" t="str">
        <f ca="1">IF(B46&lt;&gt;"=",LOOKUP(RANDBETWEEN(1,10),$G$3:$G12,Type),"-")</f>
        <v>Groupe</v>
      </c>
      <c r="D46" s="652" t="str">
        <f t="shared" ref="D46:D76" ca="1" si="0">IF(C46="Personne",LOOKUP(RANDBETWEEN(1,100),DEvenement,Personne),IF(C46="Groupe",LOOKUP(RANDBETWEEN(1,100),DEvenement,groupe),IF(C46="Lieu",LOOKUP(RANDBETWEEN(1,100),DEvenement,lieu),IF(C46="Région",LOOKUP(RANDBETWEEN(1,100),DEvenement,région),IF(C46="Royaume",LOOKUP(RANDBETWEEN(1,100),DEvenement,royaume)," ")))))</f>
        <v>intriguant</v>
      </c>
      <c r="E46" s="653"/>
      <c r="F46" s="653"/>
      <c r="G46" s="653"/>
      <c r="H46" s="653"/>
      <c r="I46" s="769" t="str">
        <f ca="1">IF(B46&lt;&gt;"=",LOOKUP(RANDBETWEEN(1,10),$G$3:$G12,enjeu),"-")</f>
        <v>profession</v>
      </c>
      <c r="J46" s="769" t="str">
        <f t="shared" ref="J46:J76" ca="1" si="1">IF(I46="caractéristique",LOOKUP(RANDBETWEEN(1,100),DEvenement,carac),IF(I46="profession",LOOKUP(RANDBETWEEN(1,100),DEvenement,profe),IF(I46="voyage",LOOKUP(RANDBETWEEN(1,100),DEvenement,voyag),IF(I46="combat",LOOKUP(RANDBETWEEN(1,100),DEvenement,comba),IF(I46="étrange",LOOKUP(RANDBETWEEN(1,100),DEvenement,etran)," ")))))</f>
        <v>Commerce</v>
      </c>
      <c r="K46" s="769" t="str">
        <f ca="1">IF(B46&lt;&gt;"=",LOOKUP(RANDBETWEEN(1,10),$G$3:$G12,enjeu),"-")</f>
        <v>caractéristique</v>
      </c>
      <c r="L46" s="770" t="str">
        <f t="shared" ref="L46:L76" ca="1" si="2">IF(K46="caractéristique",LOOKUP(RANDBETWEEN(1,100),DEvenement,carac),IF(K46="profession",LOOKUP(RANDBETWEEN(1,100),DEvenement,profe),IF(K46="voyage",LOOKUP(RANDBETWEEN(1,100),DEvenement,voyag),IF(K46="combat",LOOKUP(RANDBETWEEN(1,100),DEvenement,comba),IF(K46="étrange",LOOKUP(RANDBETWEEN(1,100),DEvenement,etran)," ")))))</f>
        <v>Ap(cha)</v>
      </c>
      <c r="N46" s="1" t="str">
        <f t="shared" ref="N46:N92" ca="1" si="3">LOOKUP(RANDBETWEEN(1,100),DEvenement,Personne)</f>
        <v>voyage</v>
      </c>
      <c r="O46" s="1" t="str">
        <f t="shared" ref="O46:O92" ca="1" si="4">LOOKUP(RANDBETWEEN(1,100),DEvenement,groupe)</f>
        <v>accident</v>
      </c>
      <c r="P46" s="1" t="str">
        <f t="shared" ref="P46:P92" ca="1" si="5">LOOKUP(RANDBETWEEN(1,100),DEvenement,lieu)</f>
        <v>bandits</v>
      </c>
      <c r="Q46" s="1" t="str">
        <f t="shared" ref="Q46:Q92" ca="1" si="6">LOOKUP(RANDBETWEEN(1,100),DEvenement,région)</f>
        <v>science</v>
      </c>
      <c r="R46" s="1" t="str">
        <f t="shared" ref="R46:R92" ca="1" si="7">LOOKUP(RANDBETWEEN(1,100),DEvenement,royaume)</f>
        <v>médecine</v>
      </c>
    </row>
    <row r="47" spans="1:18" ht="10.95" customHeight="1">
      <c r="A47" s="649">
        <v>1</v>
      </c>
      <c r="B47" s="649" t="str">
        <f ca="1">IF(RANDBETWEEN(1,100)&lt;33,LOOKUP(RANDBETWEEN(1,10),$G$3:$G13,PlusMoins),"=")</f>
        <v>=</v>
      </c>
      <c r="C47" s="654" t="str">
        <f ca="1">IF(B47&lt;&gt;"=",LOOKUP(RANDBETWEEN(1,10),$G$3:$G13,Type),"-")</f>
        <v>-</v>
      </c>
      <c r="D47" s="654" t="str">
        <f t="shared" ca="1" si="0"/>
        <v xml:space="preserve"> </v>
      </c>
      <c r="E47" s="655"/>
      <c r="F47" s="655"/>
      <c r="G47" s="655"/>
      <c r="H47" s="655"/>
      <c r="I47" s="658" t="str">
        <f ca="1">IF(B47&lt;&gt;"=",LOOKUP(RANDBETWEEN(1,10),$G$3:$G13,enjeu),"-")</f>
        <v>-</v>
      </c>
      <c r="J47" s="658" t="str">
        <f t="shared" ca="1" si="1"/>
        <v xml:space="preserve"> </v>
      </c>
      <c r="K47" s="658" t="str">
        <f ca="1">IF(B47&lt;&gt;"=",LOOKUP(RANDBETWEEN(1,10),$G$3:$G13,enjeu),"-")</f>
        <v>-</v>
      </c>
      <c r="L47" s="771" t="str">
        <f t="shared" ca="1" si="2"/>
        <v xml:space="preserve"> </v>
      </c>
      <c r="N47" s="1" t="str">
        <f t="shared" ca="1" si="3"/>
        <v>économie</v>
      </c>
      <c r="O47" s="1" t="str">
        <f t="shared" ca="1" si="4"/>
        <v>implication</v>
      </c>
      <c r="P47" s="1" t="str">
        <f t="shared" ca="1" si="5"/>
        <v>déflation</v>
      </c>
      <c r="Q47" s="1" t="str">
        <f t="shared" ca="1" si="6"/>
        <v>feu</v>
      </c>
      <c r="R47" s="1" t="str">
        <f t="shared" ca="1" si="7"/>
        <v>assassinat</v>
      </c>
    </row>
    <row r="48" spans="1:18" ht="10.95" customHeight="1">
      <c r="A48" s="649">
        <v>2</v>
      </c>
      <c r="B48" s="649" t="str">
        <f ca="1">IF(RANDBETWEEN(1,100)&lt;33,LOOKUP(RANDBETWEEN(1,10),$G$3:$G14,PlusMoins),"=")</f>
        <v>=</v>
      </c>
      <c r="C48" s="654" t="str">
        <f ca="1">IF(B48&lt;&gt;"=",LOOKUP(RANDBETWEEN(1,10),$G$3:$G14,Type),"-")</f>
        <v>-</v>
      </c>
      <c r="D48" s="654" t="str">
        <f t="shared" ca="1" si="0"/>
        <v xml:space="preserve"> </v>
      </c>
      <c r="E48" s="655"/>
      <c r="F48" s="655"/>
      <c r="G48" s="655"/>
      <c r="H48" s="655"/>
      <c r="I48" s="658" t="str">
        <f ca="1">IF(B48&lt;&gt;"=",LOOKUP(RANDBETWEEN(1,10),$G$3:$G14,enjeu),"-")</f>
        <v>-</v>
      </c>
      <c r="J48" s="658" t="str">
        <f t="shared" ca="1" si="1"/>
        <v xml:space="preserve"> </v>
      </c>
      <c r="K48" s="658" t="str">
        <f ca="1">IF(B48&lt;&gt;"=",LOOKUP(RANDBETWEEN(1,10),$G$3:$G14,enjeu),"-")</f>
        <v>-</v>
      </c>
      <c r="L48" s="771" t="str">
        <f t="shared" ca="1" si="2"/>
        <v xml:space="preserve"> </v>
      </c>
      <c r="N48" s="1" t="str">
        <f t="shared" ca="1" si="3"/>
        <v>mariage</v>
      </c>
      <c r="O48" s="1" t="str">
        <f t="shared" ca="1" si="4"/>
        <v>créature de nuit</v>
      </c>
      <c r="P48" s="1" t="str">
        <f t="shared" ca="1" si="5"/>
        <v>Double²</v>
      </c>
      <c r="Q48" s="1" t="str">
        <f t="shared" ca="1" si="6"/>
        <v>feu</v>
      </c>
      <c r="R48" s="1" t="str">
        <f t="shared" ca="1" si="7"/>
        <v>immigration</v>
      </c>
    </row>
    <row r="49" spans="1:18" ht="10.95" customHeight="1">
      <c r="A49" s="649">
        <v>3</v>
      </c>
      <c r="B49" s="649" t="str">
        <f ca="1">IF(RANDBETWEEN(1,100)&lt;33,LOOKUP(RANDBETWEEN(1,10),$G$3:$G15,PlusMoins),"=")</f>
        <v>=</v>
      </c>
      <c r="C49" s="654" t="str">
        <f ca="1">IF(B49&lt;&gt;"=",LOOKUP(RANDBETWEEN(1,10),$G$3:$G15,Type),"-")</f>
        <v>-</v>
      </c>
      <c r="D49" s="654" t="str">
        <f t="shared" ca="1" si="0"/>
        <v xml:space="preserve"> </v>
      </c>
      <c r="E49" s="655"/>
      <c r="F49" s="655"/>
      <c r="G49" s="655"/>
      <c r="H49" s="655"/>
      <c r="I49" s="658" t="str">
        <f ca="1">IF(B49&lt;&gt;"=",LOOKUP(RANDBETWEEN(1,10),$G$3:$G15,enjeu),"-")</f>
        <v>-</v>
      </c>
      <c r="J49" s="658" t="str">
        <f t="shared" ca="1" si="1"/>
        <v xml:space="preserve"> </v>
      </c>
      <c r="K49" s="658" t="str">
        <f ca="1">IF(B49&lt;&gt;"=",LOOKUP(RANDBETWEEN(1,10),$G$3:$G15,enjeu),"-")</f>
        <v>-</v>
      </c>
      <c r="L49" s="771" t="str">
        <f t="shared" ca="1" si="2"/>
        <v xml:space="preserve"> </v>
      </c>
      <c r="N49" s="1" t="str">
        <f t="shared" ca="1" si="3"/>
        <v>révélation</v>
      </c>
      <c r="O49" s="1" t="str">
        <f t="shared" ca="1" si="4"/>
        <v>enrichissement</v>
      </c>
      <c r="P49" s="1" t="str">
        <f t="shared" ca="1" si="5"/>
        <v>injustice</v>
      </c>
      <c r="Q49" s="1" t="str">
        <f t="shared" ca="1" si="6"/>
        <v>église</v>
      </c>
      <c r="R49" s="1" t="str">
        <f t="shared" ca="1" si="7"/>
        <v>massacres</v>
      </c>
    </row>
    <row r="50" spans="1:18" ht="10.95" customHeight="1">
      <c r="A50" s="649">
        <v>4</v>
      </c>
      <c r="B50" s="649" t="str">
        <f ca="1">IF(RANDBETWEEN(1,100)&lt;33,LOOKUP(RANDBETWEEN(1,10),$G$3:$G16,PlusMoins),"=")</f>
        <v>++</v>
      </c>
      <c r="C50" s="654" t="str">
        <f ca="1">IF(B50&lt;&gt;"=",LOOKUP(RANDBETWEEN(1,10),$G$3:$G16,Type),"-")</f>
        <v>Lieu</v>
      </c>
      <c r="D50" s="654" t="str">
        <f t="shared" ca="1" si="0"/>
        <v>glissement de terrain</v>
      </c>
      <c r="E50" s="655"/>
      <c r="F50" s="655"/>
      <c r="G50" s="655"/>
      <c r="H50" s="655"/>
      <c r="I50" s="658" t="str">
        <f ca="1">IF(B50&lt;&gt;"=",LOOKUP(RANDBETWEEN(1,10),$G$3:$G16,enjeu),"-")</f>
        <v>caractéristique</v>
      </c>
      <c r="J50" s="658" t="str">
        <f t="shared" ca="1" si="1"/>
        <v>I(rai)</v>
      </c>
      <c r="K50" s="658" t="str">
        <f ca="1">IF(B50&lt;&gt;"=",LOOKUP(RANDBETWEEN(1,10),$G$3:$G16,enjeu),"-")</f>
        <v>caractéristique</v>
      </c>
      <c r="L50" s="771" t="str">
        <f t="shared" ca="1" si="2"/>
        <v>Em(inu)</v>
      </c>
      <c r="N50" s="1" t="str">
        <f t="shared" ca="1" si="3"/>
        <v>témoin</v>
      </c>
      <c r="O50" s="1" t="str">
        <f t="shared" ca="1" si="4"/>
        <v>grand départ</v>
      </c>
      <c r="P50" s="1" t="str">
        <f t="shared" ca="1" si="5"/>
        <v>recrutement</v>
      </c>
      <c r="Q50" s="1" t="str">
        <f t="shared" ca="1" si="6"/>
        <v>visite dignitaire</v>
      </c>
      <c r="R50" s="1" t="str">
        <f t="shared" ca="1" si="7"/>
        <v>présage</v>
      </c>
    </row>
    <row r="51" spans="1:18" ht="10.95" customHeight="1">
      <c r="A51" s="649">
        <v>5</v>
      </c>
      <c r="B51" s="649" t="str">
        <f ca="1">IF(RANDBETWEEN(1,100)&lt;33,LOOKUP(RANDBETWEEN(1,10),$G$3:$G17,PlusMoins),"=")</f>
        <v>=</v>
      </c>
      <c r="C51" s="654" t="str">
        <f ca="1">IF(B51&lt;&gt;"=",LOOKUP(RANDBETWEEN(1,10),$G$3:$G17,Type),"-")</f>
        <v>-</v>
      </c>
      <c r="D51" s="654" t="str">
        <f t="shared" ca="1" si="0"/>
        <v xml:space="preserve"> </v>
      </c>
      <c r="E51" s="655"/>
      <c r="F51" s="655"/>
      <c r="G51" s="655"/>
      <c r="H51" s="655"/>
      <c r="I51" s="658" t="str">
        <f ca="1">IF(B51&lt;&gt;"=",LOOKUP(RANDBETWEEN(1,10),$G$3:$G17,enjeu),"-")</f>
        <v>-</v>
      </c>
      <c r="J51" s="658" t="str">
        <f t="shared" ca="1" si="1"/>
        <v xml:space="preserve"> </v>
      </c>
      <c r="K51" s="658" t="str">
        <f ca="1">IF(B51&lt;&gt;"=",LOOKUP(RANDBETWEEN(1,10),$G$3:$G17,enjeu),"-")</f>
        <v>-</v>
      </c>
      <c r="L51" s="771" t="str">
        <f t="shared" ca="1" si="2"/>
        <v xml:space="preserve"> </v>
      </c>
      <c r="N51" s="1" t="str">
        <f t="shared" ca="1" si="3"/>
        <v>relation</v>
      </c>
      <c r="O51" s="1" t="str">
        <f t="shared" ca="1" si="4"/>
        <v>revenu régulier</v>
      </c>
      <c r="P51" s="1" t="str">
        <f t="shared" ca="1" si="5"/>
        <v>injustice</v>
      </c>
      <c r="Q51" s="1" t="str">
        <f t="shared" ca="1" si="6"/>
        <v>enquête</v>
      </c>
      <c r="R51" s="1" t="str">
        <f t="shared" ca="1" si="7"/>
        <v>guerre</v>
      </c>
    </row>
    <row r="52" spans="1:18" ht="10.95" customHeight="1" thickBot="1">
      <c r="A52" s="650">
        <v>6</v>
      </c>
      <c r="B52" s="650" t="str">
        <f ca="1">IF(RANDBETWEEN(1,100)&lt;33,LOOKUP(RANDBETWEEN(1,10),$G$3:$G18,PlusMoins),"=")</f>
        <v>=</v>
      </c>
      <c r="C52" s="656" t="str">
        <f ca="1">IF(B52&lt;&gt;"=",LOOKUP(RANDBETWEEN(1,10),$G$3:$G18,Type),"-")</f>
        <v>-</v>
      </c>
      <c r="D52" s="656" t="str">
        <f t="shared" ca="1" si="0"/>
        <v xml:space="preserve"> </v>
      </c>
      <c r="E52" s="657"/>
      <c r="F52" s="657"/>
      <c r="G52" s="657"/>
      <c r="H52" s="657"/>
      <c r="I52" s="772" t="str">
        <f ca="1">IF(B52&lt;&gt;"=",LOOKUP(RANDBETWEEN(1,10),$G$3:$G18,enjeu),"-")</f>
        <v>-</v>
      </c>
      <c r="J52" s="772" t="str">
        <f t="shared" ca="1" si="1"/>
        <v xml:space="preserve"> </v>
      </c>
      <c r="K52" s="772" t="str">
        <f ca="1">IF(B52&lt;&gt;"=",LOOKUP(RANDBETWEEN(1,10),$G$3:$G18,enjeu),"-")</f>
        <v>-</v>
      </c>
      <c r="L52" s="773" t="str">
        <f t="shared" ca="1" si="2"/>
        <v xml:space="preserve"> </v>
      </c>
      <c r="N52" s="1" t="str">
        <f t="shared" ca="1" si="3"/>
        <v>voyage</v>
      </c>
      <c r="O52" s="1" t="str">
        <f t="shared" ca="1" si="4"/>
        <v>intrigue</v>
      </c>
      <c r="P52" s="1" t="str">
        <f t="shared" ca="1" si="5"/>
        <v>recrutement</v>
      </c>
      <c r="Q52" s="1" t="str">
        <f t="shared" ca="1" si="6"/>
        <v>migration</v>
      </c>
      <c r="R52" s="1" t="str">
        <f t="shared" ca="1" si="7"/>
        <v>accords</v>
      </c>
    </row>
    <row r="53" spans="1:18" ht="10.95" customHeight="1">
      <c r="A53" s="648">
        <v>7</v>
      </c>
      <c r="B53" s="648" t="str">
        <f ca="1">IF(RANDBETWEEN(1,100)&lt;57,LOOKUP(RANDBETWEEN(1,10),$G$3:$G19,PlusMoins),"=")</f>
        <v>=</v>
      </c>
      <c r="C53" s="652" t="str">
        <f ca="1">IF(B53&lt;&gt;"=",LOOKUP(RANDBETWEEN(1,10),$G$3:$G19,Type),"-")</f>
        <v>-</v>
      </c>
      <c r="D53" s="652" t="str">
        <f t="shared" ca="1" si="0"/>
        <v xml:space="preserve"> </v>
      </c>
      <c r="E53" s="653"/>
      <c r="F53" s="653"/>
      <c r="G53" s="653"/>
      <c r="H53" s="653"/>
      <c r="I53" s="769" t="str">
        <f ca="1">IF(B53&lt;&gt;"=",LOOKUP(RANDBETWEEN(1,10),$G$3:$G19,enjeu),"-")</f>
        <v>-</v>
      </c>
      <c r="J53" s="769" t="str">
        <f t="shared" ca="1" si="1"/>
        <v xml:space="preserve"> </v>
      </c>
      <c r="K53" s="769" t="str">
        <f ca="1">IF(B53&lt;&gt;"=",LOOKUP(RANDBETWEEN(1,10),$G$3:$G19,enjeu),"-")</f>
        <v>-</v>
      </c>
      <c r="L53" s="770" t="str">
        <f t="shared" ca="1" si="2"/>
        <v xml:space="preserve"> </v>
      </c>
      <c r="N53" s="1" t="str">
        <f t="shared" ca="1" si="3"/>
        <v>Double²</v>
      </c>
      <c r="O53" s="1" t="str">
        <f t="shared" ca="1" si="4"/>
        <v>mystère</v>
      </c>
      <c r="P53" s="1" t="str">
        <f t="shared" ca="1" si="5"/>
        <v xml:space="preserve">incursion </v>
      </c>
      <c r="Q53" s="1" t="str">
        <f t="shared" ca="1" si="6"/>
        <v>feu</v>
      </c>
      <c r="R53" s="1" t="str">
        <f t="shared" ca="1" si="7"/>
        <v>inquisition</v>
      </c>
    </row>
    <row r="54" spans="1:18" ht="10.95" customHeight="1">
      <c r="A54" s="649">
        <v>8</v>
      </c>
      <c r="B54" s="649" t="str">
        <f ca="1">IF(RANDBETWEEN(1,100)&lt;57,LOOKUP(RANDBETWEEN(1,10),$G$3:$G20,PlusMoins),"=")</f>
        <v>=</v>
      </c>
      <c r="C54" s="654" t="str">
        <f ca="1">IF(B54&lt;&gt;"=",LOOKUP(RANDBETWEEN(1,10),$G$3:$G20,Type),"-")</f>
        <v>-</v>
      </c>
      <c r="D54" s="654" t="str">
        <f t="shared" ca="1" si="0"/>
        <v xml:space="preserve"> </v>
      </c>
      <c r="E54" s="655"/>
      <c r="F54" s="655"/>
      <c r="G54" s="655"/>
      <c r="H54" s="655"/>
      <c r="I54" s="658" t="str">
        <f ca="1">IF(B54&lt;&gt;"=",LOOKUP(RANDBETWEEN(1,10),$G$3:$G20,enjeu),"-")</f>
        <v>-</v>
      </c>
      <c r="J54" s="658" t="str">
        <f t="shared" ca="1" si="1"/>
        <v xml:space="preserve"> </v>
      </c>
      <c r="K54" s="658" t="str">
        <f ca="1">IF(B54&lt;&gt;"=",LOOKUP(RANDBETWEEN(1,10),$G$3:$G20,enjeu),"-")</f>
        <v>-</v>
      </c>
      <c r="L54" s="771" t="str">
        <f t="shared" ca="1" si="2"/>
        <v xml:space="preserve"> </v>
      </c>
      <c r="N54" s="1" t="str">
        <f t="shared" ca="1" si="3"/>
        <v>amour</v>
      </c>
      <c r="O54" s="1" t="str">
        <f t="shared" ca="1" si="4"/>
        <v>Butin</v>
      </c>
      <c r="P54" s="1" t="str">
        <f t="shared" ca="1" si="5"/>
        <v>étranger vengeur</v>
      </c>
      <c r="Q54" s="1" t="str">
        <f t="shared" ca="1" si="6"/>
        <v>révolte</v>
      </c>
      <c r="R54" s="1" t="str">
        <f t="shared" ca="1" si="7"/>
        <v>commerce</v>
      </c>
    </row>
    <row r="55" spans="1:18" ht="10.95" customHeight="1">
      <c r="A55" s="649">
        <v>9</v>
      </c>
      <c r="B55" s="649" t="str">
        <f ca="1">IF(RANDBETWEEN(1,100)&lt;57,LOOKUP(RANDBETWEEN(1,10),$G$3:$G21,PlusMoins),"=")</f>
        <v>=</v>
      </c>
      <c r="C55" s="654" t="str">
        <f ca="1">IF(B55&lt;&gt;"=",LOOKUP(RANDBETWEEN(1,10),$G$3:$G21,Type),"-")</f>
        <v>-</v>
      </c>
      <c r="D55" s="654" t="str">
        <f t="shared" ca="1" si="0"/>
        <v xml:space="preserve"> </v>
      </c>
      <c r="E55" s="655"/>
      <c r="F55" s="655"/>
      <c r="G55" s="655"/>
      <c r="H55" s="655"/>
      <c r="I55" s="658" t="str">
        <f ca="1">IF(B55&lt;&gt;"=",LOOKUP(RANDBETWEEN(1,10),$G$3:$G21,enjeu),"-")</f>
        <v>-</v>
      </c>
      <c r="J55" s="658" t="str">
        <f t="shared" ca="1" si="1"/>
        <v xml:space="preserve"> </v>
      </c>
      <c r="K55" s="658" t="str">
        <f ca="1">IF(B55&lt;&gt;"=",LOOKUP(RANDBETWEEN(1,10),$G$3:$G21,enjeu),"-")</f>
        <v>-</v>
      </c>
      <c r="L55" s="771" t="str">
        <f t="shared" ca="1" si="2"/>
        <v xml:space="preserve"> </v>
      </c>
      <c r="N55" s="1" t="str">
        <f t="shared" ca="1" si="3"/>
        <v>connaissance</v>
      </c>
      <c r="O55" s="1" t="str">
        <f t="shared" ca="1" si="4"/>
        <v>Triple³</v>
      </c>
      <c r="P55" s="1" t="str">
        <f t="shared" ca="1" si="5"/>
        <v>inflation</v>
      </c>
      <c r="Q55" s="1" t="str">
        <f t="shared" ca="1" si="6"/>
        <v>loi</v>
      </c>
      <c r="R55" s="1" t="str">
        <f t="shared" ca="1" si="7"/>
        <v>race</v>
      </c>
    </row>
    <row r="56" spans="1:18" ht="10.95" customHeight="1">
      <c r="A56" s="649">
        <v>10</v>
      </c>
      <c r="B56" s="649" t="str">
        <f ca="1">IF(RANDBETWEEN(1,100)&lt;57,LOOKUP(RANDBETWEEN(1,10),$G$3:$G22,PlusMoins),"=")</f>
        <v>- -</v>
      </c>
      <c r="C56" s="654" t="str">
        <f ca="1">IF(B56&lt;&gt;"=",LOOKUP(RANDBETWEEN(1,10),$G$3:$G22,Type),"-")</f>
        <v>Lieu</v>
      </c>
      <c r="D56" s="654" t="str">
        <f t="shared" ca="1" si="0"/>
        <v>mort</v>
      </c>
      <c r="E56" s="655"/>
      <c r="F56" s="655"/>
      <c r="G56" s="655"/>
      <c r="H56" s="655"/>
      <c r="I56" s="658" t="str">
        <f ca="1">IF(B56&lt;&gt;"=",LOOKUP(RANDBETWEEN(1,10),$G$3:$G22,enjeu),"-")</f>
        <v>étrange</v>
      </c>
      <c r="J56" s="658" t="str">
        <f t="shared" ca="1" si="1"/>
        <v>Goût</v>
      </c>
      <c r="K56" s="658" t="str">
        <f ca="1">IF(B56&lt;&gt;"=",LOOKUP(RANDBETWEEN(1,10),$G$3:$G22,enjeu),"-")</f>
        <v>voyage</v>
      </c>
      <c r="L56" s="771" t="str">
        <f t="shared" ca="1" si="2"/>
        <v>Rhétorique</v>
      </c>
      <c r="N56" s="1" t="str">
        <f t="shared" ca="1" si="3"/>
        <v>naissance</v>
      </c>
      <c r="O56" s="1" t="str">
        <f t="shared" ca="1" si="4"/>
        <v>Butin</v>
      </c>
      <c r="P56" s="1" t="str">
        <f t="shared" ca="1" si="5"/>
        <v>mort</v>
      </c>
      <c r="Q56" s="1" t="str">
        <f t="shared" ca="1" si="6"/>
        <v>migration</v>
      </c>
      <c r="R56" s="1" t="str">
        <f t="shared" ca="1" si="7"/>
        <v>sécheresse</v>
      </c>
    </row>
    <row r="57" spans="1:18" ht="10.95" customHeight="1">
      <c r="A57" s="649">
        <v>11</v>
      </c>
      <c r="B57" s="649" t="str">
        <f ca="1">IF(RANDBETWEEN(1,100)&lt;57,LOOKUP(RANDBETWEEN(1,10),$G$3:$G23,PlusMoins),"=")</f>
        <v>-</v>
      </c>
      <c r="C57" s="654" t="str">
        <f ca="1">IF(B57&lt;&gt;"=",LOOKUP(RANDBETWEEN(1,10),$G$3:$G23,Type),"-")</f>
        <v>Région</v>
      </c>
      <c r="D57" s="654" t="str">
        <f t="shared" ca="1" si="0"/>
        <v>météo</v>
      </c>
      <c r="E57" s="655"/>
      <c r="F57" s="655"/>
      <c r="G57" s="655"/>
      <c r="H57" s="655"/>
      <c r="I57" s="658" t="str">
        <f ca="1">IF(B57&lt;&gt;"=",LOOKUP(RANDBETWEEN(1,10),$G$3:$G23,enjeu),"-")</f>
        <v>voyage</v>
      </c>
      <c r="J57" s="658" t="str">
        <f t="shared" ca="1" si="1"/>
        <v>Jeu</v>
      </c>
      <c r="K57" s="658" t="str">
        <f ca="1">IF(B57&lt;&gt;"=",LOOKUP(RANDBETWEEN(1,10),$G$3:$G23,enjeu),"-")</f>
        <v>caractéristique</v>
      </c>
      <c r="L57" s="771" t="str">
        <f t="shared" ca="1" si="2"/>
        <v>F(pui)</v>
      </c>
      <c r="N57" s="1" t="str">
        <f t="shared" ca="1" si="3"/>
        <v>monstre</v>
      </c>
      <c r="O57" s="1" t="str">
        <f t="shared" ca="1" si="4"/>
        <v>affaires</v>
      </c>
      <c r="P57" s="1" t="str">
        <f t="shared" ca="1" si="5"/>
        <v>personnalité</v>
      </c>
      <c r="Q57" s="1" t="str">
        <f t="shared" ca="1" si="6"/>
        <v>nourriture</v>
      </c>
      <c r="R57" s="1" t="str">
        <f t="shared" ca="1" si="7"/>
        <v>minorité</v>
      </c>
    </row>
    <row r="58" spans="1:18" ht="10.95" customHeight="1">
      <c r="A58" s="649">
        <v>12</v>
      </c>
      <c r="B58" s="649" t="str">
        <f ca="1">IF(RANDBETWEEN(1,100)&lt;57,LOOKUP(RANDBETWEEN(1,10),$G$3:$G24,PlusMoins),"=")</f>
        <v>+</v>
      </c>
      <c r="C58" s="654" t="str">
        <f ca="1">IF(B58&lt;&gt;"=",LOOKUP(RANDBETWEEN(1,10),$G$3:$G24,Type),"-")</f>
        <v>Personne</v>
      </c>
      <c r="D58" s="654" t="str">
        <f t="shared" ca="1" si="0"/>
        <v>relation</v>
      </c>
      <c r="E58" s="655"/>
      <c r="F58" s="655"/>
      <c r="G58" s="655"/>
      <c r="H58" s="655"/>
      <c r="I58" s="658" t="str">
        <f ca="1">IF(B58&lt;&gt;"=",LOOKUP(RANDBETWEEN(1,10),$G$3:$G24,enjeu),"-")</f>
        <v>voyage</v>
      </c>
      <c r="J58" s="658" t="str">
        <f t="shared" ca="1" si="1"/>
        <v>Criminalité</v>
      </c>
      <c r="K58" s="658" t="str">
        <f ca="1">IF(B58&lt;&gt;"=",LOOKUP(RANDBETWEEN(1,10),$G$3:$G24,enjeu),"-")</f>
        <v>caractéristique</v>
      </c>
      <c r="L58" s="771" t="str">
        <f t="shared" ca="1" si="2"/>
        <v>Ap(cha)</v>
      </c>
      <c r="N58" s="1" t="str">
        <f t="shared" ca="1" si="3"/>
        <v>religion</v>
      </c>
      <c r="O58" s="1" t="str">
        <f t="shared" ca="1" si="4"/>
        <v>intriguant</v>
      </c>
      <c r="P58" s="1" t="str">
        <f t="shared" ca="1" si="5"/>
        <v>tempête</v>
      </c>
      <c r="Q58" s="1" t="str">
        <f t="shared" ca="1" si="6"/>
        <v>enquête</v>
      </c>
      <c r="R58" s="1" t="str">
        <f t="shared" ca="1" si="7"/>
        <v>commerce</v>
      </c>
    </row>
    <row r="59" spans="1:18" ht="10.95" customHeight="1" thickBot="1">
      <c r="A59" s="650">
        <v>13</v>
      </c>
      <c r="B59" s="650" t="str">
        <f ca="1">IF(RANDBETWEEN(1,100)&lt;57,LOOKUP(RANDBETWEEN(1,10),$G$3:$G25,PlusMoins),"=")</f>
        <v>=</v>
      </c>
      <c r="C59" s="656" t="str">
        <f ca="1">IF(B59&lt;&gt;"=",LOOKUP(RANDBETWEEN(1,10),$G$3:$G25,Type),"-")</f>
        <v>-</v>
      </c>
      <c r="D59" s="656" t="str">
        <f t="shared" ca="1" si="0"/>
        <v xml:space="preserve"> </v>
      </c>
      <c r="E59" s="657"/>
      <c r="F59" s="657"/>
      <c r="G59" s="657"/>
      <c r="H59" s="657"/>
      <c r="I59" s="772" t="str">
        <f ca="1">IF(B59&lt;&gt;"=",LOOKUP(RANDBETWEEN(1,10),$G$3:$G25,enjeu),"-")</f>
        <v>-</v>
      </c>
      <c r="J59" s="772" t="str">
        <f t="shared" ca="1" si="1"/>
        <v xml:space="preserve"> </v>
      </c>
      <c r="K59" s="772" t="str">
        <f ca="1">IF(B59&lt;&gt;"=",LOOKUP(RANDBETWEEN(1,10),$G$3:$G25,enjeu),"-")</f>
        <v>-</v>
      </c>
      <c r="L59" s="773" t="str">
        <f t="shared" ca="1" si="2"/>
        <v xml:space="preserve"> </v>
      </c>
      <c r="N59" s="1" t="str">
        <f t="shared" ca="1" si="3"/>
        <v>cœur</v>
      </c>
      <c r="O59" s="1" t="str">
        <f t="shared" ca="1" si="4"/>
        <v>sous influence</v>
      </c>
      <c r="P59" s="1" t="str">
        <f t="shared" ca="1" si="5"/>
        <v xml:space="preserve">incursion </v>
      </c>
      <c r="Q59" s="1" t="str">
        <f t="shared" ca="1" si="6"/>
        <v>famine</v>
      </c>
      <c r="R59" s="1" t="str">
        <f t="shared" ca="1" si="7"/>
        <v>commerce</v>
      </c>
    </row>
    <row r="60" spans="1:18" ht="10.95" customHeight="1">
      <c r="A60" s="648">
        <v>14</v>
      </c>
      <c r="B60" s="648" t="str">
        <f ca="1">LOOKUP(RANDBETWEEN(1,10),$G$3:$G26,PlusMoins)</f>
        <v>- -</v>
      </c>
      <c r="C60" s="652" t="str">
        <f ca="1">IF(B60&lt;&gt;"=",LOOKUP(RANDBETWEEN(1,10),$G$3:$G26,Type),"-")</f>
        <v>Personne</v>
      </c>
      <c r="D60" s="652" t="str">
        <f t="shared" ca="1" si="0"/>
        <v>vol</v>
      </c>
      <c r="E60" s="653"/>
      <c r="F60" s="653"/>
      <c r="G60" s="653"/>
      <c r="H60" s="653"/>
      <c r="I60" s="769" t="str">
        <f ca="1">IF(B60&lt;&gt;"=",LOOKUP(RANDBETWEEN(1,10),$G$3:$G26,enjeu),"-")</f>
        <v>caractéristique</v>
      </c>
      <c r="J60" s="769" t="str">
        <f t="shared" ca="1" si="1"/>
        <v>A(equ)</v>
      </c>
      <c r="K60" s="769" t="str">
        <f ca="1">IF(B60&lt;&gt;"=",LOOKUP(RANDBETWEEN(1,10),$G$3:$G26,enjeu),"-")</f>
        <v>caractéristique</v>
      </c>
      <c r="L60" s="770" t="str">
        <f t="shared" ca="1" si="2"/>
        <v>V(res)</v>
      </c>
      <c r="N60" s="1" t="str">
        <f t="shared" ca="1" si="3"/>
        <v>voyage</v>
      </c>
      <c r="O60" s="1" t="str">
        <f t="shared" ca="1" si="4"/>
        <v>lien</v>
      </c>
      <c r="P60" s="1" t="str">
        <f t="shared" ca="1" si="5"/>
        <v>trahison</v>
      </c>
      <c r="Q60" s="1" t="str">
        <f t="shared" ca="1" si="6"/>
        <v>nourriture</v>
      </c>
      <c r="R60" s="1" t="str">
        <f t="shared" ca="1" si="7"/>
        <v>troubles</v>
      </c>
    </row>
    <row r="61" spans="1:18" ht="10.95" customHeight="1">
      <c r="A61" s="649">
        <v>15</v>
      </c>
      <c r="B61" s="649" t="str">
        <f ca="1">LOOKUP(RANDBETWEEN(1,10),$G$3:$G27,PlusMoins)</f>
        <v>=</v>
      </c>
      <c r="C61" s="654" t="str">
        <f ca="1">IF(B61&lt;&gt;"=",LOOKUP(RANDBETWEEN(1,10),$G$3:$G27,Type),"-")</f>
        <v>-</v>
      </c>
      <c r="D61" s="654" t="str">
        <f t="shared" ca="1" si="0"/>
        <v xml:space="preserve"> </v>
      </c>
      <c r="E61" s="655"/>
      <c r="F61" s="655"/>
      <c r="G61" s="655"/>
      <c r="H61" s="655"/>
      <c r="I61" s="658" t="str">
        <f ca="1">IF(B61&lt;&gt;"=",LOOKUP(RANDBETWEEN(1,10),$G$3:$G27,enjeu),"-")</f>
        <v>-</v>
      </c>
      <c r="J61" s="658" t="str">
        <f t="shared" ca="1" si="1"/>
        <v xml:space="preserve"> </v>
      </c>
      <c r="K61" s="658" t="str">
        <f ca="1">IF(B61&lt;&gt;"=",LOOKUP(RANDBETWEEN(1,10),$G$3:$G27,enjeu),"-")</f>
        <v>-</v>
      </c>
      <c r="L61" s="771" t="str">
        <f t="shared" ca="1" si="2"/>
        <v xml:space="preserve"> </v>
      </c>
      <c r="N61" s="1" t="str">
        <f t="shared" ca="1" si="3"/>
        <v>relation</v>
      </c>
      <c r="O61" s="1" t="str">
        <f t="shared" ca="1" si="4"/>
        <v>affaires</v>
      </c>
      <c r="P61" s="1" t="str">
        <f t="shared" ca="1" si="5"/>
        <v xml:space="preserve">incursion </v>
      </c>
      <c r="Q61" s="1" t="str">
        <f t="shared" ca="1" si="6"/>
        <v>inondation</v>
      </c>
      <c r="R61" s="1" t="str">
        <f t="shared" ca="1" si="7"/>
        <v>guerre civile</v>
      </c>
    </row>
    <row r="62" spans="1:18" ht="10.95" customHeight="1">
      <c r="A62" s="649">
        <v>16</v>
      </c>
      <c r="B62" s="649" t="str">
        <f ca="1">LOOKUP(RANDBETWEEN(1,10),$G$3:$G28,PlusMoins)</f>
        <v>=</v>
      </c>
      <c r="C62" s="654" t="str">
        <f ca="1">IF(B62&lt;&gt;"=",LOOKUP(RANDBETWEEN(1,10),$G$3:$G28,Type),"-")</f>
        <v>-</v>
      </c>
      <c r="D62" s="654" t="str">
        <f t="shared" ca="1" si="0"/>
        <v xml:space="preserve"> </v>
      </c>
      <c r="E62" s="655"/>
      <c r="F62" s="655"/>
      <c r="G62" s="655"/>
      <c r="H62" s="655"/>
      <c r="I62" s="658" t="str">
        <f ca="1">IF(B62&lt;&gt;"=",LOOKUP(RANDBETWEEN(1,10),$G$3:$G28,enjeu),"-")</f>
        <v>-</v>
      </c>
      <c r="J62" s="658" t="str">
        <f t="shared" ca="1" si="1"/>
        <v xml:space="preserve"> </v>
      </c>
      <c r="K62" s="658" t="str">
        <f ca="1">IF(B62&lt;&gt;"=",LOOKUP(RANDBETWEEN(1,10),$G$3:$G28,enjeu),"-")</f>
        <v>-</v>
      </c>
      <c r="L62" s="771" t="str">
        <f t="shared" ca="1" si="2"/>
        <v xml:space="preserve"> </v>
      </c>
      <c r="N62" s="1" t="str">
        <f t="shared" ca="1" si="3"/>
        <v>artistique</v>
      </c>
      <c r="O62" s="1" t="str">
        <f t="shared" ca="1" si="4"/>
        <v>escroquerie</v>
      </c>
      <c r="P62" s="1" t="str">
        <f t="shared" ca="1" si="5"/>
        <v>Double²</v>
      </c>
      <c r="Q62" s="1" t="str">
        <f t="shared" ca="1" si="6"/>
        <v>réfugiés</v>
      </c>
      <c r="R62" s="1" t="str">
        <f t="shared" ca="1" si="7"/>
        <v>médecine</v>
      </c>
    </row>
    <row r="63" spans="1:18" ht="10.95" customHeight="1">
      <c r="A63" s="649">
        <v>17</v>
      </c>
      <c r="B63" s="649" t="str">
        <f ca="1">LOOKUP(RANDBETWEEN(1,10),$G$3:$G29,PlusMoins)</f>
        <v>=</v>
      </c>
      <c r="C63" s="654" t="str">
        <f ca="1">IF(B63&lt;&gt;"=",LOOKUP(RANDBETWEEN(1,10),$G$3:$G29,Type),"-")</f>
        <v>-</v>
      </c>
      <c r="D63" s="654" t="str">
        <f t="shared" ca="1" si="0"/>
        <v xml:space="preserve"> </v>
      </c>
      <c r="E63" s="655"/>
      <c r="F63" s="655"/>
      <c r="G63" s="655"/>
      <c r="H63" s="655"/>
      <c r="I63" s="658" t="str">
        <f ca="1">IF(B63&lt;&gt;"=",LOOKUP(RANDBETWEEN(1,10),$G$3:$G29,enjeu),"-")</f>
        <v>-</v>
      </c>
      <c r="J63" s="658" t="str">
        <f t="shared" ca="1" si="1"/>
        <v xml:space="preserve"> </v>
      </c>
      <c r="K63" s="658" t="str">
        <f ca="1">IF(B63&lt;&gt;"=",LOOKUP(RANDBETWEEN(1,10),$G$3:$G29,enjeu),"-")</f>
        <v>-</v>
      </c>
      <c r="L63" s="771" t="str">
        <f t="shared" ca="1" si="2"/>
        <v xml:space="preserve"> </v>
      </c>
      <c r="N63" s="1" t="str">
        <f t="shared" ca="1" si="3"/>
        <v>témoin</v>
      </c>
      <c r="O63" s="1" t="str">
        <f t="shared" ca="1" si="4"/>
        <v>trésor</v>
      </c>
      <c r="P63" s="1" t="str">
        <f t="shared" ca="1" si="5"/>
        <v>grande bataille</v>
      </c>
      <c r="Q63" s="1" t="str">
        <f t="shared" ca="1" si="6"/>
        <v>persécution</v>
      </c>
      <c r="R63" s="1" t="str">
        <f t="shared" ca="1" si="7"/>
        <v>disparition</v>
      </c>
    </row>
    <row r="64" spans="1:18" ht="10.95" customHeight="1">
      <c r="A64" s="649">
        <v>18</v>
      </c>
      <c r="B64" s="649" t="str">
        <f ca="1">LOOKUP(RANDBETWEEN(1,10),$G$3:$G30,PlusMoins)</f>
        <v>+</v>
      </c>
      <c r="C64" s="654" t="str">
        <f ca="1">IF(B64&lt;&gt;"=",LOOKUP(RANDBETWEEN(1,10),$G$3:$G30,Type),"-")</f>
        <v>Personne</v>
      </c>
      <c r="D64" s="654" t="str">
        <f t="shared" ca="1" si="0"/>
        <v>combat</v>
      </c>
      <c r="E64" s="655"/>
      <c r="F64" s="655"/>
      <c r="G64" s="655"/>
      <c r="H64" s="655"/>
      <c r="I64" s="658" t="str">
        <f ca="1">IF(B64&lt;&gt;"=",LOOKUP(RANDBETWEEN(1,10),$G$3:$G30,enjeu),"-")</f>
        <v>caractéristique</v>
      </c>
      <c r="J64" s="658" t="str">
        <f t="shared" ca="1" si="1"/>
        <v>F(pui)</v>
      </c>
      <c r="K64" s="658" t="str">
        <f ca="1">IF(B64&lt;&gt;"=",LOOKUP(RANDBETWEEN(1,10),$G$3:$G30,enjeu),"-")</f>
        <v>combat</v>
      </c>
      <c r="L64" s="771" t="str">
        <f t="shared" ca="1" si="2"/>
        <v>Fuite</v>
      </c>
      <c r="N64" s="1" t="str">
        <f t="shared" ca="1" si="3"/>
        <v>religion</v>
      </c>
      <c r="O64" s="1" t="str">
        <f t="shared" ca="1" si="4"/>
        <v>guilde</v>
      </c>
      <c r="P64" s="1" t="str">
        <f t="shared" ca="1" si="5"/>
        <v>feu mineur</v>
      </c>
      <c r="Q64" s="1" t="str">
        <f t="shared" ca="1" si="6"/>
        <v>enquête</v>
      </c>
      <c r="R64" s="1" t="str">
        <f t="shared" ca="1" si="7"/>
        <v>fête</v>
      </c>
    </row>
    <row r="65" spans="1:18" ht="10.95" customHeight="1">
      <c r="A65" s="649">
        <v>19</v>
      </c>
      <c r="B65" s="649" t="str">
        <f ca="1">LOOKUP(RANDBETWEEN(1,10),$G$3:$G31,PlusMoins)</f>
        <v>=</v>
      </c>
      <c r="C65" s="654" t="str">
        <f ca="1">IF(B65&lt;&gt;"=",LOOKUP(RANDBETWEEN(1,10),$G$3:$G31,Type),"-")</f>
        <v>-</v>
      </c>
      <c r="D65" s="654" t="str">
        <f t="shared" ca="1" si="0"/>
        <v xml:space="preserve"> </v>
      </c>
      <c r="E65" s="655"/>
      <c r="F65" s="655"/>
      <c r="G65" s="655"/>
      <c r="H65" s="655"/>
      <c r="I65" s="658" t="str">
        <f ca="1">IF(B65&lt;&gt;"=",LOOKUP(RANDBETWEEN(1,10),$G$3:$G31,enjeu),"-")</f>
        <v>-</v>
      </c>
      <c r="J65" s="658" t="str">
        <f t="shared" ca="1" si="1"/>
        <v xml:space="preserve"> </v>
      </c>
      <c r="K65" s="658" t="str">
        <f ca="1">IF(B65&lt;&gt;"=",LOOKUP(RANDBETWEEN(1,10),$G$3:$G31,enjeu),"-")</f>
        <v>-</v>
      </c>
      <c r="L65" s="771" t="str">
        <f t="shared" ca="1" si="2"/>
        <v xml:space="preserve"> </v>
      </c>
      <c r="N65" s="1" t="str">
        <f t="shared" ca="1" si="3"/>
        <v>exploit</v>
      </c>
      <c r="O65" s="1" t="str">
        <f t="shared" ca="1" si="4"/>
        <v>conversion</v>
      </c>
      <c r="P65" s="1" t="str">
        <f t="shared" ca="1" si="5"/>
        <v>tremblement de terre</v>
      </c>
      <c r="Q65" s="1" t="str">
        <f t="shared" ca="1" si="6"/>
        <v>feu</v>
      </c>
      <c r="R65" s="1" t="str">
        <f t="shared" ca="1" si="7"/>
        <v>immigration</v>
      </c>
    </row>
    <row r="66" spans="1:18" ht="10.95" customHeight="1">
      <c r="A66" s="649">
        <v>20</v>
      </c>
      <c r="B66" s="649" t="str">
        <f ca="1">LOOKUP(RANDBETWEEN(1,10),$G$3:$G32,PlusMoins)</f>
        <v>- -</v>
      </c>
      <c r="C66" s="654" t="str">
        <f ca="1">IF(B66&lt;&gt;"=",LOOKUP(RANDBETWEEN(1,10),$G$3:$G32,Type),"-")</f>
        <v>Lieu</v>
      </c>
      <c r="D66" s="654" t="str">
        <f t="shared" ca="1" si="0"/>
        <v>injustice</v>
      </c>
      <c r="E66" s="655"/>
      <c r="F66" s="655"/>
      <c r="G66" s="655"/>
      <c r="H66" s="655"/>
      <c r="I66" s="658" t="str">
        <f ca="1">IF(B66&lt;&gt;"=",LOOKUP(RANDBETWEEN(1,10),$G$3:$G32,enjeu),"-")</f>
        <v>voyage</v>
      </c>
      <c r="J66" s="658" t="str">
        <f t="shared" ca="1" si="1"/>
        <v xml:space="preserve">Lecture </v>
      </c>
      <c r="K66" s="658" t="str">
        <f ca="1">IF(B66&lt;&gt;"=",LOOKUP(RANDBETWEEN(1,10),$G$3:$G32,enjeu),"-")</f>
        <v>caractéristique</v>
      </c>
      <c r="L66" s="771" t="str">
        <f t="shared" ca="1" si="2"/>
        <v>F(pui)</v>
      </c>
      <c r="N66" s="1" t="str">
        <f t="shared" ca="1" si="3"/>
        <v>terre</v>
      </c>
      <c r="O66" s="1" t="str">
        <f t="shared" ca="1" si="4"/>
        <v>créature de nuit</v>
      </c>
      <c r="P66" s="1" t="str">
        <f t="shared" ca="1" si="5"/>
        <v>visite importante</v>
      </c>
      <c r="Q66" s="1" t="str">
        <f t="shared" ca="1" si="6"/>
        <v>crime majeur</v>
      </c>
      <c r="R66" s="1" t="str">
        <f t="shared" ca="1" si="7"/>
        <v>croissance population</v>
      </c>
    </row>
    <row r="67" spans="1:18" ht="10.95" customHeight="1" thickBot="1">
      <c r="A67" s="650">
        <v>21</v>
      </c>
      <c r="B67" s="650" t="str">
        <f ca="1">LOOKUP(RANDBETWEEN(1,10),$G$3:$G33,PlusMoins)</f>
        <v>+</v>
      </c>
      <c r="C67" s="656" t="str">
        <f ca="1">IF(B67&lt;&gt;"=",LOOKUP(RANDBETWEEN(1,10),$G$3:$G33,Type),"-")</f>
        <v>Lieu</v>
      </c>
      <c r="D67" s="656" t="str">
        <f t="shared" ca="1" si="0"/>
        <v>inflation</v>
      </c>
      <c r="E67" s="657"/>
      <c r="F67" s="657"/>
      <c r="G67" s="657"/>
      <c r="H67" s="657"/>
      <c r="I67" s="772" t="str">
        <f ca="1">IF(B67&lt;&gt;"=",LOOKUP(RANDBETWEEN(1,10),$G$3:$G33,enjeu),"-")</f>
        <v>caractéristique</v>
      </c>
      <c r="J67" s="772" t="str">
        <f t="shared" ca="1" si="1"/>
        <v>V(res)</v>
      </c>
      <c r="K67" s="772" t="str">
        <f ca="1">IF(B67&lt;&gt;"=",LOOKUP(RANDBETWEEN(1,10),$G$3:$G33,enjeu),"-")</f>
        <v>combat</v>
      </c>
      <c r="L67" s="773" t="str">
        <f t="shared" ca="1" si="2"/>
        <v>Mêlée</v>
      </c>
      <c r="N67" s="1" t="str">
        <f t="shared" ca="1" si="3"/>
        <v>revenu</v>
      </c>
      <c r="O67" s="1" t="str">
        <f t="shared" ca="1" si="4"/>
        <v>appauvrissement</v>
      </c>
      <c r="P67" s="1" t="str">
        <f t="shared" ca="1" si="5"/>
        <v>mort</v>
      </c>
      <c r="Q67" s="1" t="str">
        <f t="shared" ca="1" si="6"/>
        <v>épidémie</v>
      </c>
      <c r="R67" s="1" t="str">
        <f t="shared" ca="1" si="7"/>
        <v>troubles</v>
      </c>
    </row>
    <row r="68" spans="1:18" ht="10.95" customHeight="1">
      <c r="A68" s="774">
        <v>22</v>
      </c>
      <c r="B68" s="774" t="str">
        <f ca="1">LOOKUP(RANDBETWEEN(1,10),$G$3:$G34,PlusMoins)</f>
        <v>=</v>
      </c>
      <c r="C68" s="775" t="str">
        <f ca="1">IF(B68&lt;&gt;"=",LOOKUP(RANDBETWEEN(1,10),$G$3:$G34,Type),"-")</f>
        <v>-</v>
      </c>
      <c r="D68" s="775" t="str">
        <f t="shared" ca="1" si="0"/>
        <v xml:space="preserve"> </v>
      </c>
      <c r="E68" s="776"/>
      <c r="F68" s="776"/>
      <c r="G68" s="776"/>
      <c r="H68" s="776"/>
      <c r="I68" s="777" t="str">
        <f ca="1">IF(B68&lt;&gt;"=",LOOKUP(RANDBETWEEN(1,10),$G$3:$G34,enjeu),"-")</f>
        <v>-</v>
      </c>
      <c r="J68" s="777" t="str">
        <f t="shared" ca="1" si="1"/>
        <v xml:space="preserve"> </v>
      </c>
      <c r="K68" s="777" t="str">
        <f ca="1">IF(B68&lt;&gt;"=",LOOKUP(RANDBETWEEN(1,10),$G$3:$G34,enjeu),"-")</f>
        <v>-</v>
      </c>
      <c r="L68" s="778" t="str">
        <f t="shared" ca="1" si="2"/>
        <v xml:space="preserve"> </v>
      </c>
      <c r="N68" s="1" t="str">
        <f t="shared" ca="1" si="3"/>
        <v>naissance</v>
      </c>
      <c r="O68" s="1" t="str">
        <f t="shared" ca="1" si="4"/>
        <v>aventure</v>
      </c>
      <c r="P68" s="1" t="str">
        <f t="shared" ca="1" si="5"/>
        <v>Double²</v>
      </c>
      <c r="Q68" s="1" t="str">
        <f t="shared" ca="1" si="6"/>
        <v>guilde</v>
      </c>
      <c r="R68" s="1" t="str">
        <f t="shared" ca="1" si="7"/>
        <v>révoltes</v>
      </c>
    </row>
    <row r="69" spans="1:18" ht="10.95" customHeight="1">
      <c r="A69" s="649">
        <v>23</v>
      </c>
      <c r="B69" s="649" t="str">
        <f ca="1">LOOKUP(RANDBETWEEN(1,10),$G$3:$G35,PlusMoins)</f>
        <v>=</v>
      </c>
      <c r="C69" s="654" t="str">
        <f ca="1">IF(B69&lt;&gt;"=",LOOKUP(RANDBETWEEN(1,10),$G$3:$G35,Type),"-")</f>
        <v>-</v>
      </c>
      <c r="D69" s="654" t="str">
        <f t="shared" ca="1" si="0"/>
        <v xml:space="preserve"> </v>
      </c>
      <c r="E69" s="655"/>
      <c r="F69" s="655"/>
      <c r="G69" s="655"/>
      <c r="H69" s="655"/>
      <c r="I69" s="658" t="str">
        <f ca="1">IF(B69&lt;&gt;"=",LOOKUP(RANDBETWEEN(1,10),$G$3:$G35,enjeu),"-")</f>
        <v>-</v>
      </c>
      <c r="J69" s="658" t="str">
        <f t="shared" ca="1" si="1"/>
        <v xml:space="preserve"> </v>
      </c>
      <c r="K69" s="658" t="str">
        <f ca="1">IF(B69&lt;&gt;"=",LOOKUP(RANDBETWEEN(1,10),$G$3:$G35,enjeu),"-")</f>
        <v>-</v>
      </c>
      <c r="L69" s="771" t="str">
        <f t="shared" ca="1" si="2"/>
        <v xml:space="preserve"> </v>
      </c>
      <c r="N69" s="1" t="str">
        <f t="shared" ca="1" si="3"/>
        <v>combat</v>
      </c>
      <c r="O69" s="1" t="str">
        <f t="shared" ca="1" si="4"/>
        <v>bataille</v>
      </c>
      <c r="P69" s="1" t="str">
        <f t="shared" ca="1" si="5"/>
        <v>Quadruple4</v>
      </c>
      <c r="Q69" s="1" t="str">
        <f t="shared" ca="1" si="6"/>
        <v>Tournoi</v>
      </c>
      <c r="R69" s="1" t="str">
        <f t="shared" ca="1" si="7"/>
        <v>commerce</v>
      </c>
    </row>
    <row r="70" spans="1:18" ht="10.95" customHeight="1">
      <c r="A70" s="649">
        <v>24</v>
      </c>
      <c r="B70" s="649" t="str">
        <f ca="1">LOOKUP(RANDBETWEEN(1,10),$G$3:$G36,PlusMoins)</f>
        <v>=</v>
      </c>
      <c r="C70" s="654" t="str">
        <f ca="1">IF(B70&lt;&gt;"=",LOOKUP(RANDBETWEEN(1,10),$G$3:$G36,Type),"-")</f>
        <v>-</v>
      </c>
      <c r="D70" s="654" t="str">
        <f t="shared" ca="1" si="0"/>
        <v xml:space="preserve"> </v>
      </c>
      <c r="E70" s="655"/>
      <c r="F70" s="655"/>
      <c r="G70" s="655"/>
      <c r="H70" s="655"/>
      <c r="I70" s="658" t="str">
        <f ca="1">IF(B70&lt;&gt;"=",LOOKUP(RANDBETWEEN(1,10),$G$3:$G36,enjeu),"-")</f>
        <v>-</v>
      </c>
      <c r="J70" s="658" t="str">
        <f t="shared" ca="1" si="1"/>
        <v xml:space="preserve"> </v>
      </c>
      <c r="K70" s="658" t="str">
        <f ca="1">IF(B70&lt;&gt;"=",LOOKUP(RANDBETWEEN(1,10),$G$3:$G36,enjeu),"-")</f>
        <v>-</v>
      </c>
      <c r="L70" s="771" t="str">
        <f t="shared" ca="1" si="2"/>
        <v xml:space="preserve"> </v>
      </c>
      <c r="N70" s="1" t="str">
        <f t="shared" ca="1" si="3"/>
        <v>économie</v>
      </c>
      <c r="O70" s="1" t="str">
        <f t="shared" ca="1" si="4"/>
        <v>appauvrissement</v>
      </c>
      <c r="P70" s="1" t="str">
        <f t="shared" ca="1" si="5"/>
        <v>intrigue locale</v>
      </c>
      <c r="Q70" s="1" t="str">
        <f t="shared" ca="1" si="6"/>
        <v>commerce</v>
      </c>
      <c r="R70" s="1" t="str">
        <f t="shared" ca="1" si="7"/>
        <v>famine</v>
      </c>
    </row>
    <row r="71" spans="1:18" ht="10.95" customHeight="1">
      <c r="A71" s="649">
        <v>25</v>
      </c>
      <c r="B71" s="649" t="str">
        <f ca="1">LOOKUP(RANDBETWEEN(1,10),$G$3:$G37,PlusMoins)</f>
        <v>=</v>
      </c>
      <c r="C71" s="654" t="str">
        <f ca="1">IF(B71&lt;&gt;"=",LOOKUP(RANDBETWEEN(1,10),$G$3:$G37,Type),"-")</f>
        <v>-</v>
      </c>
      <c r="D71" s="654" t="str">
        <f t="shared" ca="1" si="0"/>
        <v xml:space="preserve"> </v>
      </c>
      <c r="E71" s="655"/>
      <c r="F71" s="655"/>
      <c r="G71" s="655"/>
      <c r="H71" s="655"/>
      <c r="I71" s="658" t="str">
        <f ca="1">IF(B71&lt;&gt;"=",LOOKUP(RANDBETWEEN(1,10),$G$3:$G37,enjeu),"-")</f>
        <v>-</v>
      </c>
      <c r="J71" s="658" t="str">
        <f t="shared" ca="1" si="1"/>
        <v xml:space="preserve"> </v>
      </c>
      <c r="K71" s="658" t="str">
        <f ca="1">IF(B71&lt;&gt;"=",LOOKUP(RANDBETWEEN(1,10),$G$3:$G37,enjeu),"-")</f>
        <v>-</v>
      </c>
      <c r="L71" s="771" t="str">
        <f t="shared" ca="1" si="2"/>
        <v xml:space="preserve"> </v>
      </c>
      <c r="N71" s="1" t="str">
        <f t="shared" ca="1" si="3"/>
        <v>voyage</v>
      </c>
      <c r="O71" s="1" t="str">
        <f t="shared" ca="1" si="4"/>
        <v>travail</v>
      </c>
      <c r="P71" s="1" t="str">
        <f t="shared" ca="1" si="5"/>
        <v>déflation</v>
      </c>
      <c r="Q71" s="1" t="str">
        <f t="shared" ca="1" si="6"/>
        <v>enquête</v>
      </c>
      <c r="R71" s="1" t="str">
        <f t="shared" ca="1" si="7"/>
        <v>guerre</v>
      </c>
    </row>
    <row r="72" spans="1:18" ht="10.95" customHeight="1">
      <c r="A72" s="649">
        <v>26</v>
      </c>
      <c r="B72" s="649" t="str">
        <f ca="1">LOOKUP(RANDBETWEEN(1,10),$G$3:$G38,PlusMoins)</f>
        <v>=</v>
      </c>
      <c r="C72" s="654" t="str">
        <f ca="1">IF(B72&lt;&gt;"=",LOOKUP(RANDBETWEEN(1,10),$G$3:$G38,Type),"-")</f>
        <v>-</v>
      </c>
      <c r="D72" s="654" t="str">
        <f t="shared" ca="1" si="0"/>
        <v xml:space="preserve"> </v>
      </c>
      <c r="E72" s="655"/>
      <c r="F72" s="655"/>
      <c r="G72" s="655"/>
      <c r="H72" s="655"/>
      <c r="I72" s="658" t="str">
        <f ca="1">IF(B72&lt;&gt;"=",LOOKUP(RANDBETWEEN(1,10),$G$3:$G38,enjeu),"-")</f>
        <v>-</v>
      </c>
      <c r="J72" s="658" t="str">
        <f t="shared" ca="1" si="1"/>
        <v xml:space="preserve"> </v>
      </c>
      <c r="K72" s="658" t="str">
        <f ca="1">IF(B72&lt;&gt;"=",LOOKUP(RANDBETWEEN(1,10),$G$3:$G38,enjeu),"-")</f>
        <v>-</v>
      </c>
      <c r="L72" s="771" t="str">
        <f t="shared" ca="1" si="2"/>
        <v xml:space="preserve"> </v>
      </c>
      <c r="N72" s="1" t="str">
        <f t="shared" ca="1" si="3"/>
        <v>métier</v>
      </c>
      <c r="O72" s="1" t="str">
        <f t="shared" ca="1" si="4"/>
        <v>relation amoureuse</v>
      </c>
      <c r="P72" s="1" t="str">
        <f t="shared" ca="1" si="5"/>
        <v>personnalité</v>
      </c>
      <c r="Q72" s="1" t="str">
        <f t="shared" ca="1" si="6"/>
        <v>assassinat</v>
      </c>
      <c r="R72" s="1" t="str">
        <f t="shared" ca="1" si="7"/>
        <v>union</v>
      </c>
    </row>
    <row r="73" spans="1:18" ht="10.95" customHeight="1">
      <c r="A73" s="649">
        <v>27</v>
      </c>
      <c r="B73" s="649" t="str">
        <f ca="1">LOOKUP(RANDBETWEEN(1,10),$G$3:$G39,PlusMoins)</f>
        <v>=</v>
      </c>
      <c r="C73" s="654" t="str">
        <f ca="1">IF(B73&lt;&gt;"=",LOOKUP(RANDBETWEEN(1,10),$G$3:$G39,Type),"-")</f>
        <v>-</v>
      </c>
      <c r="D73" s="654" t="str">
        <f t="shared" ca="1" si="0"/>
        <v xml:space="preserve"> </v>
      </c>
      <c r="E73" s="655"/>
      <c r="F73" s="655"/>
      <c r="G73" s="655"/>
      <c r="H73" s="655"/>
      <c r="I73" s="658" t="str">
        <f ca="1">IF(B73&lt;&gt;"=",LOOKUP(RANDBETWEEN(1,10),$G$3:$G39,enjeu),"-")</f>
        <v>-</v>
      </c>
      <c r="J73" s="658" t="str">
        <f t="shared" ca="1" si="1"/>
        <v xml:space="preserve"> </v>
      </c>
      <c r="K73" s="658" t="str">
        <f ca="1">IF(B73&lt;&gt;"=",LOOKUP(RANDBETWEEN(1,10),$G$3:$G39,enjeu),"-")</f>
        <v>-</v>
      </c>
      <c r="L73" s="771" t="str">
        <f t="shared" ca="1" si="2"/>
        <v xml:space="preserve"> </v>
      </c>
      <c r="N73" s="1" t="str">
        <f t="shared" ca="1" si="3"/>
        <v>histoire</v>
      </c>
      <c r="O73" s="1" t="str">
        <f t="shared" ca="1" si="4"/>
        <v>hérésie</v>
      </c>
      <c r="P73" s="1" t="str">
        <f t="shared" ca="1" si="5"/>
        <v>étranger vengeur</v>
      </c>
      <c r="Q73" s="1" t="str">
        <f t="shared" ca="1" si="6"/>
        <v>vague chaleur</v>
      </c>
      <c r="R73" s="1" t="str">
        <f t="shared" ca="1" si="7"/>
        <v>guerre</v>
      </c>
    </row>
    <row r="74" spans="1:18" ht="10.95" customHeight="1">
      <c r="A74" s="649">
        <v>28</v>
      </c>
      <c r="B74" s="649" t="str">
        <f ca="1">LOOKUP(RANDBETWEEN(1,10),$G$3:$G40,PlusMoins)</f>
        <v>-</v>
      </c>
      <c r="C74" s="654" t="str">
        <f ca="1">IF(B74&lt;&gt;"=",LOOKUP(RANDBETWEEN(1,10),$G$3:$G40,Type),"-")</f>
        <v>Région</v>
      </c>
      <c r="D74" s="654" t="str">
        <f t="shared" ca="1" si="0"/>
        <v>maladie personnalité</v>
      </c>
      <c r="E74" s="655"/>
      <c r="F74" s="655"/>
      <c r="G74" s="655"/>
      <c r="H74" s="655"/>
      <c r="I74" s="658" t="str">
        <f ca="1">IF(B74&lt;&gt;"=",LOOKUP(RANDBETWEEN(1,10),$G$3:$G40,enjeu),"-")</f>
        <v>caractéristique</v>
      </c>
      <c r="J74" s="658" t="str">
        <f t="shared" ca="1" si="1"/>
        <v>I(mem)</v>
      </c>
      <c r="K74" s="658" t="str">
        <f ca="1">IF(B74&lt;&gt;"=",LOOKUP(RANDBETWEEN(1,10),$G$3:$G40,enjeu),"-")</f>
        <v>caractéristique</v>
      </c>
      <c r="L74" s="771" t="str">
        <f t="shared" ca="1" si="2"/>
        <v>En(fat)</v>
      </c>
      <c r="N74" s="1" t="str">
        <f t="shared" ca="1" si="3"/>
        <v>terre</v>
      </c>
      <c r="O74" s="1" t="str">
        <f t="shared" ca="1" si="4"/>
        <v>escroquerie</v>
      </c>
      <c r="P74" s="1" t="str">
        <f t="shared" ca="1" si="5"/>
        <v>naissance</v>
      </c>
      <c r="Q74" s="1" t="str">
        <f t="shared" ca="1" si="6"/>
        <v>maladie personnalité</v>
      </c>
      <c r="R74" s="1" t="str">
        <f t="shared" ca="1" si="7"/>
        <v>accords</v>
      </c>
    </row>
    <row r="75" spans="1:18" ht="10.95" customHeight="1">
      <c r="A75" s="649">
        <v>29</v>
      </c>
      <c r="B75" s="649" t="str">
        <f ca="1">LOOKUP(RANDBETWEEN(1,10),$G$3:$G41,PlusMoins)</f>
        <v>=</v>
      </c>
      <c r="C75" s="654" t="str">
        <f ca="1">IF(B75&lt;&gt;"=",LOOKUP(RANDBETWEEN(1,10),$G$3:$G41,Type),"-")</f>
        <v>-</v>
      </c>
      <c r="D75" s="654" t="str">
        <f t="shared" ca="1" si="0"/>
        <v xml:space="preserve"> </v>
      </c>
      <c r="E75" s="655"/>
      <c r="F75" s="655"/>
      <c r="G75" s="655"/>
      <c r="H75" s="655"/>
      <c r="I75" s="658" t="str">
        <f ca="1">IF(B75&lt;&gt;"=",LOOKUP(RANDBETWEEN(1,10),$G$3:$G41,enjeu),"-")</f>
        <v>-</v>
      </c>
      <c r="J75" s="658" t="str">
        <f t="shared" ca="1" si="1"/>
        <v xml:space="preserve"> </v>
      </c>
      <c r="K75" s="658" t="str">
        <f ca="1">IF(B75&lt;&gt;"=",LOOKUP(RANDBETWEEN(1,10),$G$3:$G41,enjeu),"-")</f>
        <v>-</v>
      </c>
      <c r="L75" s="771" t="str">
        <f t="shared" ca="1" si="2"/>
        <v xml:space="preserve"> </v>
      </c>
      <c r="N75" s="1" t="str">
        <f t="shared" ca="1" si="3"/>
        <v>revenu</v>
      </c>
      <c r="O75" s="1" t="str">
        <f t="shared" ca="1" si="4"/>
        <v>guilde</v>
      </c>
      <c r="P75" s="1" t="str">
        <f t="shared" ca="1" si="5"/>
        <v>mariage</v>
      </c>
      <c r="Q75" s="1" t="str">
        <f t="shared" ca="1" si="6"/>
        <v>enquête</v>
      </c>
      <c r="R75" s="1" t="str">
        <f t="shared" ca="1" si="7"/>
        <v>guerre civile</v>
      </c>
    </row>
    <row r="76" spans="1:18" ht="10.95" customHeight="1" thickBot="1">
      <c r="A76" s="650">
        <v>30</v>
      </c>
      <c r="B76" s="650" t="str">
        <f ca="1">LOOKUP(RANDBETWEEN(1,10),$G$3:$G42,PlusMoins)</f>
        <v>++</v>
      </c>
      <c r="C76" s="656" t="str">
        <f ca="1">IF(B76&lt;&gt;"=",LOOKUP(RANDBETWEEN(1,10),$G$3:$G42,Type),"-")</f>
        <v>Groupe</v>
      </c>
      <c r="D76" s="656" t="str">
        <f t="shared" ca="1" si="0"/>
        <v>lien</v>
      </c>
      <c r="E76" s="657"/>
      <c r="F76" s="657"/>
      <c r="G76" s="657"/>
      <c r="H76" s="657"/>
      <c r="I76" s="772" t="str">
        <f ca="1">IF(B76&lt;&gt;"=",LOOKUP(RANDBETWEEN(1,10),$G$3:$G42,enjeu),"-")</f>
        <v>étrange</v>
      </c>
      <c r="J76" s="772" t="str">
        <f t="shared" ca="1" si="1"/>
        <v>Goût</v>
      </c>
      <c r="K76" s="772" t="str">
        <f ca="1">IF(B76&lt;&gt;"=",LOOKUP(RANDBETWEEN(1,10),$G$3:$G42,enjeu),"-")</f>
        <v>voyage</v>
      </c>
      <c r="L76" s="773" t="str">
        <f t="shared" ca="1" si="2"/>
        <v>Escalade</v>
      </c>
      <c r="N76" s="1" t="str">
        <f t="shared" ca="1" si="3"/>
        <v>Double²</v>
      </c>
      <c r="O76" s="1" t="str">
        <f t="shared" ca="1" si="4"/>
        <v>relation</v>
      </c>
      <c r="P76" s="1" t="str">
        <f t="shared" ca="1" si="5"/>
        <v>révolte</v>
      </c>
      <c r="Q76" s="1" t="str">
        <f t="shared" ca="1" si="6"/>
        <v>visite dignitaire</v>
      </c>
      <c r="R76" s="1" t="str">
        <f t="shared" ca="1" si="7"/>
        <v>récolte</v>
      </c>
    </row>
    <row r="77" spans="1:18" ht="12.75" customHeight="1">
      <c r="N77" s="1" t="str">
        <f t="shared" ca="1" si="3"/>
        <v>artistique</v>
      </c>
      <c r="O77" s="1" t="str">
        <f t="shared" ca="1" si="4"/>
        <v>Butin</v>
      </c>
      <c r="P77" s="1" t="str">
        <f t="shared" ca="1" si="5"/>
        <v>mouvement de troupe</v>
      </c>
      <c r="Q77" s="1" t="str">
        <f t="shared" ca="1" si="6"/>
        <v>crime majeur</v>
      </c>
      <c r="R77" s="1" t="str">
        <f t="shared" ca="1" si="7"/>
        <v>race</v>
      </c>
    </row>
    <row r="78" spans="1:18" ht="12.75" customHeight="1">
      <c r="N78" s="1" t="str">
        <f t="shared" ca="1" si="3"/>
        <v>rencontre</v>
      </c>
      <c r="O78" s="1" t="str">
        <f t="shared" ca="1" si="4"/>
        <v>dispute</v>
      </c>
      <c r="P78" s="1" t="str">
        <f t="shared" ca="1" si="5"/>
        <v>mort</v>
      </c>
      <c r="Q78" s="1" t="str">
        <f t="shared" ca="1" si="6"/>
        <v>assassinat</v>
      </c>
      <c r="R78" s="1" t="str">
        <f t="shared" ca="1" si="7"/>
        <v>minorité</v>
      </c>
    </row>
    <row r="79" spans="1:18" ht="12.75" customHeight="1">
      <c r="N79" s="1" t="str">
        <f t="shared" ca="1" si="3"/>
        <v>rencontre</v>
      </c>
      <c r="O79" s="1" t="str">
        <f t="shared" ca="1" si="4"/>
        <v>Triple³</v>
      </c>
      <c r="P79" s="1" t="str">
        <f t="shared" ca="1" si="5"/>
        <v xml:space="preserve">incursion </v>
      </c>
      <c r="Q79" s="1" t="str">
        <f t="shared" ca="1" si="6"/>
        <v>rébellion</v>
      </c>
      <c r="R79" s="1" t="str">
        <f t="shared" ca="1" si="7"/>
        <v>chevalerie</v>
      </c>
    </row>
    <row r="80" spans="1:18" ht="12.75" customHeight="1">
      <c r="N80" s="1" t="str">
        <f t="shared" ca="1" si="3"/>
        <v>révélation</v>
      </c>
      <c r="O80" s="1" t="str">
        <f t="shared" ca="1" si="4"/>
        <v>intriguant</v>
      </c>
      <c r="P80" s="1" t="str">
        <f t="shared" ca="1" si="5"/>
        <v>inflation</v>
      </c>
      <c r="Q80" s="1" t="str">
        <f t="shared" ca="1" si="6"/>
        <v>météo</v>
      </c>
      <c r="R80" s="1" t="str">
        <f t="shared" ca="1" si="7"/>
        <v>décret</v>
      </c>
    </row>
    <row r="81" spans="14:18" ht="12.75" customHeight="1">
      <c r="N81" s="1" t="str">
        <f t="shared" ca="1" si="3"/>
        <v>rencontre</v>
      </c>
      <c r="O81" s="1" t="str">
        <f t="shared" ca="1" si="4"/>
        <v>escarmouche</v>
      </c>
      <c r="P81" s="1" t="str">
        <f t="shared" ca="1" si="5"/>
        <v>criminel notoire</v>
      </c>
      <c r="Q81" s="1" t="str">
        <f t="shared" ca="1" si="6"/>
        <v>Triple³</v>
      </c>
      <c r="R81" s="1" t="str">
        <f t="shared" ca="1" si="7"/>
        <v>ressource</v>
      </c>
    </row>
    <row r="82" spans="14:18" ht="12.75" customHeight="1">
      <c r="N82" s="1" t="str">
        <f t="shared" ca="1" si="3"/>
        <v>revenu</v>
      </c>
      <c r="O82" s="1" t="str">
        <f t="shared" ca="1" si="4"/>
        <v>découverte</v>
      </c>
      <c r="P82" s="1" t="str">
        <f t="shared" ca="1" si="5"/>
        <v>recrutement</v>
      </c>
      <c r="Q82" s="1" t="str">
        <f t="shared" ca="1" si="6"/>
        <v>mouvement population</v>
      </c>
      <c r="R82" s="1" t="str">
        <f t="shared" ca="1" si="7"/>
        <v>minorité</v>
      </c>
    </row>
    <row r="83" spans="14:18" ht="12.75" customHeight="1">
      <c r="N83" s="1" t="str">
        <f t="shared" ca="1" si="3"/>
        <v>ressource</v>
      </c>
      <c r="O83" s="1" t="str">
        <f t="shared" ca="1" si="4"/>
        <v>relation amoureuse</v>
      </c>
      <c r="P83" s="1" t="str">
        <f t="shared" ca="1" si="5"/>
        <v>temple</v>
      </c>
      <c r="Q83" s="1" t="str">
        <f t="shared" ca="1" si="6"/>
        <v>météo</v>
      </c>
      <c r="R83" s="1" t="str">
        <f t="shared" ca="1" si="7"/>
        <v>mariage royal</v>
      </c>
    </row>
    <row r="84" spans="14:18" ht="12.75" customHeight="1">
      <c r="N84" s="1" t="str">
        <f t="shared" ca="1" si="3"/>
        <v>métier</v>
      </c>
      <c r="O84" s="1" t="str">
        <f t="shared" ca="1" si="4"/>
        <v>trésor</v>
      </c>
      <c r="P84" s="1" t="str">
        <f t="shared" ca="1" si="5"/>
        <v xml:space="preserve">incursion </v>
      </c>
      <c r="Q84" s="1" t="str">
        <f t="shared" ca="1" si="6"/>
        <v>bétail</v>
      </c>
      <c r="R84" s="1" t="str">
        <f t="shared" ca="1" si="7"/>
        <v>récolte</v>
      </c>
    </row>
    <row r="85" spans="14:18" ht="12.75" customHeight="1">
      <c r="N85" s="1" t="str">
        <f t="shared" ca="1" si="3"/>
        <v>économie</v>
      </c>
      <c r="O85" s="1" t="str">
        <f t="shared" ca="1" si="4"/>
        <v>cauchemar</v>
      </c>
      <c r="P85" s="1" t="str">
        <f t="shared" ca="1" si="5"/>
        <v>jacquerie</v>
      </c>
      <c r="Q85" s="1" t="str">
        <f t="shared" ca="1" si="6"/>
        <v>bataille</v>
      </c>
      <c r="R85" s="1" t="str">
        <f t="shared" ca="1" si="7"/>
        <v>nouvelle religion</v>
      </c>
    </row>
    <row r="86" spans="14:18" ht="12.75" customHeight="1">
      <c r="N86" s="1" t="str">
        <f t="shared" ca="1" si="3"/>
        <v>rencontre</v>
      </c>
      <c r="O86" s="1" t="str">
        <f t="shared" ca="1" si="4"/>
        <v>emploi</v>
      </c>
      <c r="P86" s="1" t="str">
        <f t="shared" ca="1" si="5"/>
        <v xml:space="preserve">incursion </v>
      </c>
      <c r="Q86" s="1" t="str">
        <f t="shared" ca="1" si="6"/>
        <v>bétail</v>
      </c>
      <c r="R86" s="1" t="str">
        <f t="shared" ca="1" si="7"/>
        <v>minorité</v>
      </c>
    </row>
    <row r="87" spans="14:18" ht="12.75" customHeight="1">
      <c r="N87" s="1" t="str">
        <f t="shared" ca="1" si="3"/>
        <v>revenu</v>
      </c>
      <c r="O87" s="1" t="str">
        <f t="shared" ca="1" si="4"/>
        <v>enrichissement</v>
      </c>
      <c r="P87" s="1" t="str">
        <f t="shared" ca="1" si="5"/>
        <v>étranger vengeur</v>
      </c>
      <c r="Q87" s="1" t="str">
        <f t="shared" ca="1" si="6"/>
        <v>persécution</v>
      </c>
      <c r="R87" s="1" t="str">
        <f t="shared" ca="1" si="7"/>
        <v>guerre</v>
      </c>
    </row>
    <row r="88" spans="14:18" ht="12.75" customHeight="1">
      <c r="N88" s="1" t="str">
        <f t="shared" ca="1" si="3"/>
        <v>connaissance</v>
      </c>
      <c r="O88" s="1" t="str">
        <f t="shared" ca="1" si="4"/>
        <v>affaires</v>
      </c>
      <c r="P88" s="1" t="str">
        <f t="shared" ca="1" si="5"/>
        <v>jacquerie</v>
      </c>
      <c r="Q88" s="1" t="str">
        <f t="shared" ca="1" si="6"/>
        <v>empoisonnement</v>
      </c>
      <c r="R88" s="1" t="str">
        <f t="shared" ca="1" si="7"/>
        <v>disparition</v>
      </c>
    </row>
    <row r="89" spans="14:18" ht="12.75" customHeight="1">
      <c r="N89" s="1" t="str">
        <f t="shared" ca="1" si="3"/>
        <v>économie</v>
      </c>
      <c r="O89" s="1" t="str">
        <f t="shared" ca="1" si="4"/>
        <v>escroquerie</v>
      </c>
      <c r="P89" s="1" t="str">
        <f t="shared" ca="1" si="5"/>
        <v>cannibalisme</v>
      </c>
      <c r="Q89" s="1" t="str">
        <f t="shared" ca="1" si="6"/>
        <v>brigandage</v>
      </c>
      <c r="R89" s="1" t="str">
        <f t="shared" ca="1" si="7"/>
        <v>récolte</v>
      </c>
    </row>
    <row r="90" spans="14:18" ht="12.75" customHeight="1">
      <c r="N90" s="1" t="str">
        <f t="shared" ca="1" si="3"/>
        <v>terre</v>
      </c>
      <c r="O90" s="1" t="str">
        <f t="shared" ca="1" si="4"/>
        <v>travail</v>
      </c>
      <c r="P90" s="1" t="str">
        <f t="shared" ca="1" si="5"/>
        <v>feu majeur</v>
      </c>
      <c r="Q90" s="1" t="str">
        <f t="shared" ca="1" si="6"/>
        <v>visite dignitaire</v>
      </c>
      <c r="R90" s="1" t="str">
        <f t="shared" ca="1" si="7"/>
        <v>immigration</v>
      </c>
    </row>
    <row r="91" spans="14:18" ht="12.75" customHeight="1">
      <c r="N91" s="1" t="str">
        <f t="shared" ca="1" si="3"/>
        <v>légende</v>
      </c>
      <c r="O91" s="1" t="str">
        <f t="shared" ca="1" si="4"/>
        <v>affaires</v>
      </c>
      <c r="P91" s="1" t="str">
        <f t="shared" ca="1" si="5"/>
        <v>visite importante</v>
      </c>
      <c r="Q91" s="1" t="str">
        <f t="shared" ca="1" si="6"/>
        <v>feu</v>
      </c>
      <c r="R91" s="1" t="str">
        <f t="shared" ca="1" si="7"/>
        <v>incendies</v>
      </c>
    </row>
    <row r="92" spans="14:18" ht="12.75" customHeight="1">
      <c r="N92" s="1" t="str">
        <f t="shared" ca="1" si="3"/>
        <v>guerre</v>
      </c>
      <c r="O92" s="1" t="str">
        <f t="shared" ca="1" si="4"/>
        <v>message</v>
      </c>
      <c r="P92" s="1" t="str">
        <f t="shared" ca="1" si="5"/>
        <v>cannibalisme</v>
      </c>
      <c r="Q92" s="1" t="str">
        <f t="shared" ca="1" si="6"/>
        <v>loi</v>
      </c>
      <c r="R92" s="1" t="str">
        <f t="shared" ca="1" si="7"/>
        <v>guerre civile</v>
      </c>
    </row>
  </sheetData>
  <pageMargins left="0.7" right="0.7" top="0.75" bottom="0.75" header="0.3" footer="0.3"/>
  <pageSetup paperSize="9" orientation="landscape" horizontalDpi="300" verticalDpi="300" r:id="rId1"/>
  <headerFooter>
    <oddFooter>&amp;C_x000D_&amp;1#&amp;"Arial"&amp;9&amp;K000000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topLeftCell="A3" workbookViewId="0">
      <selection activeCell="G29" sqref="G29"/>
    </sheetView>
  </sheetViews>
  <sheetFormatPr baseColWidth="10" defaultColWidth="9.109375" defaultRowHeight="14.4"/>
  <cols>
    <col min="1" max="1" width="20.88671875" style="261" bestFit="1" customWidth="1"/>
    <col min="2" max="2" width="16.33203125" style="110" customWidth="1"/>
  </cols>
  <sheetData>
    <row r="1" spans="1:4">
      <c r="A1" s="258"/>
      <c r="B1" s="259" t="s">
        <v>1642</v>
      </c>
    </row>
    <row r="2" spans="1:4" ht="15" thickBot="1">
      <c r="A2" s="258"/>
      <c r="B2" s="260" t="s">
        <v>340</v>
      </c>
    </row>
    <row r="3" spans="1:4" ht="15" thickBot="1">
      <c r="D3" s="78"/>
    </row>
    <row r="4" spans="1:4">
      <c r="A4" s="262"/>
      <c r="B4" s="263" t="s">
        <v>887</v>
      </c>
      <c r="D4" s="78"/>
    </row>
    <row r="5" spans="1:4">
      <c r="A5" s="262"/>
      <c r="B5" s="264">
        <v>0</v>
      </c>
    </row>
    <row r="6" spans="1:4" ht="15" thickBot="1">
      <c r="A6" s="262"/>
      <c r="B6" s="260" t="s">
        <v>87</v>
      </c>
    </row>
    <row r="8" spans="1:4" ht="15" thickBot="1"/>
    <row r="9" spans="1:4">
      <c r="A9" s="265"/>
      <c r="B9" s="259">
        <v>2800</v>
      </c>
    </row>
    <row r="10" spans="1:4" ht="15" thickBot="1">
      <c r="A10" s="265"/>
      <c r="B10" s="260">
        <v>6500</v>
      </c>
    </row>
    <row r="11" spans="1:4" ht="15" thickBot="1"/>
    <row r="12" spans="1:4" ht="15" thickBot="1">
      <c r="A12" s="262"/>
      <c r="B12" s="266">
        <v>2</v>
      </c>
    </row>
    <row r="13" spans="1:4" ht="15" thickBot="1">
      <c r="C13" s="78"/>
    </row>
    <row r="14" spans="1:4" ht="15" thickBot="1">
      <c r="A14" s="262" t="s">
        <v>1643</v>
      </c>
      <c r="B14" s="266" t="s">
        <v>137</v>
      </c>
    </row>
    <row r="15" spans="1:4" ht="15" thickBot="1">
      <c r="C15" s="78"/>
    </row>
    <row r="16" spans="1:4" ht="15" thickBot="1">
      <c r="A16" s="262" t="s">
        <v>1311</v>
      </c>
      <c r="B16" s="266" t="s">
        <v>137</v>
      </c>
    </row>
    <row r="17" spans="1:2" ht="15" thickBot="1">
      <c r="A17" s="220"/>
    </row>
    <row r="18" spans="1:2" ht="15" thickBot="1">
      <c r="A18" s="262" t="s">
        <v>1644</v>
      </c>
      <c r="B18" s="266" t="s">
        <v>137</v>
      </c>
    </row>
    <row r="20" spans="1:2" ht="15" thickBot="1"/>
    <row r="21" spans="1:2" ht="15" thickBot="1">
      <c r="A21" s="262"/>
      <c r="B21" s="266">
        <v>17</v>
      </c>
    </row>
    <row r="22" spans="1:2" ht="15" thickBot="1"/>
    <row r="23" spans="1:2" ht="15" thickBot="1">
      <c r="A23" s="262"/>
      <c r="B23" s="266">
        <v>0</v>
      </c>
    </row>
    <row r="24" spans="1:2">
      <c r="A24" s="220"/>
    </row>
  </sheetData>
  <dataValidations count="5">
    <dataValidation type="list" allowBlank="1" showErrorMessage="1" promptTitle="Terrain Dominant" prompt="Choisissez un terrain" sqref="B1">
      <formula1>ListeTerrain</formula1>
    </dataValidation>
    <dataValidation type="list" allowBlank="1" showInputMessage="1" showErrorMessage="1" sqref="B2">
      <formula1>ListeTerrain</formula1>
    </dataValidation>
    <dataValidation type="list" allowBlank="1" showInputMessage="1" showErrorMessage="1" sqref="B4">
      <formula1>ListePrincipale</formula1>
    </dataValidation>
    <dataValidation type="list" allowBlank="1" showInputMessage="1" showErrorMessage="1" sqref="B5">
      <formula1>ListeSecondaire</formula1>
    </dataValidation>
    <dataValidation type="list" allowBlank="1" showInputMessage="1" showErrorMessage="1" sqref="B6">
      <formula1>ListeTertiaire</formula1>
    </dataValidation>
  </dataValidations>
  <pageMargins left="0.7" right="0.7" top="0.75" bottom="0.75" header="0.3" footer="0.3"/>
  <pageSetup paperSize="9" orientation="portrait" horizontalDpi="300" verticalDpi="300" r:id="rId1"/>
  <headerFooter>
    <oddFooter>&amp;C_x000D_&amp;1#&amp;"Arial"&amp;9&amp;K000000 Internal</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80"/>
  <sheetViews>
    <sheetView topLeftCell="A28" zoomScale="130" zoomScaleNormal="130" workbookViewId="0">
      <selection activeCell="W34" sqref="W34"/>
    </sheetView>
  </sheetViews>
  <sheetFormatPr baseColWidth="10" defaultColWidth="8.88671875" defaultRowHeight="13.2"/>
  <cols>
    <col min="1" max="1" width="2.109375" style="1" customWidth="1"/>
    <col min="2" max="2" width="10.5546875" style="1" customWidth="1"/>
    <col min="3" max="3" width="3.6640625" style="2" customWidth="1"/>
    <col min="4" max="4" width="3.44140625" style="2" customWidth="1"/>
    <col min="5" max="5" width="6" style="1" customWidth="1"/>
    <col min="6" max="6" width="6.109375" style="1" bestFit="1" customWidth="1"/>
    <col min="7" max="7" width="7.88671875" style="1" bestFit="1" customWidth="1"/>
    <col min="8" max="8" width="8.44140625" style="1" bestFit="1" customWidth="1"/>
    <col min="9" max="9" width="7.88671875" style="1" bestFit="1" customWidth="1"/>
    <col min="10" max="10" width="3.6640625" style="2" customWidth="1"/>
    <col min="11" max="11" width="3.5546875" style="2" customWidth="1"/>
    <col min="12" max="21" width="3.44140625" style="2" customWidth="1"/>
    <col min="22" max="23" width="5.5546875" style="1" customWidth="1"/>
    <col min="24" max="24" width="6" style="1" bestFit="1" customWidth="1"/>
    <col min="25" max="25" width="6.109375" style="1" bestFit="1" customWidth="1"/>
    <col min="26" max="26" width="6.44140625" style="1" bestFit="1" customWidth="1"/>
    <col min="27" max="27" width="6.33203125" style="1" bestFit="1" customWidth="1"/>
    <col min="28" max="28" width="6.109375" style="1" bestFit="1" customWidth="1"/>
    <col min="29" max="32" width="5.5546875" style="1" customWidth="1"/>
    <col min="33" max="33" width="9.109375" style="1" bestFit="1" customWidth="1"/>
    <col min="34" max="36" width="5.5546875" style="1" customWidth="1"/>
    <col min="37" max="40" width="3.5546875" style="1" customWidth="1"/>
    <col min="41" max="41" width="9.109375" style="1" bestFit="1" customWidth="1"/>
    <col min="42" max="42" width="10.109375" style="1" bestFit="1" customWidth="1"/>
    <col min="43" max="43" width="9.109375" style="1" bestFit="1" customWidth="1"/>
    <col min="44" max="44" width="10.109375" style="1" bestFit="1" customWidth="1"/>
    <col min="45" max="16384" width="8.88671875" style="1"/>
  </cols>
  <sheetData>
    <row r="1" spans="1:52" s="277" customFormat="1" ht="12" hidden="1" customHeight="1" thickBot="1">
      <c r="B1" s="277" t="s">
        <v>1557</v>
      </c>
      <c r="C1" s="299" t="s">
        <v>709</v>
      </c>
      <c r="D1" s="299" t="s">
        <v>708</v>
      </c>
      <c r="E1" s="277" t="s">
        <v>1326</v>
      </c>
      <c r="F1" s="277" t="s">
        <v>1325</v>
      </c>
      <c r="G1" s="277" t="s">
        <v>1556</v>
      </c>
      <c r="H1" s="277" t="s">
        <v>1555</v>
      </c>
      <c r="I1" s="277" t="s">
        <v>1554</v>
      </c>
      <c r="J1" s="299" t="s">
        <v>701</v>
      </c>
      <c r="K1" s="299" t="s">
        <v>698</v>
      </c>
      <c r="L1" s="299" t="s">
        <v>707</v>
      </c>
      <c r="M1" s="299" t="s">
        <v>706</v>
      </c>
      <c r="N1" s="299" t="s">
        <v>705</v>
      </c>
      <c r="O1" s="299" t="s">
        <v>677</v>
      </c>
      <c r="P1" s="299" t="s">
        <v>684</v>
      </c>
      <c r="Q1" s="299" t="s">
        <v>685</v>
      </c>
      <c r="R1" s="299" t="s">
        <v>681</v>
      </c>
      <c r="S1" s="299" t="s">
        <v>704</v>
      </c>
      <c r="T1" s="299" t="s">
        <v>703</v>
      </c>
      <c r="U1" s="299" t="s">
        <v>702</v>
      </c>
      <c r="V1" s="356" t="s">
        <v>1323</v>
      </c>
      <c r="W1" s="354" t="s">
        <v>1134</v>
      </c>
      <c r="X1" s="355" t="s">
        <v>1322</v>
      </c>
      <c r="Y1" s="355" t="s">
        <v>1321</v>
      </c>
      <c r="Z1" s="355" t="s">
        <v>1320</v>
      </c>
      <c r="AA1" s="355" t="s">
        <v>1319</v>
      </c>
      <c r="AB1" s="355" t="s">
        <v>1318</v>
      </c>
      <c r="AC1" s="354" t="s">
        <v>329</v>
      </c>
      <c r="AD1" s="354" t="s">
        <v>700</v>
      </c>
      <c r="AE1" s="353" t="s">
        <v>1317</v>
      </c>
      <c r="AF1" s="353" t="s">
        <v>695</v>
      </c>
      <c r="AG1" s="353" t="s">
        <v>692</v>
      </c>
      <c r="AH1" s="353" t="s">
        <v>687</v>
      </c>
      <c r="AI1" s="353" t="s">
        <v>686</v>
      </c>
      <c r="AJ1" s="353" t="s">
        <v>1316</v>
      </c>
      <c r="AK1" s="352" t="s">
        <v>700</v>
      </c>
      <c r="AL1" s="352" t="s">
        <v>1314</v>
      </c>
      <c r="AM1" s="352" t="s">
        <v>1313</v>
      </c>
      <c r="AN1" s="351" t="s">
        <v>694</v>
      </c>
      <c r="AO1" s="277" t="s">
        <v>1553</v>
      </c>
      <c r="AP1" s="277" t="s">
        <v>1552</v>
      </c>
      <c r="AQ1" s="277" t="s">
        <v>1551</v>
      </c>
      <c r="AR1" s="277" t="s">
        <v>1550</v>
      </c>
      <c r="AS1" s="299" t="s">
        <v>1549</v>
      </c>
      <c r="AT1" s="277" t="s">
        <v>1548</v>
      </c>
      <c r="AV1" s="277" t="s">
        <v>1547</v>
      </c>
      <c r="AW1" s="277" t="s">
        <v>1546</v>
      </c>
    </row>
    <row r="2" spans="1:52" s="277" customFormat="1" ht="12" hidden="1" customHeight="1" thickBot="1">
      <c r="A2" s="277">
        <f t="shared" ref="A2:A10" si="0">A1+B2</f>
        <v>1</v>
      </c>
      <c r="B2" s="277">
        <v>1</v>
      </c>
      <c r="C2" s="350">
        <v>150</v>
      </c>
      <c r="D2" s="306">
        <v>65</v>
      </c>
      <c r="E2" s="307" t="s">
        <v>1545</v>
      </c>
      <c r="F2" s="277" t="s">
        <v>1544</v>
      </c>
      <c r="G2" s="339" t="s">
        <v>1543</v>
      </c>
      <c r="H2" s="339" t="s">
        <v>1488</v>
      </c>
      <c r="I2" s="339" t="s">
        <v>1542</v>
      </c>
      <c r="J2" s="306">
        <v>1</v>
      </c>
      <c r="K2" s="349" t="s">
        <v>1541</v>
      </c>
      <c r="L2" s="348">
        <v>30</v>
      </c>
      <c r="M2" s="347">
        <v>20</v>
      </c>
      <c r="N2" s="347">
        <v>20</v>
      </c>
      <c r="O2" s="347">
        <v>20</v>
      </c>
      <c r="P2" s="347">
        <v>20</v>
      </c>
      <c r="Q2" s="347">
        <v>20</v>
      </c>
      <c r="R2" s="347">
        <v>20</v>
      </c>
      <c r="S2" s="347">
        <v>20</v>
      </c>
      <c r="T2" s="347">
        <v>20</v>
      </c>
      <c r="U2" s="346">
        <v>20</v>
      </c>
      <c r="V2" s="337">
        <v>20</v>
      </c>
      <c r="W2" s="299">
        <v>0</v>
      </c>
      <c r="X2" s="277" t="s">
        <v>1540</v>
      </c>
      <c r="Y2" s="277" t="s">
        <v>1530</v>
      </c>
      <c r="Z2" s="277" t="s">
        <v>1539</v>
      </c>
      <c r="AA2" s="345" t="s">
        <v>1538</v>
      </c>
      <c r="AB2" s="344" t="s">
        <v>1537</v>
      </c>
      <c r="AC2" s="300">
        <v>30</v>
      </c>
      <c r="AD2" s="336">
        <v>0</v>
      </c>
      <c r="AE2" s="309"/>
      <c r="AF2" s="309"/>
      <c r="AG2" s="309"/>
      <c r="AH2" s="309"/>
      <c r="AI2" s="309"/>
      <c r="AJ2" s="309"/>
      <c r="AK2" s="336">
        <v>1</v>
      </c>
      <c r="AL2" s="309"/>
      <c r="AM2" s="309"/>
      <c r="AN2" s="309"/>
      <c r="AO2" s="343" t="s">
        <v>1421</v>
      </c>
      <c r="AP2" s="342" t="s">
        <v>1504</v>
      </c>
      <c r="AQ2" s="342" t="s">
        <v>1535</v>
      </c>
      <c r="AR2" s="341" t="s">
        <v>1418</v>
      </c>
      <c r="AS2" s="299" t="s">
        <v>1533</v>
      </c>
      <c r="AT2" s="277">
        <v>5</v>
      </c>
      <c r="AU2" s="277">
        <v>4</v>
      </c>
      <c r="AV2" s="277" t="s">
        <v>677</v>
      </c>
      <c r="AW2" s="277">
        <v>1</v>
      </c>
      <c r="AZ2" s="319" t="s">
        <v>1418</v>
      </c>
    </row>
    <row r="3" spans="1:52" s="277" customFormat="1" ht="12" hidden="1" customHeight="1" thickBot="1">
      <c r="A3" s="277">
        <f t="shared" si="0"/>
        <v>3</v>
      </c>
      <c r="B3" s="277">
        <v>2</v>
      </c>
      <c r="C3" s="337">
        <v>155</v>
      </c>
      <c r="D3" s="299">
        <v>60</v>
      </c>
      <c r="E3" s="301" t="s">
        <v>1497</v>
      </c>
      <c r="F3" s="277" t="s">
        <v>1521</v>
      </c>
      <c r="G3" s="318" t="s">
        <v>1532</v>
      </c>
      <c r="H3" s="318" t="s">
        <v>1478</v>
      </c>
      <c r="I3" s="318" t="s">
        <v>1531</v>
      </c>
      <c r="J3" s="299">
        <v>2</v>
      </c>
      <c r="K3" s="338" t="s">
        <v>137</v>
      </c>
      <c r="L3" s="311">
        <v>20</v>
      </c>
      <c r="M3" s="309">
        <v>30</v>
      </c>
      <c r="N3" s="309">
        <v>30</v>
      </c>
      <c r="O3" s="309">
        <v>30</v>
      </c>
      <c r="P3" s="309">
        <v>30</v>
      </c>
      <c r="Q3" s="309">
        <v>30</v>
      </c>
      <c r="R3" s="309">
        <v>30</v>
      </c>
      <c r="S3" s="309">
        <v>30</v>
      </c>
      <c r="T3" s="309">
        <v>30</v>
      </c>
      <c r="U3" s="310">
        <v>30</v>
      </c>
      <c r="V3" s="337">
        <v>22</v>
      </c>
      <c r="W3" s="299">
        <v>0</v>
      </c>
      <c r="X3" s="277" t="s">
        <v>1518</v>
      </c>
      <c r="Y3" s="277" t="s">
        <v>1530</v>
      </c>
      <c r="Z3" s="277" t="s">
        <v>1529</v>
      </c>
      <c r="AA3" s="326" t="s">
        <v>1528</v>
      </c>
      <c r="AB3" s="340" t="s">
        <v>1527</v>
      </c>
      <c r="AC3" s="300">
        <v>34</v>
      </c>
      <c r="AD3" s="336">
        <v>0</v>
      </c>
      <c r="AE3" s="309"/>
      <c r="AF3" s="309"/>
      <c r="AG3" s="309"/>
      <c r="AH3" s="309"/>
      <c r="AI3" s="309"/>
      <c r="AJ3" s="309"/>
      <c r="AK3" s="336">
        <v>0</v>
      </c>
      <c r="AL3" s="309"/>
      <c r="AM3" s="309"/>
      <c r="AN3" s="309"/>
      <c r="AO3" s="323" t="s">
        <v>1464</v>
      </c>
      <c r="AP3" s="308" t="s">
        <v>1433</v>
      </c>
      <c r="AQ3" s="308" t="s">
        <v>1524</v>
      </c>
      <c r="AR3" s="319" t="s">
        <v>1523</v>
      </c>
      <c r="AS3" s="299">
        <v>0</v>
      </c>
      <c r="AT3" s="277">
        <v>10</v>
      </c>
      <c r="AU3" s="277">
        <v>4</v>
      </c>
      <c r="AV3" s="277" t="s">
        <v>718</v>
      </c>
      <c r="AW3" s="277">
        <f t="shared" ref="AW3:AW27" si="1">+AW2+AU3</f>
        <v>5</v>
      </c>
      <c r="AZ3" s="319" t="s">
        <v>1523</v>
      </c>
    </row>
    <row r="4" spans="1:52" s="277" customFormat="1" ht="12" hidden="1" customHeight="1" thickBot="1">
      <c r="A4" s="277">
        <f t="shared" si="0"/>
        <v>6</v>
      </c>
      <c r="B4" s="277">
        <v>3</v>
      </c>
      <c r="C4" s="337">
        <v>155</v>
      </c>
      <c r="D4" s="299">
        <v>70</v>
      </c>
      <c r="E4" s="301" t="s">
        <v>1522</v>
      </c>
      <c r="F4" s="277" t="s">
        <v>1521</v>
      </c>
      <c r="G4" s="318" t="s">
        <v>1520</v>
      </c>
      <c r="H4" s="318" t="s">
        <v>1468</v>
      </c>
      <c r="I4" s="318" t="s">
        <v>1519</v>
      </c>
      <c r="J4" s="299">
        <v>2</v>
      </c>
      <c r="K4" s="338" t="s">
        <v>137</v>
      </c>
      <c r="L4" s="311">
        <v>40</v>
      </c>
      <c r="M4" s="309">
        <v>10</v>
      </c>
      <c r="N4" s="309">
        <v>10</v>
      </c>
      <c r="O4" s="309">
        <v>10</v>
      </c>
      <c r="P4" s="309">
        <v>10</v>
      </c>
      <c r="Q4" s="309">
        <v>10</v>
      </c>
      <c r="R4" s="309">
        <v>10</v>
      </c>
      <c r="S4" s="309">
        <v>10</v>
      </c>
      <c r="T4" s="309">
        <v>10</v>
      </c>
      <c r="U4" s="310">
        <v>10</v>
      </c>
      <c r="V4" s="337">
        <v>24</v>
      </c>
      <c r="W4" s="299">
        <v>1</v>
      </c>
      <c r="X4" s="277" t="s">
        <v>1518</v>
      </c>
      <c r="Y4" s="277" t="s">
        <v>1507</v>
      </c>
      <c r="Z4" s="277" t="s">
        <v>1412</v>
      </c>
      <c r="AA4" s="277" t="s">
        <v>1517</v>
      </c>
      <c r="AB4" s="340" t="s">
        <v>693</v>
      </c>
      <c r="AC4" s="300">
        <v>40</v>
      </c>
      <c r="AD4" s="336" t="s">
        <v>1516</v>
      </c>
      <c r="AE4" s="309"/>
      <c r="AF4" s="309"/>
      <c r="AG4" s="309"/>
      <c r="AH4" s="309"/>
      <c r="AI4" s="309"/>
      <c r="AJ4" s="309"/>
      <c r="AK4" s="336">
        <v>2</v>
      </c>
      <c r="AL4" s="309"/>
      <c r="AM4" s="309"/>
      <c r="AN4" s="309"/>
      <c r="AO4" s="323" t="s">
        <v>1494</v>
      </c>
      <c r="AP4" s="308" t="s">
        <v>1463</v>
      </c>
      <c r="AQ4" s="308" t="s">
        <v>1513</v>
      </c>
      <c r="AR4" s="319" t="s">
        <v>1328</v>
      </c>
      <c r="AS4" s="299">
        <v>1</v>
      </c>
      <c r="AT4" s="277">
        <v>15</v>
      </c>
      <c r="AU4" s="277">
        <v>5</v>
      </c>
      <c r="AV4" s="277" t="s">
        <v>703</v>
      </c>
      <c r="AW4" s="277">
        <f t="shared" si="1"/>
        <v>10</v>
      </c>
      <c r="AZ4" s="314" t="s">
        <v>1328</v>
      </c>
    </row>
    <row r="5" spans="1:52" s="277" customFormat="1" ht="12" hidden="1" customHeight="1" thickBot="1">
      <c r="A5" s="277">
        <f t="shared" si="0"/>
        <v>10</v>
      </c>
      <c r="B5" s="277">
        <v>4</v>
      </c>
      <c r="C5" s="337">
        <v>160</v>
      </c>
      <c r="D5" s="299">
        <v>55</v>
      </c>
      <c r="E5" s="301" t="s">
        <v>1511</v>
      </c>
      <c r="F5" s="277" t="s">
        <v>1510</v>
      </c>
      <c r="G5" s="318" t="s">
        <v>1509</v>
      </c>
      <c r="H5" s="318" t="s">
        <v>1459</v>
      </c>
      <c r="I5" s="318" t="s">
        <v>1508</v>
      </c>
      <c r="J5" s="299">
        <v>3</v>
      </c>
      <c r="K5" s="338" t="s">
        <v>137</v>
      </c>
      <c r="L5" s="311">
        <v>10</v>
      </c>
      <c r="M5" s="309">
        <v>40</v>
      </c>
      <c r="N5" s="309">
        <v>40</v>
      </c>
      <c r="O5" s="309">
        <v>40</v>
      </c>
      <c r="P5" s="309">
        <v>40</v>
      </c>
      <c r="Q5" s="309">
        <v>40</v>
      </c>
      <c r="R5" s="309">
        <v>40</v>
      </c>
      <c r="S5" s="309">
        <v>40</v>
      </c>
      <c r="T5" s="309">
        <v>40</v>
      </c>
      <c r="U5" s="310">
        <v>40</v>
      </c>
      <c r="V5" s="337">
        <v>26</v>
      </c>
      <c r="W5" s="299">
        <v>1</v>
      </c>
      <c r="X5" s="277" t="s">
        <v>1497</v>
      </c>
      <c r="Y5" s="277" t="s">
        <v>1507</v>
      </c>
      <c r="Z5" s="277" t="s">
        <v>1412</v>
      </c>
      <c r="AA5" s="277" t="s">
        <v>1506</v>
      </c>
      <c r="AB5" s="340" t="s">
        <v>1505</v>
      </c>
      <c r="AC5" s="300">
        <v>45</v>
      </c>
      <c r="AD5" s="336">
        <v>0</v>
      </c>
      <c r="AE5" s="309"/>
      <c r="AF5" s="309"/>
      <c r="AG5" s="309"/>
      <c r="AH5" s="309"/>
      <c r="AI5" s="309"/>
      <c r="AJ5" s="309"/>
      <c r="AK5" s="336">
        <v>1</v>
      </c>
      <c r="AL5" s="309"/>
      <c r="AM5" s="309"/>
      <c r="AN5" s="309"/>
      <c r="AO5" s="323" t="s">
        <v>1457</v>
      </c>
      <c r="AP5" s="308" t="s">
        <v>1445</v>
      </c>
      <c r="AQ5" s="308" t="s">
        <v>1503</v>
      </c>
      <c r="AR5" s="319" t="s">
        <v>1368</v>
      </c>
      <c r="AS5" s="299">
        <v>1</v>
      </c>
      <c r="AT5" s="277">
        <v>15</v>
      </c>
      <c r="AU5" s="277">
        <v>4</v>
      </c>
      <c r="AV5" s="277" t="s">
        <v>705</v>
      </c>
      <c r="AW5" s="277">
        <f t="shared" si="1"/>
        <v>14</v>
      </c>
      <c r="AZ5" s="319" t="s">
        <v>1368</v>
      </c>
    </row>
    <row r="6" spans="1:52" s="277" customFormat="1" ht="12" hidden="1" customHeight="1" thickBot="1">
      <c r="A6" s="277">
        <f t="shared" si="0"/>
        <v>15</v>
      </c>
      <c r="B6" s="277">
        <v>5</v>
      </c>
      <c r="C6" s="337">
        <v>160</v>
      </c>
      <c r="D6" s="299">
        <v>75</v>
      </c>
      <c r="E6" s="301" t="s">
        <v>1490</v>
      </c>
      <c r="F6" s="277" t="s">
        <v>1501</v>
      </c>
      <c r="G6" s="318" t="s">
        <v>1500</v>
      </c>
      <c r="H6" s="318" t="s">
        <v>1499</v>
      </c>
      <c r="I6" s="318" t="s">
        <v>1498</v>
      </c>
      <c r="J6" s="299">
        <v>3</v>
      </c>
      <c r="K6" s="338" t="s">
        <v>137</v>
      </c>
      <c r="L6" s="311">
        <v>50</v>
      </c>
      <c r="M6" s="309">
        <v>50</v>
      </c>
      <c r="N6" s="309">
        <v>50</v>
      </c>
      <c r="O6" s="309">
        <v>50</v>
      </c>
      <c r="P6" s="309">
        <v>50</v>
      </c>
      <c r="Q6" s="309">
        <v>50</v>
      </c>
      <c r="R6" s="309">
        <v>50</v>
      </c>
      <c r="S6" s="309">
        <v>50</v>
      </c>
      <c r="T6" s="309">
        <v>50</v>
      </c>
      <c r="U6" s="310">
        <v>50</v>
      </c>
      <c r="V6" s="337">
        <v>28</v>
      </c>
      <c r="W6" s="299">
        <v>1</v>
      </c>
      <c r="X6" s="277" t="s">
        <v>1497</v>
      </c>
      <c r="Y6" s="277" t="s">
        <v>1496</v>
      </c>
      <c r="Z6" s="277" t="s">
        <v>1436</v>
      </c>
      <c r="AA6" s="277" t="s">
        <v>137</v>
      </c>
      <c r="AB6" s="324" t="s">
        <v>1495</v>
      </c>
      <c r="AC6" s="300">
        <v>20</v>
      </c>
      <c r="AD6" s="336">
        <v>1</v>
      </c>
      <c r="AE6" s="309"/>
      <c r="AF6" s="309"/>
      <c r="AG6" s="309"/>
      <c r="AH6" s="309"/>
      <c r="AI6" s="309"/>
      <c r="AJ6" s="309"/>
      <c r="AK6" s="336">
        <v>2</v>
      </c>
      <c r="AL6" s="309"/>
      <c r="AM6" s="309"/>
      <c r="AN6" s="309"/>
      <c r="AO6" s="323" t="s">
        <v>1526</v>
      </c>
      <c r="AP6" s="308" t="s">
        <v>1525</v>
      </c>
      <c r="AQ6" s="308" t="s">
        <v>1462</v>
      </c>
      <c r="AR6" s="319" t="s">
        <v>1338</v>
      </c>
      <c r="AS6" s="299">
        <v>2</v>
      </c>
      <c r="AT6" s="277">
        <v>20</v>
      </c>
      <c r="AU6" s="277">
        <v>4</v>
      </c>
      <c r="AV6" s="277" t="s">
        <v>681</v>
      </c>
      <c r="AW6" s="277">
        <f t="shared" si="1"/>
        <v>18</v>
      </c>
      <c r="AZ6" s="319" t="s">
        <v>1338</v>
      </c>
    </row>
    <row r="7" spans="1:52" s="277" customFormat="1" ht="12" hidden="1" customHeight="1" thickBot="1">
      <c r="A7" s="277">
        <f t="shared" si="0"/>
        <v>21</v>
      </c>
      <c r="B7" s="277">
        <v>6</v>
      </c>
      <c r="C7" s="337">
        <v>165</v>
      </c>
      <c r="D7" s="299">
        <v>50</v>
      </c>
      <c r="E7" s="301" t="s">
        <v>1490</v>
      </c>
      <c r="F7" s="277" t="s">
        <v>1490</v>
      </c>
      <c r="G7" s="318" t="s">
        <v>1489</v>
      </c>
      <c r="H7" s="339" t="s">
        <v>1488</v>
      </c>
      <c r="I7" s="318" t="s">
        <v>1487</v>
      </c>
      <c r="J7" s="299">
        <v>3</v>
      </c>
      <c r="K7" s="338" t="s">
        <v>137</v>
      </c>
      <c r="L7" s="311">
        <v>60</v>
      </c>
      <c r="M7" s="309">
        <v>60</v>
      </c>
      <c r="N7" s="309">
        <v>60</v>
      </c>
      <c r="O7" s="309">
        <v>60</v>
      </c>
      <c r="P7" s="309">
        <v>60</v>
      </c>
      <c r="Q7" s="309">
        <v>60</v>
      </c>
      <c r="R7" s="309">
        <v>60</v>
      </c>
      <c r="S7" s="309">
        <v>60</v>
      </c>
      <c r="T7" s="309">
        <v>60</v>
      </c>
      <c r="U7" s="310">
        <v>60</v>
      </c>
      <c r="V7" s="337">
        <v>30</v>
      </c>
      <c r="W7" s="299">
        <v>2</v>
      </c>
      <c r="X7" s="277" t="s">
        <v>1486</v>
      </c>
      <c r="Y7" s="277" t="s">
        <v>1485</v>
      </c>
      <c r="Z7" s="277" t="s">
        <v>1436</v>
      </c>
      <c r="AA7" s="277" t="s">
        <v>137</v>
      </c>
      <c r="AB7" s="324" t="s">
        <v>137</v>
      </c>
      <c r="AC7" s="300">
        <v>50</v>
      </c>
      <c r="AD7" s="336" t="s">
        <v>1447</v>
      </c>
      <c r="AE7" s="309"/>
      <c r="AF7" s="309"/>
      <c r="AG7" s="309"/>
      <c r="AH7" s="309"/>
      <c r="AI7" s="309"/>
      <c r="AJ7" s="309"/>
      <c r="AK7" s="336">
        <v>3</v>
      </c>
      <c r="AL7" s="309"/>
      <c r="AM7" s="309"/>
      <c r="AN7" s="309"/>
      <c r="AO7" s="323" t="s">
        <v>1484</v>
      </c>
      <c r="AP7" s="308" t="s">
        <v>1456</v>
      </c>
      <c r="AQ7" s="308" t="s">
        <v>1482</v>
      </c>
      <c r="AR7" s="319" t="s">
        <v>1491</v>
      </c>
      <c r="AS7" s="299">
        <v>2</v>
      </c>
      <c r="AT7" s="277">
        <v>25</v>
      </c>
      <c r="AU7" s="277">
        <v>3</v>
      </c>
      <c r="AV7" s="277" t="s">
        <v>707</v>
      </c>
      <c r="AW7" s="277">
        <f t="shared" si="1"/>
        <v>21</v>
      </c>
      <c r="AZ7" s="319" t="s">
        <v>1491</v>
      </c>
    </row>
    <row r="8" spans="1:52" s="277" customFormat="1" ht="12" hidden="1" customHeight="1" thickBot="1">
      <c r="A8" s="277">
        <f t="shared" si="0"/>
        <v>28</v>
      </c>
      <c r="B8" s="277">
        <v>7</v>
      </c>
      <c r="C8" s="337">
        <v>165</v>
      </c>
      <c r="D8" s="299">
        <v>80</v>
      </c>
      <c r="E8" s="301" t="s">
        <v>1480</v>
      </c>
      <c r="F8" s="277" t="s">
        <v>1470</v>
      </c>
      <c r="G8" s="318" t="s">
        <v>1479</v>
      </c>
      <c r="H8" s="318" t="s">
        <v>1478</v>
      </c>
      <c r="I8" s="318" t="s">
        <v>1477</v>
      </c>
      <c r="J8" s="299">
        <v>4</v>
      </c>
      <c r="K8" s="338" t="s">
        <v>137</v>
      </c>
      <c r="L8" s="311">
        <v>70</v>
      </c>
      <c r="M8" s="309">
        <v>70</v>
      </c>
      <c r="N8" s="309">
        <v>70</v>
      </c>
      <c r="O8" s="309">
        <v>70</v>
      </c>
      <c r="P8" s="309">
        <v>70</v>
      </c>
      <c r="Q8" s="309">
        <v>70</v>
      </c>
      <c r="R8" s="309">
        <v>70</v>
      </c>
      <c r="S8" s="309">
        <v>70</v>
      </c>
      <c r="T8" s="309">
        <v>70</v>
      </c>
      <c r="U8" s="310">
        <v>70</v>
      </c>
      <c r="V8" s="337">
        <v>15</v>
      </c>
      <c r="W8" s="299">
        <v>2</v>
      </c>
      <c r="X8" s="277" t="s">
        <v>1476</v>
      </c>
      <c r="Y8" s="277" t="s">
        <v>1466</v>
      </c>
      <c r="Z8" s="277" t="s">
        <v>1465</v>
      </c>
      <c r="AA8" s="277" t="s">
        <v>137</v>
      </c>
      <c r="AB8" s="324" t="s">
        <v>137</v>
      </c>
      <c r="AC8" s="300">
        <v>55</v>
      </c>
      <c r="AD8" s="336">
        <v>1</v>
      </c>
      <c r="AE8" s="309"/>
      <c r="AF8" s="309"/>
      <c r="AG8" s="309"/>
      <c r="AH8" s="309"/>
      <c r="AI8" s="309"/>
      <c r="AJ8" s="309"/>
      <c r="AK8" s="336">
        <v>3</v>
      </c>
      <c r="AL8" s="309"/>
      <c r="AM8" s="309"/>
      <c r="AN8" s="309"/>
      <c r="AO8" s="323" t="s">
        <v>1370</v>
      </c>
      <c r="AP8" s="308" t="s">
        <v>1493</v>
      </c>
      <c r="AQ8" s="308" t="s">
        <v>1473</v>
      </c>
      <c r="AR8" s="319" t="s">
        <v>1382</v>
      </c>
      <c r="AS8" s="299">
        <v>3</v>
      </c>
      <c r="AT8" s="277">
        <v>30</v>
      </c>
      <c r="AU8" s="277">
        <v>3</v>
      </c>
      <c r="AV8" s="277" t="s">
        <v>929</v>
      </c>
      <c r="AW8" s="277">
        <f t="shared" si="1"/>
        <v>24</v>
      </c>
      <c r="AZ8" s="319" t="s">
        <v>1382</v>
      </c>
    </row>
    <row r="9" spans="1:52" s="277" customFormat="1" ht="12" hidden="1" customHeight="1" thickBot="1">
      <c r="A9" s="277">
        <f t="shared" si="0"/>
        <v>36</v>
      </c>
      <c r="B9" s="277">
        <v>8</v>
      </c>
      <c r="C9" s="337">
        <v>170</v>
      </c>
      <c r="D9" s="299">
        <v>45</v>
      </c>
      <c r="E9" s="301" t="s">
        <v>1471</v>
      </c>
      <c r="F9" s="277" t="s">
        <v>1470</v>
      </c>
      <c r="G9" s="318" t="s">
        <v>1469</v>
      </c>
      <c r="H9" s="318" t="s">
        <v>1468</v>
      </c>
      <c r="I9" s="318" t="s">
        <v>1467</v>
      </c>
      <c r="J9" s="299">
        <v>4</v>
      </c>
      <c r="K9" s="312" t="s">
        <v>137</v>
      </c>
      <c r="L9" s="311">
        <v>80</v>
      </c>
      <c r="M9" s="309">
        <v>80</v>
      </c>
      <c r="N9" s="309">
        <v>80</v>
      </c>
      <c r="O9" s="309">
        <v>80</v>
      </c>
      <c r="P9" s="309">
        <v>80</v>
      </c>
      <c r="Q9" s="309">
        <v>80</v>
      </c>
      <c r="R9" s="309">
        <v>80</v>
      </c>
      <c r="S9" s="309">
        <v>80</v>
      </c>
      <c r="T9" s="309">
        <v>80</v>
      </c>
      <c r="U9" s="310">
        <v>80</v>
      </c>
      <c r="V9" s="337">
        <v>35</v>
      </c>
      <c r="W9" s="299">
        <v>2</v>
      </c>
      <c r="X9" s="277" t="s">
        <v>1450</v>
      </c>
      <c r="Y9" s="277" t="s">
        <v>1466</v>
      </c>
      <c r="Z9" s="277" t="s">
        <v>1465</v>
      </c>
      <c r="AA9" s="277" t="s">
        <v>137</v>
      </c>
      <c r="AB9" s="324" t="s">
        <v>137</v>
      </c>
      <c r="AC9" s="300">
        <v>60</v>
      </c>
      <c r="AD9" s="336" t="s">
        <v>1447</v>
      </c>
      <c r="AE9" s="309"/>
      <c r="AF9" s="309"/>
      <c r="AG9" s="309"/>
      <c r="AH9" s="309"/>
      <c r="AI9" s="309"/>
      <c r="AJ9" s="309"/>
      <c r="AK9" s="336">
        <v>4</v>
      </c>
      <c r="AL9" s="309"/>
      <c r="AM9" s="309"/>
      <c r="AN9" s="309"/>
      <c r="AO9" s="323" t="s">
        <v>1357</v>
      </c>
      <c r="AP9" s="308" t="s">
        <v>1536</v>
      </c>
      <c r="AQ9" s="308" t="s">
        <v>1492</v>
      </c>
      <c r="AR9" s="319" t="s">
        <v>1512</v>
      </c>
      <c r="AS9" s="299">
        <v>3</v>
      </c>
      <c r="AT9" s="277">
        <v>30</v>
      </c>
      <c r="AU9" s="277">
        <v>4</v>
      </c>
      <c r="AV9" s="277" t="s">
        <v>935</v>
      </c>
      <c r="AW9" s="277">
        <f t="shared" si="1"/>
        <v>28</v>
      </c>
      <c r="AZ9" s="319" t="s">
        <v>1512</v>
      </c>
    </row>
    <row r="10" spans="1:52" s="277" customFormat="1" ht="12" hidden="1" customHeight="1" thickBot="1">
      <c r="A10" s="277">
        <f t="shared" si="0"/>
        <v>45</v>
      </c>
      <c r="B10" s="277">
        <v>9</v>
      </c>
      <c r="C10" s="332">
        <v>170</v>
      </c>
      <c r="D10" s="331">
        <v>85</v>
      </c>
      <c r="E10" s="321" t="s">
        <v>1442</v>
      </c>
      <c r="F10" s="277" t="s">
        <v>1442</v>
      </c>
      <c r="G10" s="318" t="s">
        <v>1460</v>
      </c>
      <c r="H10" s="318" t="s">
        <v>1459</v>
      </c>
      <c r="I10" s="318" t="s">
        <v>1458</v>
      </c>
      <c r="J10" s="331">
        <v>4</v>
      </c>
      <c r="K10" s="335" t="s">
        <v>137</v>
      </c>
      <c r="L10" s="334">
        <v>90</v>
      </c>
      <c r="M10" s="328">
        <v>90</v>
      </c>
      <c r="N10" s="328">
        <v>90</v>
      </c>
      <c r="O10" s="328">
        <v>90</v>
      </c>
      <c r="P10" s="328">
        <v>90</v>
      </c>
      <c r="Q10" s="328">
        <v>90</v>
      </c>
      <c r="R10" s="328">
        <v>90</v>
      </c>
      <c r="S10" s="328">
        <v>90</v>
      </c>
      <c r="T10" s="328">
        <v>90</v>
      </c>
      <c r="U10" s="333">
        <v>90</v>
      </c>
      <c r="V10" s="332">
        <v>40</v>
      </c>
      <c r="W10" s="331">
        <v>3</v>
      </c>
      <c r="X10" s="277" t="s">
        <v>1450</v>
      </c>
      <c r="Y10" s="277" t="s">
        <v>1449</v>
      </c>
      <c r="Z10" s="277" t="s">
        <v>1398</v>
      </c>
      <c r="AA10" s="277" t="s">
        <v>137</v>
      </c>
      <c r="AB10" s="322" t="s">
        <v>137</v>
      </c>
      <c r="AC10" s="330">
        <v>70</v>
      </c>
      <c r="AD10" s="329">
        <v>1</v>
      </c>
      <c r="AE10" s="328"/>
      <c r="AF10" s="328"/>
      <c r="AG10" s="328"/>
      <c r="AH10" s="328"/>
      <c r="AI10" s="328"/>
      <c r="AJ10" s="328"/>
      <c r="AK10" s="329">
        <v>5</v>
      </c>
      <c r="AL10" s="328"/>
      <c r="AM10" s="328"/>
      <c r="AN10" s="328"/>
      <c r="AO10" s="323" t="s">
        <v>611</v>
      </c>
      <c r="AP10" s="308" t="s">
        <v>1514</v>
      </c>
      <c r="AQ10" s="308" t="s">
        <v>1455</v>
      </c>
      <c r="AR10" s="319" t="s">
        <v>1472</v>
      </c>
      <c r="AS10" s="299">
        <v>4</v>
      </c>
      <c r="AT10" s="277">
        <v>35</v>
      </c>
      <c r="AU10" s="277">
        <v>2</v>
      </c>
      <c r="AV10" s="277" t="s">
        <v>684</v>
      </c>
      <c r="AW10" s="277">
        <f t="shared" si="1"/>
        <v>30</v>
      </c>
      <c r="AZ10" s="319" t="s">
        <v>1472</v>
      </c>
    </row>
    <row r="11" spans="1:52" s="277" customFormat="1" ht="12" hidden="1" customHeight="1" thickBot="1">
      <c r="B11" s="277">
        <v>10</v>
      </c>
      <c r="C11" s="299">
        <v>170</v>
      </c>
      <c r="D11" s="299"/>
      <c r="E11" s="277" t="s">
        <v>1442</v>
      </c>
      <c r="F11" s="327" t="s">
        <v>1442</v>
      </c>
      <c r="G11" s="318" t="s">
        <v>1453</v>
      </c>
      <c r="H11" s="318" t="s">
        <v>1452</v>
      </c>
      <c r="I11" s="318" t="s">
        <v>1451</v>
      </c>
      <c r="J11" s="299">
        <v>5</v>
      </c>
      <c r="K11" s="312" t="s">
        <v>137</v>
      </c>
      <c r="L11" s="311"/>
      <c r="M11" s="309"/>
      <c r="N11" s="309"/>
      <c r="O11" s="309"/>
      <c r="P11" s="309"/>
      <c r="Q11" s="309"/>
      <c r="R11" s="309"/>
      <c r="S11" s="309"/>
      <c r="T11" s="309"/>
      <c r="U11" s="310"/>
      <c r="V11" s="299"/>
      <c r="W11" s="299">
        <v>3</v>
      </c>
      <c r="X11" s="277" t="s">
        <v>1450</v>
      </c>
      <c r="Y11" s="277" t="s">
        <v>1449</v>
      </c>
      <c r="Z11" s="307" t="s">
        <v>1398</v>
      </c>
      <c r="AA11" s="277" t="s">
        <v>1448</v>
      </c>
      <c r="AB11" s="326" t="s">
        <v>137</v>
      </c>
      <c r="AC11" s="299"/>
      <c r="AD11" s="299" t="s">
        <v>1447</v>
      </c>
      <c r="AE11" s="309"/>
      <c r="AF11" s="309"/>
      <c r="AG11" s="309"/>
      <c r="AH11" s="309"/>
      <c r="AI11" s="309"/>
      <c r="AJ11" s="309"/>
      <c r="AK11" s="299"/>
      <c r="AL11" s="309"/>
      <c r="AM11" s="309"/>
      <c r="AN11" s="309"/>
      <c r="AO11" s="323" t="s">
        <v>574</v>
      </c>
      <c r="AP11" s="308" t="s">
        <v>1420</v>
      </c>
      <c r="AQ11" s="308" t="s">
        <v>603</v>
      </c>
      <c r="AR11" s="319" t="s">
        <v>1454</v>
      </c>
      <c r="AS11" s="299">
        <v>5</v>
      </c>
      <c r="AT11" s="277">
        <v>40</v>
      </c>
      <c r="AU11" s="277">
        <v>3</v>
      </c>
      <c r="AV11" s="277" t="s">
        <v>957</v>
      </c>
      <c r="AW11" s="277">
        <f t="shared" si="1"/>
        <v>33</v>
      </c>
      <c r="AZ11" s="319" t="s">
        <v>1454</v>
      </c>
    </row>
    <row r="12" spans="1:52" s="277" customFormat="1" ht="12" hidden="1" customHeight="1" thickBot="1">
      <c r="B12" s="277">
        <v>11</v>
      </c>
      <c r="C12" s="299">
        <v>170</v>
      </c>
      <c r="D12" s="299"/>
      <c r="E12" s="277" t="s">
        <v>1442</v>
      </c>
      <c r="F12" s="324" t="s">
        <v>1442</v>
      </c>
      <c r="G12" s="318" t="s">
        <v>1441</v>
      </c>
      <c r="H12" s="318" t="s">
        <v>1440</v>
      </c>
      <c r="I12" s="318" t="s">
        <v>1439</v>
      </c>
      <c r="J12" s="299">
        <v>5</v>
      </c>
      <c r="K12" s="312" t="s">
        <v>137</v>
      </c>
      <c r="L12" s="311"/>
      <c r="M12" s="325" t="s">
        <v>1438</v>
      </c>
      <c r="N12" s="309"/>
      <c r="O12" s="309">
        <v>6</v>
      </c>
      <c r="P12" s="309"/>
      <c r="Q12" s="309"/>
      <c r="R12" s="309"/>
      <c r="S12" s="309"/>
      <c r="T12" s="309"/>
      <c r="U12" s="310"/>
      <c r="V12" s="299"/>
      <c r="W12" s="299">
        <v>3</v>
      </c>
      <c r="X12" s="277" t="s">
        <v>1413</v>
      </c>
      <c r="Y12" s="277" t="s">
        <v>1437</v>
      </c>
      <c r="Z12" s="301" t="s">
        <v>1436</v>
      </c>
      <c r="AA12" s="277" t="s">
        <v>1386</v>
      </c>
      <c r="AB12" s="277" t="s">
        <v>1435</v>
      </c>
      <c r="AC12" s="299"/>
      <c r="AD12" s="299">
        <v>2</v>
      </c>
      <c r="AE12" s="309"/>
      <c r="AF12" s="309"/>
      <c r="AG12" s="309"/>
      <c r="AH12" s="309"/>
      <c r="AI12" s="309"/>
      <c r="AJ12" s="309"/>
      <c r="AK12" s="299"/>
      <c r="AL12" s="309"/>
      <c r="AM12" s="309"/>
      <c r="AN12" s="309"/>
      <c r="AO12" s="323" t="s">
        <v>1385</v>
      </c>
      <c r="AP12" s="308" t="s">
        <v>1409</v>
      </c>
      <c r="AQ12" s="308" t="s">
        <v>1432</v>
      </c>
      <c r="AR12" s="319" t="s">
        <v>1395</v>
      </c>
      <c r="AS12" s="299" t="s">
        <v>1430</v>
      </c>
      <c r="AT12" s="277">
        <v>45</v>
      </c>
      <c r="AU12" s="277">
        <v>2</v>
      </c>
      <c r="AV12" s="277" t="s">
        <v>679</v>
      </c>
      <c r="AW12" s="277">
        <f t="shared" si="1"/>
        <v>35</v>
      </c>
      <c r="AZ12" s="319" t="s">
        <v>1395</v>
      </c>
    </row>
    <row r="13" spans="1:52" s="277" customFormat="1" ht="12" hidden="1" customHeight="1" thickBot="1">
      <c r="B13" s="277">
        <v>12</v>
      </c>
      <c r="C13" s="299">
        <v>175</v>
      </c>
      <c r="D13" s="299"/>
      <c r="E13" s="277" t="s">
        <v>1416</v>
      </c>
      <c r="F13" s="324" t="s">
        <v>1429</v>
      </c>
      <c r="G13" s="318" t="s">
        <v>1428</v>
      </c>
      <c r="H13" s="318" t="s">
        <v>1378</v>
      </c>
      <c r="I13" s="318" t="s">
        <v>1427</v>
      </c>
      <c r="J13" s="299">
        <v>6</v>
      </c>
      <c r="K13" s="312" t="s">
        <v>137</v>
      </c>
      <c r="L13" s="311"/>
      <c r="M13" s="325" t="s">
        <v>1426</v>
      </c>
      <c r="N13" s="309"/>
      <c r="O13" s="309">
        <v>18</v>
      </c>
      <c r="P13" s="309"/>
      <c r="Q13" s="309"/>
      <c r="R13" s="309"/>
      <c r="S13" s="309"/>
      <c r="T13" s="309"/>
      <c r="U13" s="310"/>
      <c r="V13" s="299"/>
      <c r="W13" s="299">
        <v>4</v>
      </c>
      <c r="X13" s="277" t="s">
        <v>1413</v>
      </c>
      <c r="Y13" s="277" t="s">
        <v>1401</v>
      </c>
      <c r="Z13" s="301" t="s">
        <v>1425</v>
      </c>
      <c r="AA13" s="277" t="s">
        <v>1424</v>
      </c>
      <c r="AB13" s="277" t="s">
        <v>1423</v>
      </c>
      <c r="AC13" s="299"/>
      <c r="AD13" s="299" t="s">
        <v>1422</v>
      </c>
      <c r="AE13" s="309"/>
      <c r="AF13" s="309"/>
      <c r="AG13" s="309"/>
      <c r="AH13" s="309"/>
      <c r="AI13" s="309"/>
      <c r="AJ13" s="309"/>
      <c r="AK13" s="299"/>
      <c r="AL13" s="309"/>
      <c r="AM13" s="309"/>
      <c r="AN13" s="309"/>
      <c r="AO13" s="323" t="s">
        <v>566</v>
      </c>
      <c r="AP13" s="308" t="s">
        <v>599</v>
      </c>
      <c r="AQ13" s="308" t="s">
        <v>1355</v>
      </c>
      <c r="AR13" s="319" t="s">
        <v>1534</v>
      </c>
      <c r="AS13" s="299" t="s">
        <v>1417</v>
      </c>
      <c r="AT13" s="277">
        <v>50</v>
      </c>
      <c r="AU13" s="277">
        <v>4</v>
      </c>
      <c r="AV13" s="277" t="s">
        <v>987</v>
      </c>
      <c r="AW13" s="277">
        <f t="shared" si="1"/>
        <v>39</v>
      </c>
      <c r="AZ13" s="341" t="s">
        <v>1534</v>
      </c>
    </row>
    <row r="14" spans="1:52" s="277" customFormat="1" ht="12" hidden="1" customHeight="1" thickBot="1">
      <c r="B14" s="277">
        <v>13</v>
      </c>
      <c r="C14" s="299">
        <v>175</v>
      </c>
      <c r="D14" s="299"/>
      <c r="E14" s="277" t="s">
        <v>1416</v>
      </c>
      <c r="F14" s="324" t="s">
        <v>1404</v>
      </c>
      <c r="G14" s="318" t="s">
        <v>1415</v>
      </c>
      <c r="H14" s="318" t="s">
        <v>1365</v>
      </c>
      <c r="I14" s="318" t="s">
        <v>1414</v>
      </c>
      <c r="J14" s="299">
        <v>6</v>
      </c>
      <c r="K14" s="312" t="s">
        <v>137</v>
      </c>
      <c r="L14" s="311"/>
      <c r="M14" s="309"/>
      <c r="N14" s="309"/>
      <c r="O14" s="309"/>
      <c r="P14" s="309"/>
      <c r="Q14" s="309"/>
      <c r="R14" s="309"/>
      <c r="S14" s="309"/>
      <c r="T14" s="309"/>
      <c r="U14" s="310"/>
      <c r="V14" s="299"/>
      <c r="W14" s="299">
        <v>4</v>
      </c>
      <c r="X14" s="277" t="s">
        <v>1413</v>
      </c>
      <c r="Y14" s="277" t="s">
        <v>1401</v>
      </c>
      <c r="Z14" s="301" t="s">
        <v>1412</v>
      </c>
      <c r="AA14" s="277" t="s">
        <v>1358</v>
      </c>
      <c r="AB14" s="277" t="s">
        <v>1411</v>
      </c>
      <c r="AC14" s="299"/>
      <c r="AD14" s="299">
        <v>2</v>
      </c>
      <c r="AE14" s="309"/>
      <c r="AF14" s="309"/>
      <c r="AG14" s="309"/>
      <c r="AH14" s="309"/>
      <c r="AI14" s="309"/>
      <c r="AJ14" s="309"/>
      <c r="AK14" s="299"/>
      <c r="AL14" s="309"/>
      <c r="AM14" s="309"/>
      <c r="AN14" s="309"/>
      <c r="AO14" s="323" t="s">
        <v>1446</v>
      </c>
      <c r="AP14" s="308" t="s">
        <v>1397</v>
      </c>
      <c r="AQ14" s="308" t="s">
        <v>1408</v>
      </c>
      <c r="AR14" s="319" t="s">
        <v>1461</v>
      </c>
      <c r="AS14" s="299" t="s">
        <v>1406</v>
      </c>
      <c r="AT14" s="277">
        <v>50</v>
      </c>
      <c r="AU14" s="277">
        <v>3</v>
      </c>
      <c r="AV14" s="277" t="s">
        <v>995</v>
      </c>
      <c r="AW14" s="277">
        <f t="shared" si="1"/>
        <v>42</v>
      </c>
      <c r="AZ14" s="319" t="s">
        <v>1461</v>
      </c>
    </row>
    <row r="15" spans="1:52" s="277" customFormat="1" ht="12" hidden="1" customHeight="1" thickBot="1">
      <c r="B15" s="277">
        <v>14</v>
      </c>
      <c r="C15" s="299">
        <v>180</v>
      </c>
      <c r="D15" s="299"/>
      <c r="E15" s="277" t="s">
        <v>1405</v>
      </c>
      <c r="F15" s="324" t="s">
        <v>1404</v>
      </c>
      <c r="G15" s="318" t="s">
        <v>1403</v>
      </c>
      <c r="H15" s="318" t="s">
        <v>1349</v>
      </c>
      <c r="I15" s="318" t="s">
        <v>1402</v>
      </c>
      <c r="J15" s="299">
        <v>7</v>
      </c>
      <c r="K15" s="312" t="s">
        <v>137</v>
      </c>
      <c r="L15" s="311"/>
      <c r="M15" s="309"/>
      <c r="N15" s="309"/>
      <c r="O15" s="309"/>
      <c r="P15" s="309"/>
      <c r="Q15" s="309"/>
      <c r="R15" s="309"/>
      <c r="S15" s="309"/>
      <c r="T15" s="309"/>
      <c r="U15" s="310"/>
      <c r="V15" s="299"/>
      <c r="W15" s="299">
        <v>4</v>
      </c>
      <c r="X15" s="277" t="s">
        <v>1390</v>
      </c>
      <c r="Y15" s="277" t="s">
        <v>1401</v>
      </c>
      <c r="Z15" s="301" t="s">
        <v>1400</v>
      </c>
      <c r="AA15" s="277" t="s">
        <v>1371</v>
      </c>
      <c r="AB15" s="277" t="s">
        <v>1399</v>
      </c>
      <c r="AC15" s="299"/>
      <c r="AD15" s="299" t="s">
        <v>1372</v>
      </c>
      <c r="AE15" s="309"/>
      <c r="AF15" s="309"/>
      <c r="AG15" s="299" t="s">
        <v>1398</v>
      </c>
      <c r="AH15" s="309"/>
      <c r="AI15" s="309"/>
      <c r="AJ15" s="309"/>
      <c r="AK15" s="299"/>
      <c r="AL15" s="309"/>
      <c r="AM15" s="309"/>
      <c r="AN15" s="309"/>
      <c r="AO15" s="323" t="s">
        <v>1330</v>
      </c>
      <c r="AP15" s="308" t="s">
        <v>1474</v>
      </c>
      <c r="AQ15" s="308" t="s">
        <v>1329</v>
      </c>
      <c r="AR15" s="319" t="s">
        <v>1443</v>
      </c>
      <c r="AS15" s="299" t="s">
        <v>1394</v>
      </c>
      <c r="AT15" s="277">
        <v>55</v>
      </c>
      <c r="AU15" s="277">
        <v>2</v>
      </c>
      <c r="AV15" s="277" t="s">
        <v>719</v>
      </c>
      <c r="AW15" s="277">
        <f t="shared" si="1"/>
        <v>44</v>
      </c>
      <c r="AZ15" s="319" t="s">
        <v>1443</v>
      </c>
    </row>
    <row r="16" spans="1:52" s="277" customFormat="1" ht="12" hidden="1" customHeight="1" thickBot="1">
      <c r="B16" s="277">
        <v>15</v>
      </c>
      <c r="C16" s="299">
        <v>180</v>
      </c>
      <c r="D16" s="299"/>
      <c r="E16" s="277" t="s">
        <v>1380</v>
      </c>
      <c r="F16" s="324" t="s">
        <v>1393</v>
      </c>
      <c r="G16" s="318" t="s">
        <v>1392</v>
      </c>
      <c r="H16" s="318" t="s">
        <v>1335</v>
      </c>
      <c r="I16" s="318" t="s">
        <v>1391</v>
      </c>
      <c r="J16" s="299">
        <v>8</v>
      </c>
      <c r="K16" s="312" t="s">
        <v>137</v>
      </c>
      <c r="L16" s="311"/>
      <c r="M16" s="309"/>
      <c r="N16" s="309"/>
      <c r="O16" s="309"/>
      <c r="P16" s="309"/>
      <c r="Q16" s="309"/>
      <c r="R16" s="309"/>
      <c r="S16" s="309"/>
      <c r="T16" s="309"/>
      <c r="U16" s="310"/>
      <c r="V16" s="299"/>
      <c r="W16" s="299">
        <v>5</v>
      </c>
      <c r="X16" s="277" t="s">
        <v>1390</v>
      </c>
      <c r="Y16" s="277" t="s">
        <v>1376</v>
      </c>
      <c r="Z16" s="301" t="s">
        <v>1389</v>
      </c>
      <c r="AA16" s="277" t="s">
        <v>1388</v>
      </c>
      <c r="AB16" s="277" t="s">
        <v>1387</v>
      </c>
      <c r="AC16" s="299"/>
      <c r="AD16" s="299">
        <v>3</v>
      </c>
      <c r="AE16" s="299"/>
      <c r="AF16" s="309"/>
      <c r="AG16" s="299" t="s">
        <v>1386</v>
      </c>
      <c r="AH16" s="309"/>
      <c r="AI16" s="309"/>
      <c r="AJ16" s="309"/>
      <c r="AK16" s="299"/>
      <c r="AL16" s="309"/>
      <c r="AM16" s="309"/>
      <c r="AN16" s="309"/>
      <c r="AO16" s="323" t="s">
        <v>1341</v>
      </c>
      <c r="AP16" s="308" t="s">
        <v>1356</v>
      </c>
      <c r="AQ16" s="308" t="s">
        <v>1383</v>
      </c>
      <c r="AR16" s="319" t="s">
        <v>1502</v>
      </c>
      <c r="AS16" s="299" t="s">
        <v>1381</v>
      </c>
      <c r="AT16" s="277">
        <v>60</v>
      </c>
      <c r="AU16" s="277">
        <v>2</v>
      </c>
      <c r="AV16" s="277" t="s">
        <v>680</v>
      </c>
      <c r="AW16" s="277">
        <f t="shared" si="1"/>
        <v>46</v>
      </c>
      <c r="AZ16" s="319" t="s">
        <v>1502</v>
      </c>
    </row>
    <row r="17" spans="1:52" s="277" customFormat="1" ht="12" hidden="1" customHeight="1" thickBot="1">
      <c r="B17" s="277">
        <v>16</v>
      </c>
      <c r="C17" s="299">
        <v>185</v>
      </c>
      <c r="D17" s="299"/>
      <c r="E17" s="277" t="s">
        <v>1380</v>
      </c>
      <c r="F17" s="324" t="s">
        <v>1367</v>
      </c>
      <c r="G17" s="318" t="s">
        <v>1379</v>
      </c>
      <c r="H17" s="318" t="s">
        <v>1378</v>
      </c>
      <c r="I17" s="318" t="s">
        <v>1377</v>
      </c>
      <c r="J17" s="299">
        <v>9</v>
      </c>
      <c r="K17" s="312" t="s">
        <v>137</v>
      </c>
      <c r="L17" s="311"/>
      <c r="M17" s="309"/>
      <c r="N17" s="309"/>
      <c r="O17" s="309"/>
      <c r="P17" s="309"/>
      <c r="Q17" s="309"/>
      <c r="R17" s="309"/>
      <c r="S17" s="309"/>
      <c r="T17" s="309"/>
      <c r="U17" s="310"/>
      <c r="V17" s="299"/>
      <c r="W17" s="299">
        <v>6</v>
      </c>
      <c r="X17" s="277" t="s">
        <v>1363</v>
      </c>
      <c r="Y17" s="277" t="s">
        <v>1376</v>
      </c>
      <c r="Z17" s="301" t="s">
        <v>1375</v>
      </c>
      <c r="AA17" s="277" t="s">
        <v>1374</v>
      </c>
      <c r="AB17" s="277" t="s">
        <v>1373</v>
      </c>
      <c r="AC17" s="299"/>
      <c r="AD17" s="299" t="s">
        <v>1372</v>
      </c>
      <c r="AE17" s="299"/>
      <c r="AF17" s="309"/>
      <c r="AG17" s="299" t="s">
        <v>1371</v>
      </c>
      <c r="AH17" s="309"/>
      <c r="AI17" s="309"/>
      <c r="AJ17" s="309"/>
      <c r="AK17" s="299"/>
      <c r="AL17" s="309"/>
      <c r="AM17" s="309"/>
      <c r="AN17" s="309"/>
      <c r="AO17" s="323" t="s">
        <v>1410</v>
      </c>
      <c r="AP17" s="308" t="s">
        <v>1384</v>
      </c>
      <c r="AQ17" s="308" t="s">
        <v>7110</v>
      </c>
      <c r="AR17" s="319" t="s">
        <v>1481</v>
      </c>
      <c r="AS17" s="299" t="s">
        <v>748</v>
      </c>
      <c r="AT17" s="277">
        <v>65</v>
      </c>
      <c r="AU17" s="277">
        <v>3</v>
      </c>
      <c r="AV17" s="277" t="s">
        <v>1009</v>
      </c>
      <c r="AW17" s="277">
        <f t="shared" si="1"/>
        <v>49</v>
      </c>
      <c r="AZ17" s="319" t="s">
        <v>1481</v>
      </c>
    </row>
    <row r="18" spans="1:52" s="277" customFormat="1" ht="12" hidden="1" customHeight="1" thickBot="1">
      <c r="B18" s="277">
        <v>17</v>
      </c>
      <c r="C18" s="299">
        <v>190</v>
      </c>
      <c r="D18" s="299"/>
      <c r="E18" s="277" t="s">
        <v>1352</v>
      </c>
      <c r="F18" s="324" t="s">
        <v>1367</v>
      </c>
      <c r="G18" s="318" t="s">
        <v>1366</v>
      </c>
      <c r="H18" s="318" t="s">
        <v>1365</v>
      </c>
      <c r="I18" s="318" t="s">
        <v>1364</v>
      </c>
      <c r="J18" s="299">
        <v>10</v>
      </c>
      <c r="K18" s="312" t="s">
        <v>137</v>
      </c>
      <c r="L18" s="311"/>
      <c r="M18" s="309"/>
      <c r="N18" s="309"/>
      <c r="O18" s="309"/>
      <c r="P18" s="309"/>
      <c r="Q18" s="309"/>
      <c r="R18" s="309"/>
      <c r="S18" s="309"/>
      <c r="T18" s="309"/>
      <c r="U18" s="310"/>
      <c r="V18" s="299"/>
      <c r="W18" s="299">
        <v>7</v>
      </c>
      <c r="X18" s="277" t="s">
        <v>1363</v>
      </c>
      <c r="Y18" s="277" t="s">
        <v>1346</v>
      </c>
      <c r="Z18" s="301" t="s">
        <v>1362</v>
      </c>
      <c r="AA18" s="277" t="s">
        <v>1361</v>
      </c>
      <c r="AB18" s="277" t="s">
        <v>1360</v>
      </c>
      <c r="AC18" s="299"/>
      <c r="AD18" s="299" t="s">
        <v>1359</v>
      </c>
      <c r="AE18" s="299"/>
      <c r="AF18" s="309"/>
      <c r="AG18" s="299" t="s">
        <v>1358</v>
      </c>
      <c r="AH18" s="309"/>
      <c r="AI18" s="309"/>
      <c r="AJ18" s="309"/>
      <c r="AK18" s="299"/>
      <c r="AL18" s="309"/>
      <c r="AM18" s="309"/>
      <c r="AN18" s="309"/>
      <c r="AO18" s="323" t="s">
        <v>1475</v>
      </c>
      <c r="AP18" s="308" t="s">
        <v>1483</v>
      </c>
      <c r="AQ18" s="308" t="s">
        <v>2297</v>
      </c>
      <c r="AR18" s="319" t="s">
        <v>1407</v>
      </c>
      <c r="AS18" s="299" t="s">
        <v>1353</v>
      </c>
      <c r="AT18" s="277">
        <v>70</v>
      </c>
      <c r="AU18" s="277">
        <v>2</v>
      </c>
      <c r="AV18" s="277" t="s">
        <v>1014</v>
      </c>
      <c r="AW18" s="277">
        <f t="shared" si="1"/>
        <v>51</v>
      </c>
      <c r="AZ18" s="319" t="s">
        <v>1407</v>
      </c>
    </row>
    <row r="19" spans="1:52" s="277" customFormat="1" ht="12" hidden="1" customHeight="1" thickBot="1">
      <c r="B19" s="277">
        <v>18</v>
      </c>
      <c r="C19" s="299">
        <v>195</v>
      </c>
      <c r="D19" s="299"/>
      <c r="E19" s="277" t="s">
        <v>1352</v>
      </c>
      <c r="F19" s="322" t="s">
        <v>1351</v>
      </c>
      <c r="G19" s="318" t="s">
        <v>1350</v>
      </c>
      <c r="H19" s="318" t="s">
        <v>1349</v>
      </c>
      <c r="I19" s="318" t="s">
        <v>1348</v>
      </c>
      <c r="J19" s="299">
        <v>11</v>
      </c>
      <c r="K19" s="312" t="s">
        <v>746</v>
      </c>
      <c r="L19" s="311"/>
      <c r="M19" s="309"/>
      <c r="N19" s="309"/>
      <c r="O19" s="309"/>
      <c r="P19" s="309"/>
      <c r="Q19" s="309"/>
      <c r="R19" s="309"/>
      <c r="S19" s="309"/>
      <c r="T19" s="309"/>
      <c r="U19" s="310"/>
      <c r="V19" s="299"/>
      <c r="W19" s="299">
        <v>8</v>
      </c>
      <c r="X19" s="277" t="s">
        <v>1347</v>
      </c>
      <c r="Y19" s="277" t="s">
        <v>1346</v>
      </c>
      <c r="Z19" s="321" t="s">
        <v>1345</v>
      </c>
      <c r="AA19" s="277" t="s">
        <v>1344</v>
      </c>
      <c r="AB19" s="277" t="s">
        <v>1343</v>
      </c>
      <c r="AC19" s="299"/>
      <c r="AD19" s="299">
        <v>4</v>
      </c>
      <c r="AE19" s="299"/>
      <c r="AF19" s="309"/>
      <c r="AG19" s="299" t="s">
        <v>1342</v>
      </c>
      <c r="AH19" s="309"/>
      <c r="AI19" s="309"/>
      <c r="AJ19" s="309"/>
      <c r="AK19" s="299"/>
      <c r="AL19" s="309"/>
      <c r="AM19" s="309"/>
      <c r="AN19" s="309"/>
      <c r="AO19" s="320" t="s">
        <v>1434</v>
      </c>
      <c r="AP19" s="308" t="s">
        <v>1340</v>
      </c>
      <c r="AQ19" s="308" t="s">
        <v>1339</v>
      </c>
      <c r="AR19" s="319" t="s">
        <v>1354</v>
      </c>
      <c r="AS19" s="299" t="s">
        <v>1337</v>
      </c>
      <c r="AT19" s="277">
        <v>75</v>
      </c>
      <c r="AU19" s="277">
        <v>4</v>
      </c>
      <c r="AV19" s="277" t="s">
        <v>1017</v>
      </c>
      <c r="AW19" s="277">
        <f t="shared" si="1"/>
        <v>55</v>
      </c>
      <c r="AZ19" s="319" t="s">
        <v>1354</v>
      </c>
    </row>
    <row r="20" spans="1:52" s="277" customFormat="1" ht="12" hidden="1" customHeight="1" thickBot="1">
      <c r="B20" s="277">
        <v>19</v>
      </c>
      <c r="C20" s="299">
        <v>200</v>
      </c>
      <c r="D20" s="299"/>
      <c r="E20" s="277" t="s">
        <v>649</v>
      </c>
      <c r="F20" s="277" t="s">
        <v>649</v>
      </c>
      <c r="G20" s="318" t="s">
        <v>1336</v>
      </c>
      <c r="H20" s="318" t="s">
        <v>1335</v>
      </c>
      <c r="I20" s="318" t="s">
        <v>1334</v>
      </c>
      <c r="J20" s="299">
        <v>12</v>
      </c>
      <c r="K20" s="312" t="s">
        <v>178</v>
      </c>
      <c r="L20" s="311"/>
      <c r="M20" s="309"/>
      <c r="N20" s="309"/>
      <c r="O20" s="309"/>
      <c r="P20" s="309"/>
      <c r="Q20" s="309"/>
      <c r="R20" s="309"/>
      <c r="S20" s="309"/>
      <c r="T20" s="309"/>
      <c r="U20" s="310"/>
      <c r="V20" s="299"/>
      <c r="W20" s="299">
        <v>9</v>
      </c>
      <c r="X20" s="277" t="s">
        <v>649</v>
      </c>
      <c r="Y20" s="277" t="s">
        <v>649</v>
      </c>
      <c r="Z20" s="277" t="s">
        <v>649</v>
      </c>
      <c r="AA20" s="317" t="s">
        <v>1333</v>
      </c>
      <c r="AB20" s="277" t="s">
        <v>1332</v>
      </c>
      <c r="AC20" s="299"/>
      <c r="AD20" s="299">
        <v>5</v>
      </c>
      <c r="AE20" s="299"/>
      <c r="AF20" s="309"/>
      <c r="AG20" s="299" t="s">
        <v>1331</v>
      </c>
      <c r="AH20" s="309"/>
      <c r="AI20" s="309"/>
      <c r="AJ20" s="309"/>
      <c r="AK20" s="299"/>
      <c r="AL20" s="309"/>
      <c r="AM20" s="309"/>
      <c r="AN20" s="309"/>
      <c r="AO20" s="316" t="s">
        <v>1515</v>
      </c>
      <c r="AP20" s="315" t="s">
        <v>1369</v>
      </c>
      <c r="AQ20" s="315" t="s">
        <v>1396</v>
      </c>
      <c r="AR20" s="314" t="s">
        <v>1431</v>
      </c>
      <c r="AS20" s="299" t="s">
        <v>1327</v>
      </c>
      <c r="AT20" s="277">
        <v>80</v>
      </c>
      <c r="AU20" s="277">
        <v>5</v>
      </c>
      <c r="AV20" s="277" t="s">
        <v>1022</v>
      </c>
      <c r="AW20" s="277">
        <f t="shared" si="1"/>
        <v>60</v>
      </c>
      <c r="AZ20" s="319" t="s">
        <v>1431</v>
      </c>
    </row>
    <row r="21" spans="1:52" s="277" customFormat="1" ht="12" hidden="1" customHeight="1">
      <c r="C21" s="299"/>
      <c r="D21" s="299"/>
      <c r="G21" s="313"/>
      <c r="H21" s="313"/>
      <c r="I21" s="313"/>
      <c r="J21" s="299"/>
      <c r="K21" s="312"/>
      <c r="L21" s="311"/>
      <c r="M21" s="309"/>
      <c r="N21" s="309"/>
      <c r="O21" s="309"/>
      <c r="P21" s="309"/>
      <c r="Q21" s="309"/>
      <c r="R21" s="309"/>
      <c r="S21" s="309"/>
      <c r="T21" s="309"/>
      <c r="U21" s="310"/>
      <c r="V21" s="299"/>
      <c r="W21" s="299"/>
      <c r="AC21" s="299"/>
      <c r="AD21" s="299"/>
      <c r="AE21" s="299"/>
      <c r="AF21" s="309"/>
      <c r="AG21" s="299"/>
      <c r="AH21" s="309"/>
      <c r="AI21" s="309"/>
      <c r="AJ21" s="309"/>
      <c r="AK21" s="299"/>
      <c r="AL21" s="309"/>
      <c r="AM21" s="309"/>
      <c r="AN21" s="309"/>
      <c r="AO21" s="308"/>
      <c r="AP21" s="308"/>
      <c r="AQ21" s="308"/>
      <c r="AR21" s="308"/>
      <c r="AS21" s="299"/>
      <c r="AU21" s="277">
        <v>5</v>
      </c>
      <c r="AV21" s="277" t="s">
        <v>1027</v>
      </c>
      <c r="AW21" s="277">
        <f t="shared" si="1"/>
        <v>65</v>
      </c>
    </row>
    <row r="22" spans="1:52" s="277" customFormat="1" ht="12" hidden="1" customHeight="1">
      <c r="C22" s="299"/>
      <c r="D22" s="299"/>
      <c r="G22" s="313"/>
      <c r="H22" s="313"/>
      <c r="I22" s="313"/>
      <c r="J22" s="299"/>
      <c r="K22" s="312"/>
      <c r="L22" s="311"/>
      <c r="M22" s="309"/>
      <c r="N22" s="309"/>
      <c r="O22" s="309"/>
      <c r="P22" s="309"/>
      <c r="Q22" s="309"/>
      <c r="R22" s="309"/>
      <c r="S22" s="309"/>
      <c r="T22" s="309"/>
      <c r="U22" s="310"/>
      <c r="V22" s="299"/>
      <c r="W22" s="299"/>
      <c r="AC22" s="299"/>
      <c r="AD22" s="299"/>
      <c r="AE22" s="299"/>
      <c r="AF22" s="309"/>
      <c r="AG22" s="299"/>
      <c r="AH22" s="309"/>
      <c r="AI22" s="309"/>
      <c r="AJ22" s="309"/>
      <c r="AK22" s="299"/>
      <c r="AL22" s="309"/>
      <c r="AM22" s="309"/>
      <c r="AN22" s="309"/>
      <c r="AO22" s="308"/>
      <c r="AP22" s="308"/>
      <c r="AQ22" s="308"/>
      <c r="AR22" s="308"/>
      <c r="AS22" s="299"/>
      <c r="AU22" s="277">
        <v>2</v>
      </c>
      <c r="AV22" s="277" t="s">
        <v>989</v>
      </c>
      <c r="AW22" s="277">
        <f t="shared" si="1"/>
        <v>67</v>
      </c>
    </row>
    <row r="23" spans="1:52" s="277" customFormat="1" ht="12" hidden="1" customHeight="1">
      <c r="C23" s="299"/>
      <c r="D23" s="299"/>
      <c r="G23" s="313"/>
      <c r="H23" s="313"/>
      <c r="I23" s="313"/>
      <c r="J23" s="299"/>
      <c r="K23" s="312"/>
      <c r="L23" s="311"/>
      <c r="M23" s="309"/>
      <c r="N23" s="309"/>
      <c r="O23" s="309"/>
      <c r="P23" s="309"/>
      <c r="Q23" s="309"/>
      <c r="R23" s="309"/>
      <c r="S23" s="309"/>
      <c r="T23" s="309"/>
      <c r="U23" s="310"/>
      <c r="V23" s="299"/>
      <c r="W23" s="299"/>
      <c r="AC23" s="299"/>
      <c r="AD23" s="299"/>
      <c r="AE23" s="299"/>
      <c r="AF23" s="309"/>
      <c r="AG23" s="299"/>
      <c r="AH23" s="309"/>
      <c r="AI23" s="309"/>
      <c r="AJ23" s="309"/>
      <c r="AK23" s="299"/>
      <c r="AL23" s="309"/>
      <c r="AM23" s="309"/>
      <c r="AN23" s="309"/>
      <c r="AO23" s="308"/>
      <c r="AP23" s="308"/>
      <c r="AQ23" s="308"/>
      <c r="AR23" s="308"/>
      <c r="AS23" s="299"/>
      <c r="AU23" s="277">
        <v>3</v>
      </c>
      <c r="AV23" s="277" t="s">
        <v>685</v>
      </c>
      <c r="AW23" s="277">
        <f t="shared" si="1"/>
        <v>70</v>
      </c>
    </row>
    <row r="24" spans="1:52" s="277" customFormat="1" ht="12" hidden="1" customHeight="1">
      <c r="C24" s="299"/>
      <c r="D24" s="299"/>
      <c r="G24" s="313"/>
      <c r="H24" s="313"/>
      <c r="I24" s="313"/>
      <c r="J24" s="299"/>
      <c r="K24" s="312"/>
      <c r="L24" s="311"/>
      <c r="M24" s="309"/>
      <c r="N24" s="309"/>
      <c r="O24" s="309"/>
      <c r="P24" s="309"/>
      <c r="Q24" s="309"/>
      <c r="R24" s="309"/>
      <c r="S24" s="309"/>
      <c r="T24" s="309"/>
      <c r="U24" s="310"/>
      <c r="V24" s="299"/>
      <c r="W24" s="299"/>
      <c r="AC24" s="299"/>
      <c r="AD24" s="299"/>
      <c r="AE24" s="299"/>
      <c r="AF24" s="309"/>
      <c r="AG24" s="299"/>
      <c r="AH24" s="309"/>
      <c r="AI24" s="309"/>
      <c r="AJ24" s="309"/>
      <c r="AK24" s="299"/>
      <c r="AL24" s="309"/>
      <c r="AM24" s="309"/>
      <c r="AN24" s="309"/>
      <c r="AO24" s="308"/>
      <c r="AP24" s="308"/>
      <c r="AQ24" s="308"/>
      <c r="AR24" s="308"/>
      <c r="AS24" s="299"/>
      <c r="AU24" s="277">
        <v>1</v>
      </c>
      <c r="AV24" s="277" t="s">
        <v>1040</v>
      </c>
      <c r="AW24" s="277">
        <f t="shared" si="1"/>
        <v>71</v>
      </c>
    </row>
    <row r="25" spans="1:52" s="277" customFormat="1" ht="12" hidden="1" customHeight="1">
      <c r="C25" s="299"/>
      <c r="D25" s="299"/>
      <c r="G25" s="313"/>
      <c r="H25" s="313"/>
      <c r="I25" s="313"/>
      <c r="J25" s="299"/>
      <c r="K25" s="312"/>
      <c r="L25" s="311"/>
      <c r="M25" s="309"/>
      <c r="N25" s="309"/>
      <c r="O25" s="309"/>
      <c r="P25" s="309"/>
      <c r="Q25" s="309"/>
      <c r="R25" s="309"/>
      <c r="S25" s="309"/>
      <c r="T25" s="309"/>
      <c r="U25" s="310"/>
      <c r="V25" s="299"/>
      <c r="W25" s="299"/>
      <c r="AC25" s="299"/>
      <c r="AD25" s="299"/>
      <c r="AE25" s="299"/>
      <c r="AF25" s="309"/>
      <c r="AG25" s="299"/>
      <c r="AH25" s="309"/>
      <c r="AI25" s="309"/>
      <c r="AJ25" s="309"/>
      <c r="AK25" s="299"/>
      <c r="AL25" s="309"/>
      <c r="AM25" s="309"/>
      <c r="AN25" s="309"/>
      <c r="AO25" s="308"/>
      <c r="AP25" s="308"/>
      <c r="AQ25" s="308"/>
      <c r="AR25" s="308"/>
      <c r="AS25" s="299"/>
      <c r="AU25" s="277">
        <v>1</v>
      </c>
      <c r="AV25" s="277" t="s">
        <v>1043</v>
      </c>
      <c r="AW25" s="277">
        <f t="shared" si="1"/>
        <v>72</v>
      </c>
    </row>
    <row r="26" spans="1:52" s="277" customFormat="1" ht="12" hidden="1" customHeight="1">
      <c r="C26" s="299"/>
      <c r="D26" s="299"/>
      <c r="G26" s="313"/>
      <c r="H26" s="313"/>
      <c r="I26" s="313"/>
      <c r="J26" s="299"/>
      <c r="K26" s="312"/>
      <c r="L26" s="311"/>
      <c r="M26" s="309"/>
      <c r="N26" s="309"/>
      <c r="O26" s="309"/>
      <c r="P26" s="309"/>
      <c r="Q26" s="309"/>
      <c r="R26" s="309"/>
      <c r="S26" s="309"/>
      <c r="T26" s="309"/>
      <c r="U26" s="310"/>
      <c r="V26" s="299"/>
      <c r="W26" s="299"/>
      <c r="AC26" s="299"/>
      <c r="AD26" s="299"/>
      <c r="AE26" s="299"/>
      <c r="AF26" s="309"/>
      <c r="AG26" s="299"/>
      <c r="AH26" s="309"/>
      <c r="AI26" s="309"/>
      <c r="AJ26" s="309"/>
      <c r="AK26" s="299"/>
      <c r="AL26" s="309"/>
      <c r="AM26" s="309"/>
      <c r="AN26" s="309"/>
      <c r="AO26" s="308"/>
      <c r="AP26" s="308"/>
      <c r="AQ26" s="308"/>
      <c r="AR26" s="308"/>
      <c r="AS26" s="299"/>
      <c r="AU26" s="277">
        <v>2</v>
      </c>
      <c r="AV26" s="277" t="s">
        <v>999</v>
      </c>
      <c r="AW26" s="277">
        <f t="shared" si="1"/>
        <v>74</v>
      </c>
    </row>
    <row r="27" spans="1:52" s="277" customFormat="1" ht="12" hidden="1" customHeight="1" thickBot="1">
      <c r="C27" s="299"/>
      <c r="D27" s="299"/>
      <c r="G27" s="313"/>
      <c r="H27" s="313"/>
      <c r="I27" s="313"/>
      <c r="J27" s="299"/>
      <c r="K27" s="312"/>
      <c r="L27" s="311"/>
      <c r="M27" s="309"/>
      <c r="N27" s="309"/>
      <c r="O27" s="309"/>
      <c r="P27" s="309"/>
      <c r="Q27" s="309"/>
      <c r="R27" s="309"/>
      <c r="S27" s="309"/>
      <c r="T27" s="309"/>
      <c r="U27" s="310"/>
      <c r="V27" s="299"/>
      <c r="W27" s="299"/>
      <c r="AC27" s="299"/>
      <c r="AD27" s="299"/>
      <c r="AE27" s="299"/>
      <c r="AF27" s="309"/>
      <c r="AG27" s="299"/>
      <c r="AH27" s="309"/>
      <c r="AI27" s="309"/>
      <c r="AJ27" s="309"/>
      <c r="AK27" s="299"/>
      <c r="AL27" s="309"/>
      <c r="AM27" s="309"/>
      <c r="AN27" s="309"/>
      <c r="AO27" s="308"/>
      <c r="AP27" s="308"/>
      <c r="AQ27" s="308"/>
      <c r="AR27" s="308"/>
      <c r="AS27" s="299"/>
      <c r="AU27" s="277">
        <v>1</v>
      </c>
      <c r="AV27" s="277" t="s">
        <v>1048</v>
      </c>
      <c r="AW27" s="277">
        <f t="shared" si="1"/>
        <v>75</v>
      </c>
    </row>
    <row r="28" spans="1:52" s="277" customFormat="1" ht="14.25" customHeight="1">
      <c r="A28" s="277" t="s">
        <v>719</v>
      </c>
      <c r="B28" s="1688" t="s">
        <v>721</v>
      </c>
      <c r="C28" s="1689" t="s">
        <v>709</v>
      </c>
      <c r="D28" s="1690" t="s">
        <v>708</v>
      </c>
      <c r="E28" s="1691" t="s">
        <v>1326</v>
      </c>
      <c r="F28" s="1690" t="s">
        <v>1325</v>
      </c>
      <c r="G28" s="1733" t="s">
        <v>1324</v>
      </c>
      <c r="H28" s="1734"/>
      <c r="I28" s="1734"/>
      <c r="J28" s="1692" t="s">
        <v>701</v>
      </c>
      <c r="K28" s="1692" t="s">
        <v>698</v>
      </c>
      <c r="L28" s="303" t="s">
        <v>707</v>
      </c>
      <c r="M28" s="303" t="s">
        <v>706</v>
      </c>
      <c r="N28" s="305" t="s">
        <v>705</v>
      </c>
      <c r="O28" s="303" t="s">
        <v>677</v>
      </c>
      <c r="P28" s="304" t="s">
        <v>684</v>
      </c>
      <c r="Q28" s="304" t="s">
        <v>685</v>
      </c>
      <c r="R28" s="304" t="s">
        <v>681</v>
      </c>
      <c r="S28" s="304" t="s">
        <v>704</v>
      </c>
      <c r="T28" s="303" t="s">
        <v>703</v>
      </c>
      <c r="U28" s="302" t="s">
        <v>702</v>
      </c>
      <c r="AC28" s="299"/>
      <c r="AD28" s="299"/>
      <c r="AE28" s="299"/>
      <c r="AF28" s="299"/>
      <c r="AG28" s="299"/>
      <c r="AH28" s="299"/>
      <c r="AI28" s="299"/>
      <c r="AJ28" s="299"/>
      <c r="AK28" s="299"/>
      <c r="AL28" s="299"/>
      <c r="AM28" s="299"/>
      <c r="AN28" s="299"/>
    </row>
    <row r="29" spans="1:52" s="277" customFormat="1" ht="12" customHeight="1" thickBot="1">
      <c r="B29" s="1693" t="s">
        <v>0</v>
      </c>
      <c r="C29" s="1694" t="s">
        <v>1323</v>
      </c>
      <c r="D29" s="1695" t="s">
        <v>1134</v>
      </c>
      <c r="E29" s="1696" t="s">
        <v>1322</v>
      </c>
      <c r="F29" s="1696" t="s">
        <v>1321</v>
      </c>
      <c r="G29" s="1697" t="s">
        <v>1320</v>
      </c>
      <c r="H29" s="1698" t="s">
        <v>1319</v>
      </c>
      <c r="I29" s="1699" t="s">
        <v>1318</v>
      </c>
      <c r="J29" s="1699" t="s">
        <v>329</v>
      </c>
      <c r="K29" s="1697" t="s">
        <v>700</v>
      </c>
      <c r="L29" s="298" t="s">
        <v>1317</v>
      </c>
      <c r="M29" s="297" t="s">
        <v>695</v>
      </c>
      <c r="N29" s="296" t="s">
        <v>692</v>
      </c>
      <c r="O29" s="294" t="s">
        <v>687</v>
      </c>
      <c r="P29" s="295" t="s">
        <v>686</v>
      </c>
      <c r="Q29" s="294" t="s">
        <v>1316</v>
      </c>
      <c r="R29" s="293" t="s">
        <v>1315</v>
      </c>
      <c r="S29" s="292" t="s">
        <v>1314</v>
      </c>
      <c r="T29" s="291" t="s">
        <v>1313</v>
      </c>
      <c r="U29" s="290" t="s">
        <v>694</v>
      </c>
    </row>
    <row r="30" spans="1:52" s="276" customFormat="1" ht="13.5" customHeight="1" thickTop="1" thickBot="1">
      <c r="A30" s="1657">
        <v>1</v>
      </c>
      <c r="B30" s="1659" t="str">
        <f ca="1">LOOKUP(RANDBETWEEN(1,1010),[0]!Dé1000,[0]!Prenom1000)</f>
        <v>Athénaïs</v>
      </c>
      <c r="C30" s="1660">
        <f ca="1">LOOKUP(RANDBETWEEN(1,10)-RANDBETWEEN(1,10)+10,$B$2:$B$20,C$2:C$20)</f>
        <v>170</v>
      </c>
      <c r="D30" s="1661">
        <f ca="1">$C30*$C30/10000*(RANDBETWEEN(1,10)+RANDBETWEEN(1,10)+14)</f>
        <v>60.690000000000005</v>
      </c>
      <c r="E30" s="1660" t="str">
        <f ca="1">LOOKUP(RANDBETWEEN(1,10)-RANDBETWEEN(1,10)+10,$B$2:$B$20,E$2:E$20)</f>
        <v>tresse</v>
      </c>
      <c r="F30" s="1661" t="str">
        <f ca="1">LOOKUP(RANDBETWEEN(1,10)-RANDBETWEEN(1,10)+10,$B$2:$B$20,F$2:F$20)</f>
        <v>bruns</v>
      </c>
      <c r="G30" s="1660" t="str">
        <f ca="1">LOOKUP(RANDBETWEEN(1,10)-RANDBETWEEN(1,10)+10,$B$2:$B$20,H$2:H$20)</f>
        <v>Introverti</v>
      </c>
      <c r="H30" s="1662" t="str">
        <f ca="1">LOOKUP(RANDBETWEEN(1,10)-RANDBETWEEN(1,10)+10,$B$2:$B$20,H$2:H$20)</f>
        <v>Égocentriq</v>
      </c>
      <c r="I30" s="1661" t="str">
        <f ca="1">LOOKUP(RANDBETWEEN(1,10)-RANDBETWEEN(1,10)+10,$B$2:$B$20,I$2:I$20)</f>
        <v>Ambitieux</v>
      </c>
      <c r="J30" s="1663">
        <f ca="1">LOOKUP(RANDBETWEEN(1,10)-RANDBETWEEN(1,10)+10,$B$2:$B$20,J$2:J$20)</f>
        <v>6</v>
      </c>
      <c r="K30" s="1664" t="str">
        <f ca="1">LOOKUP(RANDBETWEEN(1,10)-RANDBETWEEN(1,10)+10,$B$2:$B$20,K$2:K$20)</f>
        <v>-</v>
      </c>
      <c r="L30" s="1665">
        <f t="shared" ref="L30:U30" ca="1" si="2">ROUND((2+RAND()*9+RAND()*9)*SQRT(RANDBETWEEN(multimin,multimax)),0)</f>
        <v>51</v>
      </c>
      <c r="M30" s="1666">
        <f t="shared" ca="1" si="2"/>
        <v>47</v>
      </c>
      <c r="N30" s="1666">
        <f t="shared" ca="1" si="2"/>
        <v>58</v>
      </c>
      <c r="O30" s="1666">
        <f t="shared" ca="1" si="2"/>
        <v>33</v>
      </c>
      <c r="P30" s="1665">
        <f t="shared" ca="1" si="2"/>
        <v>31</v>
      </c>
      <c r="Q30" s="1666">
        <f t="shared" ca="1" si="2"/>
        <v>40</v>
      </c>
      <c r="R30" s="1666">
        <f t="shared" ca="1" si="2"/>
        <v>29</v>
      </c>
      <c r="S30" s="1667">
        <f t="shared" ca="1" si="2"/>
        <v>31</v>
      </c>
      <c r="T30" s="1666">
        <f t="shared" ca="1" si="2"/>
        <v>16</v>
      </c>
      <c r="U30" s="1668">
        <f t="shared" ca="1" si="2"/>
        <v>30</v>
      </c>
      <c r="AD30" s="277"/>
      <c r="AE30" s="277"/>
    </row>
    <row r="31" spans="1:52" s="276" customFormat="1" ht="13.5" customHeight="1" thickBot="1">
      <c r="A31" s="1658"/>
      <c r="B31" s="1669" t="str">
        <f ca="1">LOOKUP(RANDBETWEEN(1,78),deLETTRES,LETTRES)</f>
        <v>R</v>
      </c>
      <c r="C31" s="289">
        <f ca="1">10+RANDBETWEEN(1,20)+RANDBETWEEN(1,20)</f>
        <v>24</v>
      </c>
      <c r="D31" s="288">
        <f t="shared" ref="D31:I31" ca="1" si="3">LOOKUP(RANDBETWEEN(1,10)-RANDBETWEEN(1,10)+10,$B$2:$B$20,W$2:W$20)</f>
        <v>4</v>
      </c>
      <c r="E31" s="289" t="str">
        <f t="shared" ca="1" si="3"/>
        <v>long</v>
      </c>
      <c r="F31" s="288" t="str">
        <f t="shared" ca="1" si="3"/>
        <v>bouc</v>
      </c>
      <c r="G31" s="289" t="str">
        <f t="shared" ca="1" si="3"/>
        <v>épée</v>
      </c>
      <c r="H31" s="286" t="str">
        <f t="shared" ca="1" si="3"/>
        <v>fronde</v>
      </c>
      <c r="I31" s="288" t="str">
        <f t="shared" ca="1" si="3"/>
        <v>Charge</v>
      </c>
      <c r="J31" s="287">
        <f ca="1">(J30*5)+((RANDBETWEEN(1,6)-RANDBETWEEN(1,2))*5)</f>
        <v>45</v>
      </c>
      <c r="K31" s="286" t="str">
        <f ca="1">LOOKUP(RANDBETWEEN(1,10)-RANDBETWEEN(1,10)+10,$B$2:$B$20,AD$2:AD$20)</f>
        <v>3b</v>
      </c>
      <c r="L31" s="285">
        <f ca="1">(3*L30+2*M30+T30)/8</f>
        <v>32.875</v>
      </c>
      <c r="M31" s="284">
        <f ca="1">ROUND((3*T30+2*M30+Q30)/40,0)</f>
        <v>5</v>
      </c>
      <c r="N31" s="1653">
        <f ca="1">(3*Q30+2*P30+R30)/30</f>
        <v>7.0333333333333332</v>
      </c>
      <c r="O31" s="283">
        <f ca="1">(J30+(L30+M30)/20)*1.5 +L31/10 + J31/5</f>
        <v>28.637500000000003</v>
      </c>
      <c r="P31" s="282">
        <f ca="1">(J30+(N30+O30)/20)*1.5 +L31/10 + J31/5</f>
        <v>28.112500000000001</v>
      </c>
      <c r="Q31" s="281">
        <f ca="1">(3*N30+2*L30+J30)/20+(J31/10)</f>
        <v>18.600000000000001</v>
      </c>
      <c r="R31" s="280">
        <f ca="1">ROUND(L30/20,0)</f>
        <v>3</v>
      </c>
      <c r="S31" s="279">
        <f ca="1">(3*O30+2*O30+M30)/30+2</f>
        <v>9.0666666666666664</v>
      </c>
      <c r="T31" s="278">
        <f ca="1">(3*O30+2*N30+10*J30)/4</f>
        <v>68.75</v>
      </c>
      <c r="U31" s="1670">
        <f ca="1">(3*T30+2*M30+Q30)/6</f>
        <v>30.333333333333332</v>
      </c>
      <c r="AD31" s="277"/>
      <c r="AE31" s="277"/>
    </row>
    <row r="32" spans="1:52" s="267" customFormat="1" ht="14.25" customHeight="1" thickBot="1">
      <c r="A32" s="1654"/>
      <c r="B32" s="1671" t="s">
        <v>1312</v>
      </c>
      <c r="C32" s="1700" t="s">
        <v>142</v>
      </c>
      <c r="D32" s="1701"/>
      <c r="E32" s="1701"/>
      <c r="F32" s="1702"/>
      <c r="G32" s="275" t="str">
        <f ca="1">IF(RANDBETWEEN(0,9)&lt;D31+5,LOOKUP(RANDBETWEEN(1,10)-RANDBETWEEN(1,10)+10,$B$2:$B$20,AO$2:AO$20),"-")</f>
        <v>Escalade</v>
      </c>
      <c r="H32" s="274" t="str">
        <f ca="1">IF(RANDBETWEEN(0,9)&lt;D31+4,LOOKUP(RANDBETWEEN(1,10)-RANDBETWEEN(1,10)+10,$B$2:$B$20,AP$2:AP$20),"-")</f>
        <v>Rhétorique</v>
      </c>
      <c r="I32" s="274" t="str">
        <f ca="1">IF(RANDBETWEEN(0,9)&lt;D31+3,LOOKUP(RANDBETWEEN(1,10)-RANDBETWEEN(1,10)+10,$B$2:$B$20,AQ$2:AQ$20),"-")</f>
        <v>-</v>
      </c>
      <c r="J32" s="274" t="str">
        <f ca="1">IF(RANDBETWEEN(0,9)&lt;D31+2,LOOKUP(RANDBETWEEN(1,10)-RANDBETWEEN(1,10)+10,$B$2:$B$20,AR$2:AR$20),"-")</f>
        <v>-</v>
      </c>
      <c r="K32" s="274"/>
      <c r="L32" s="273">
        <f ca="1">ROUND(L31*0.2,0)</f>
        <v>7</v>
      </c>
      <c r="M32" s="272">
        <f ca="1">ROUND(L31*0.3,0)</f>
        <v>10</v>
      </c>
      <c r="N32" s="271">
        <f ca="1">ROUND(L31*0.4,0)</f>
        <v>13</v>
      </c>
      <c r="O32" s="1672" t="str">
        <f ca="1">IF(RANDBETWEEN(0,9)&lt;D31+1,LOOKUP(RANDBETWEEN(1,10)-RANDBETWEEN(1,10)+10,$B$2:$B$20,AO$2:AO$20),"-")</f>
        <v>Cueillette</v>
      </c>
      <c r="P32" s="1672"/>
      <c r="Q32" s="1672" t="str">
        <f ca="1">IF(RANDBETWEEN(0,9)&lt;D31,LOOKUP(RANDBETWEEN(1,10)-RANDBETWEEN(1,10)+10,$B$2:$B$20,AO$2:AO$20),"-")</f>
        <v>Cueillette</v>
      </c>
      <c r="R32" s="1672"/>
      <c r="S32" s="1683" t="str">
        <f ca="1">IF(D31&gt;7,LOOKUP(RANDBETWEEN(1,10)-RANDBETWEEN(1,10)+10,$B$2:$B$20,AR$2:AR$20),IF(D31&gt;5,LOOKUP(RANDBETWEEN(1,10)-RANDBETWEEN(1,10)+10,$B$2:$B$20,AQ$2:AQ$20),IF(D31&gt;2,LOOKUP(RANDBETWEEN(1,10)-RANDBETWEEN(1,10)+10,$B$2:$B$20,AP$2:AP$20),LOOKUP(RANDBETWEEN(1,10)-RANDBETWEEN(1,10)+10,$B$2:$B$20,AO$2:AO$20))))</f>
        <v>Pêche</v>
      </c>
      <c r="T32" s="1684"/>
      <c r="U32" s="1685"/>
    </row>
    <row r="33" spans="1:31" s="267" customFormat="1" ht="12" customHeight="1" thickBot="1">
      <c r="A33" s="1654"/>
      <c r="B33" s="1673"/>
      <c r="C33" s="1654"/>
      <c r="D33" s="1654"/>
      <c r="E33" s="1654"/>
      <c r="F33" s="1654"/>
      <c r="G33" s="270" t="str">
        <f ca="1">IF(G32&lt;&gt;"-","NE"&amp;LOOKUP(RANDBETWEEN(1,10)-RANDBETWEEN(1,10)+10,proba,TNE)," ")</f>
        <v>NE10</v>
      </c>
      <c r="H33" s="1672" t="str">
        <f ca="1">IF(H32&lt;&gt;"-","NE"&amp;LOOKUP(RANDBETWEEN(1,10)-RANDBETWEEN(1,10)+10,proba,TNE)," ")</f>
        <v>NE75</v>
      </c>
      <c r="I33" s="1672" t="str">
        <f ca="1">IF(I32&lt;&gt;"-","NE"&amp;LOOKUP(RANDBETWEEN(1,10)-RANDBETWEEN(1,10)+10,proba,TNE)," ")</f>
        <v xml:space="preserve"> </v>
      </c>
      <c r="J33" s="1672" t="str">
        <f ca="1">IF(J32&lt;&gt;"-","NE"&amp;LOOKUP(RANDBETWEEN(1,10)-RANDBETWEEN(1,10)+10,proba,TNE)," ")</f>
        <v xml:space="preserve"> </v>
      </c>
      <c r="K33" s="269"/>
      <c r="L33" s="268"/>
      <c r="M33" s="1674"/>
      <c r="N33" s="1675"/>
      <c r="O33" s="1672" t="str">
        <f ca="1">IF(O32&lt;&gt;"-","NE"&amp;LOOKUP(RANDBETWEEN(1,10)-RANDBETWEEN(1,10)+10,proba,TNE)," ")</f>
        <v>NE30</v>
      </c>
      <c r="P33" s="1672"/>
      <c r="Q33" s="1672" t="str">
        <f ca="1">IF(Q32&lt;&gt;"-","NE"&amp;LOOKUP(RANDBETWEEN(1,10)-RANDBETWEEN(1,10)+10,proba,TNE)," ")</f>
        <v>NE45</v>
      </c>
      <c r="R33" s="1672"/>
      <c r="S33" s="1686" t="str">
        <f ca="1">IF(S32&lt;&gt;"-","NE"&amp;LOOKUP(RANDBETWEEN(1,10)-RANDBETWEEN(1,10)+10,proba,TNE)," ")</f>
        <v>NE55</v>
      </c>
      <c r="T33" s="1684"/>
      <c r="U33" s="1687"/>
    </row>
    <row r="34" spans="1:31" s="267" customFormat="1" ht="19.5" customHeight="1" thickBot="1">
      <c r="A34" s="1654"/>
      <c r="B34" s="1676" t="str">
        <f ca="1">"Fam."&amp;LOOKUP(RANDBETWEEN(1,19),proba,famille)</f>
        <v>Fam.1</v>
      </c>
      <c r="C34" s="1677"/>
      <c r="D34" s="1677"/>
      <c r="E34" s="1677"/>
      <c r="F34" s="1677"/>
      <c r="G34" s="1678" t="s">
        <v>2631</v>
      </c>
      <c r="H34" s="1677"/>
      <c r="I34" s="1677" t="s">
        <v>2626</v>
      </c>
      <c r="J34" s="1677"/>
      <c r="K34" s="1677"/>
      <c r="L34" s="1679" t="str">
        <f ca="1">"T,V,B,J : "&amp;ROUND(M32/2,0)&amp;"/"&amp;M32&amp;"/"&amp;M32+M31</f>
        <v>T,V,B,J : 5/10/15</v>
      </c>
      <c r="M34" s="1680"/>
      <c r="N34" s="1681"/>
      <c r="O34" s="1680"/>
      <c r="P34" s="1680" t="str">
        <f ca="1">"Th : "&amp;ROUND(N32/2,0)&amp;"/"&amp;N32&amp;"/"&amp;N32+M31</f>
        <v>Th : 7/13/18</v>
      </c>
      <c r="Q34" s="1680"/>
      <c r="R34" s="1680"/>
      <c r="S34" s="1680" t="str">
        <f ca="1">"M, P: "&amp;ROUND(L32/2,0)&amp;"/"&amp;L32&amp;"/"&amp;L32+M31</f>
        <v>M, P: 4/7/12</v>
      </c>
      <c r="T34" s="1680"/>
      <c r="U34" s="1682"/>
    </row>
    <row r="35" spans="1:31" s="276" customFormat="1" ht="13.5" customHeight="1" thickTop="1" thickBot="1">
      <c r="A35" s="1657">
        <v>2</v>
      </c>
      <c r="B35" s="1659" t="str">
        <f ca="1">LOOKUP(RANDBETWEEN(1,1010),[0]!Dé1000,[0]!Prenom1000)</f>
        <v>Moïse</v>
      </c>
      <c r="C35" s="1660">
        <f ca="1">LOOKUP(RANDBETWEEN(1,10)-RANDBETWEEN(1,10)+10,$B$2:$B$20,C$2:C$20)</f>
        <v>170</v>
      </c>
      <c r="D35" s="1661">
        <f ca="1">$C35*$C35/10000*(RANDBETWEEN(1,10)+RANDBETWEEN(1,10)+14)</f>
        <v>83.81</v>
      </c>
      <c r="E35" s="1660" t="str">
        <f ca="1">LOOKUP(RANDBETWEEN(1,10)-RANDBETWEEN(1,10)+10,$B$2:$B$20,E$2:E$20)</f>
        <v>châtains</v>
      </c>
      <c r="F35" s="1661" t="str">
        <f ca="1">LOOKUP(RANDBETWEEN(1,10)-RANDBETWEEN(1,10)+10,$B$2:$B$20,F$2:F$20)</f>
        <v>bruns</v>
      </c>
      <c r="G35" s="1660" t="str">
        <f ca="1">LOOKUP(RANDBETWEEN(1,10)-RANDBETWEEN(1,10)+10,$B$2:$B$20,H$2:H$20)</f>
        <v>Nerveux</v>
      </c>
      <c r="H35" s="1662" t="str">
        <f ca="1">LOOKUP(RANDBETWEEN(1,10)-RANDBETWEEN(1,10)+10,$B$2:$B$20,H$2:H$20)</f>
        <v>Chef</v>
      </c>
      <c r="I35" s="1661" t="str">
        <f ca="1">LOOKUP(RANDBETWEEN(1,10)-RANDBETWEEN(1,10)+10,$B$2:$B$20,I$2:I$20)</f>
        <v>Dévoué</v>
      </c>
      <c r="J35" s="1663">
        <f ca="1">LOOKUP(RANDBETWEEN(1,10)-RANDBETWEEN(1,10)+10,$B$2:$B$20,J$2:J$20)</f>
        <v>3</v>
      </c>
      <c r="K35" s="1664" t="str">
        <f ca="1">LOOKUP(RANDBETWEEN(1,10)-RANDBETWEEN(1,10)+10,$B$2:$B$20,K$2:K$20)</f>
        <v>-</v>
      </c>
      <c r="L35" s="1665">
        <f t="shared" ref="L35:U35" ca="1" si="4">ROUND((2+RAND()*9+RAND()*9)*SQRT(RANDBETWEEN(multimin,multimax)),0)</f>
        <v>44</v>
      </c>
      <c r="M35" s="1666">
        <f t="shared" ca="1" si="4"/>
        <v>27</v>
      </c>
      <c r="N35" s="1666">
        <f t="shared" ca="1" si="4"/>
        <v>44</v>
      </c>
      <c r="O35" s="1666">
        <f t="shared" ca="1" si="4"/>
        <v>40</v>
      </c>
      <c r="P35" s="1665">
        <f t="shared" ca="1" si="4"/>
        <v>37</v>
      </c>
      <c r="Q35" s="1666">
        <f t="shared" ca="1" si="4"/>
        <v>16</v>
      </c>
      <c r="R35" s="1666">
        <f t="shared" ca="1" si="4"/>
        <v>55</v>
      </c>
      <c r="S35" s="1667">
        <f t="shared" ca="1" si="4"/>
        <v>36</v>
      </c>
      <c r="T35" s="1666">
        <f t="shared" ca="1" si="4"/>
        <v>32</v>
      </c>
      <c r="U35" s="1668">
        <f t="shared" ca="1" si="4"/>
        <v>33</v>
      </c>
      <c r="AD35" s="277"/>
      <c r="AE35" s="277"/>
    </row>
    <row r="36" spans="1:31" s="276" customFormat="1" ht="13.5" customHeight="1" thickBot="1">
      <c r="A36" s="1658"/>
      <c r="B36" s="1669" t="str">
        <f ca="1">LOOKUP(RANDBETWEEN(1,78),deLETTRES,LETTRES)</f>
        <v>B</v>
      </c>
      <c r="C36" s="289">
        <f ca="1">10+RANDBETWEEN(1,20)+RANDBETWEEN(1,20)</f>
        <v>32</v>
      </c>
      <c r="D36" s="288">
        <f t="shared" ref="D36:I36" ca="1" si="5">LOOKUP(RANDBETWEEN(1,10)-RANDBETWEEN(1,10)+10,$B$2:$B$20,W$2:W$20)</f>
        <v>0</v>
      </c>
      <c r="E36" s="289" t="str">
        <f t="shared" ca="1" si="5"/>
        <v>long</v>
      </c>
      <c r="F36" s="288" t="str">
        <f t="shared" ca="1" si="5"/>
        <v>barbe+</v>
      </c>
      <c r="G36" s="289" t="str">
        <f t="shared" ca="1" si="5"/>
        <v>masse+</v>
      </c>
      <c r="H36" s="286" t="str">
        <f t="shared" ca="1" si="5"/>
        <v>bouclier</v>
      </c>
      <c r="I36" s="288" t="str">
        <f t="shared" ca="1" si="5"/>
        <v>Fuite</v>
      </c>
      <c r="J36" s="287">
        <f ca="1">(J35*5)+((RANDBETWEEN(1,6)-RANDBETWEEN(1,2))*5)</f>
        <v>15</v>
      </c>
      <c r="K36" s="286" t="str">
        <f ca="1">LOOKUP(RANDBETWEEN(1,10)-RANDBETWEEN(1,10)+10,$B$2:$B$20,AD$2:AD$20)</f>
        <v>1b</v>
      </c>
      <c r="L36" s="285">
        <f ca="1">(3*L35+2*M35+T35)/8</f>
        <v>27.25</v>
      </c>
      <c r="M36" s="284">
        <f ca="1">ROUND((3*T35+2*M35+Q35)/40,0)</f>
        <v>4</v>
      </c>
      <c r="N36" s="1653">
        <f ca="1">(3*Q35+2*P35+R35)/30</f>
        <v>5.9</v>
      </c>
      <c r="O36" s="283">
        <f ca="1">(J35+(L35+M35)/20)*1.5 +L36/10 + J36/5</f>
        <v>15.549999999999999</v>
      </c>
      <c r="P36" s="282">
        <f ca="1">(J35+(N35+O35)/20)*1.5 +L36/10 + J36/5</f>
        <v>16.524999999999999</v>
      </c>
      <c r="Q36" s="281">
        <f ca="1">(3*N35+2*L35+J35)/20+(J36/10)</f>
        <v>12.65</v>
      </c>
      <c r="R36" s="280">
        <f ca="1">ROUND(L35/20,0)</f>
        <v>2</v>
      </c>
      <c r="S36" s="279">
        <f ca="1">(3*O35+2*O35+M35)/30+2</f>
        <v>9.5666666666666664</v>
      </c>
      <c r="T36" s="278">
        <f ca="1">(3*O35+2*N35+10*J35)/4</f>
        <v>59.5</v>
      </c>
      <c r="U36" s="1670">
        <f ca="1">(3*T35+2*M35+Q35)/6</f>
        <v>27.666666666666668</v>
      </c>
      <c r="AD36" s="277"/>
      <c r="AE36" s="277"/>
    </row>
    <row r="37" spans="1:31" s="267" customFormat="1" ht="14.25" customHeight="1" thickBot="1">
      <c r="A37" s="1654"/>
      <c r="B37" s="1671" t="s">
        <v>1312</v>
      </c>
      <c r="C37" s="1700" t="s">
        <v>142</v>
      </c>
      <c r="D37" s="1701"/>
      <c r="E37" s="1701"/>
      <c r="F37" s="1702"/>
      <c r="G37" s="275" t="str">
        <f ca="1">IF(RANDBETWEEN(0,9)&lt;D36+5,LOOKUP(RANDBETWEEN(1,10)-RANDBETWEEN(1,10)+10,$B$2:$B$20,AO$2:AO$20),"-")</f>
        <v>-</v>
      </c>
      <c r="H37" s="274" t="str">
        <f ca="1">IF(RANDBETWEEN(0,9)&lt;D36+4,LOOKUP(RANDBETWEEN(1,10)-RANDBETWEEN(1,10)+10,$B$2:$B$20,AP$2:AP$20),"-")</f>
        <v>Mine</v>
      </c>
      <c r="I37" s="274" t="str">
        <f ca="1">IF(RANDBETWEEN(0,9)&lt;D36+3,LOOKUP(RANDBETWEEN(1,10)-RANDBETWEEN(1,10)+10,$B$2:$B$20,AQ$2:AQ$20),"-")</f>
        <v>-</v>
      </c>
      <c r="J37" s="274" t="str">
        <f ca="1">IF(RANDBETWEEN(0,9)&lt;D36+2,LOOKUP(RANDBETWEEN(1,10)-RANDBETWEEN(1,10)+10,$B$2:$B$20,AR$2:AR$20),"-")</f>
        <v>-</v>
      </c>
      <c r="K37" s="274"/>
      <c r="L37" s="273">
        <f ca="1">ROUND(L36*0.2,0)</f>
        <v>5</v>
      </c>
      <c r="M37" s="272">
        <f ca="1">ROUND(L36*0.3,0)</f>
        <v>8</v>
      </c>
      <c r="N37" s="271">
        <f ca="1">ROUND(L36*0.4,0)</f>
        <v>11</v>
      </c>
      <c r="O37" s="1672" t="str">
        <f ca="1">IF(RANDBETWEEN(0,9)&lt;D36+1,LOOKUP(RANDBETWEEN(1,10)-RANDBETWEEN(1,10)+10,$B$2:$B$20,AO$2:AO$20),"-")</f>
        <v>-</v>
      </c>
      <c r="P37" s="1672"/>
      <c r="Q37" s="1672" t="str">
        <f ca="1">IF(RANDBETWEEN(0,9)&lt;D36,LOOKUP(RANDBETWEEN(1,10)-RANDBETWEEN(1,10)+10,$B$2:$B$20,AO$2:AO$20),"-")</f>
        <v>-</v>
      </c>
      <c r="R37" s="1672"/>
      <c r="S37" s="1683" t="str">
        <f ca="1">IF(D36&gt;7,LOOKUP(RANDBETWEEN(1,10)-RANDBETWEEN(1,10)+10,$B$2:$B$20,AR$2:AR$20),IF(D36&gt;5,LOOKUP(RANDBETWEEN(1,10)-RANDBETWEEN(1,10)+10,$B$2:$B$20,AQ$2:AQ$20),IF(D36&gt;2,LOOKUP(RANDBETWEEN(1,10)-RANDBETWEEN(1,10)+10,$B$2:$B$20,AP$2:AP$20),LOOKUP(RANDBETWEEN(1,10)-RANDBETWEEN(1,10)+10,$B$2:$B$20,AO$2:AO$20))))</f>
        <v>Agriculture</v>
      </c>
      <c r="T37" s="1684"/>
      <c r="U37" s="1685"/>
    </row>
    <row r="38" spans="1:31" s="267" customFormat="1" ht="12" customHeight="1" thickBot="1">
      <c r="A38" s="1654"/>
      <c r="B38" s="1673"/>
      <c r="C38" s="1654"/>
      <c r="D38" s="1654"/>
      <c r="E38" s="1654"/>
      <c r="F38" s="1654"/>
      <c r="G38" s="270" t="str">
        <f ca="1">IF(G37&lt;&gt;"-","NE"&amp;LOOKUP(RANDBETWEEN(1,10)-RANDBETWEEN(1,10)+10,proba,TNE)," ")</f>
        <v xml:space="preserve"> </v>
      </c>
      <c r="H38" s="1672" t="str">
        <f ca="1">IF(H37&lt;&gt;"-","NE"&amp;LOOKUP(RANDBETWEEN(1,10)-RANDBETWEEN(1,10)+10,proba,TNE)," ")</f>
        <v>NE35</v>
      </c>
      <c r="I38" s="1672" t="str">
        <f ca="1">IF(I37&lt;&gt;"-","NE"&amp;LOOKUP(RANDBETWEEN(1,10)-RANDBETWEEN(1,10)+10,proba,TNE)," ")</f>
        <v xml:space="preserve"> </v>
      </c>
      <c r="J38" s="1672" t="str">
        <f ca="1">IF(J37&lt;&gt;"-","NE"&amp;LOOKUP(RANDBETWEEN(1,10)-RANDBETWEEN(1,10)+10,proba,TNE)," ")</f>
        <v xml:space="preserve"> </v>
      </c>
      <c r="K38" s="269"/>
      <c r="L38" s="268"/>
      <c r="M38" s="1674"/>
      <c r="N38" s="1675"/>
      <c r="O38" s="1672" t="str">
        <f ca="1">IF(O37&lt;&gt;"-","NE"&amp;LOOKUP(RANDBETWEEN(1,10)-RANDBETWEEN(1,10)+10,proba,TNE)," ")</f>
        <v xml:space="preserve"> </v>
      </c>
      <c r="P38" s="1672"/>
      <c r="Q38" s="1672" t="str">
        <f ca="1">IF(Q37&lt;&gt;"-","NE"&amp;LOOKUP(RANDBETWEEN(1,10)-RANDBETWEEN(1,10)+10,proba,TNE)," ")</f>
        <v xml:space="preserve"> </v>
      </c>
      <c r="R38" s="1672"/>
      <c r="S38" s="1686" t="str">
        <f ca="1">IF(S37&lt;&gt;"-","NE"&amp;LOOKUP(RANDBETWEEN(1,10)-RANDBETWEEN(1,10)+10,proba,TNE)," ")</f>
        <v>NE50</v>
      </c>
      <c r="T38" s="1684"/>
      <c r="U38" s="1687"/>
    </row>
    <row r="39" spans="1:31" s="267" customFormat="1" ht="19.5" customHeight="1" thickBot="1">
      <c r="A39" s="1654"/>
      <c r="B39" s="1676" t="str">
        <f ca="1">"Fam."&amp;LOOKUP(RANDBETWEEN(1,19),proba,famille)</f>
        <v>Fam.rien</v>
      </c>
      <c r="C39" s="1677"/>
      <c r="D39" s="1677"/>
      <c r="E39" s="1677"/>
      <c r="F39" s="1677"/>
      <c r="G39" s="1678" t="s">
        <v>2632</v>
      </c>
      <c r="H39" s="1677"/>
      <c r="I39" s="1677" t="s">
        <v>2626</v>
      </c>
      <c r="J39" s="1677"/>
      <c r="K39" s="1677"/>
      <c r="L39" s="1679" t="str">
        <f ca="1">"T,V,B,J : "&amp;ROUND(M37/2,0)&amp;"/"&amp;M37&amp;"/"&amp;M37+M36</f>
        <v>T,V,B,J : 4/8/12</v>
      </c>
      <c r="M39" s="1680"/>
      <c r="N39" s="1681"/>
      <c r="O39" s="1680"/>
      <c r="P39" s="1680" t="str">
        <f ca="1">"Th : "&amp;ROUND(N37/2,0)&amp;"/"&amp;N37&amp;"/"&amp;N37+M36</f>
        <v>Th : 6/11/15</v>
      </c>
      <c r="Q39" s="1680"/>
      <c r="R39" s="1680"/>
      <c r="S39" s="1680" t="str">
        <f ca="1">"M, P: "&amp;ROUND(L37/2,0)&amp;"/"&amp;L37&amp;"/"&amp;L37+M36</f>
        <v>M, P: 3/5/9</v>
      </c>
      <c r="T39" s="1680"/>
      <c r="U39" s="1682"/>
    </row>
    <row r="40" spans="1:31" s="276" customFormat="1" ht="13.5" customHeight="1" thickTop="1" thickBot="1">
      <c r="A40" s="1657">
        <v>3</v>
      </c>
      <c r="B40" s="1659" t="str">
        <f ca="1">LOOKUP(RANDBETWEEN(1,1010),[0]!Dé1000,[0]!Prenom1000)</f>
        <v>Thérèse</v>
      </c>
      <c r="C40" s="1660">
        <f ca="1">LOOKUP(RANDBETWEEN(1,10)-RANDBETWEEN(1,10)+10,$B$2:$B$20,C$2:C$20)</f>
        <v>180</v>
      </c>
      <c r="D40" s="1661">
        <f ca="1">$C40*$C40/10000*(RANDBETWEEN(1,10)+RANDBETWEEN(1,10)+14)</f>
        <v>93.960000000000008</v>
      </c>
      <c r="E40" s="1660" t="str">
        <f ca="1">LOOKUP(RANDBETWEEN(1,10)-RANDBETWEEN(1,10)+10,$B$2:$B$20,E$2:E$20)</f>
        <v>aucun</v>
      </c>
      <c r="F40" s="1661" t="str">
        <f ca="1">LOOKUP(RANDBETWEEN(1,10)-RANDBETWEEN(1,10)+10,$B$2:$B$20,F$2:F$20)</f>
        <v>noiset</v>
      </c>
      <c r="G40" s="1660" t="str">
        <f ca="1">LOOKUP(RANDBETWEEN(1,10)-RANDBETWEEN(1,10)+10,$B$2:$B$20,H$2:H$20)</f>
        <v>Égocentriq</v>
      </c>
      <c r="H40" s="1662" t="str">
        <f ca="1">LOOKUP(RANDBETWEEN(1,10)-RANDBETWEEN(1,10)+10,$B$2:$B$20,H$2:H$20)</f>
        <v>Égocentriq</v>
      </c>
      <c r="I40" s="1661" t="str">
        <f ca="1">LOOKUP(RANDBETWEEN(1,10)-RANDBETWEEN(1,10)+10,$B$2:$B$20,I$2:I$20)</f>
        <v>Poli</v>
      </c>
      <c r="J40" s="1663">
        <f ca="1">LOOKUP(RANDBETWEEN(1,10)-RANDBETWEEN(1,10)+10,$B$2:$B$20,J$2:J$20)</f>
        <v>2</v>
      </c>
      <c r="K40" s="1664" t="str">
        <f ca="1">LOOKUP(RANDBETWEEN(1,10)-RANDBETWEEN(1,10)+10,$B$2:$B$20,K$2:K$20)</f>
        <v>-</v>
      </c>
      <c r="L40" s="1665">
        <f t="shared" ref="L40:U40" ca="1" si="6">ROUND((2+RAND()*9+RAND()*9)*SQRT(RANDBETWEEN(multimin,multimax)),0)</f>
        <v>48</v>
      </c>
      <c r="M40" s="1666">
        <f t="shared" ca="1" si="6"/>
        <v>64</v>
      </c>
      <c r="N40" s="1666">
        <f t="shared" ca="1" si="6"/>
        <v>23</v>
      </c>
      <c r="O40" s="1666">
        <f t="shared" ca="1" si="6"/>
        <v>32</v>
      </c>
      <c r="P40" s="1665">
        <f t="shared" ca="1" si="6"/>
        <v>36</v>
      </c>
      <c r="Q40" s="1666">
        <f t="shared" ca="1" si="6"/>
        <v>44</v>
      </c>
      <c r="R40" s="1666">
        <f t="shared" ca="1" si="6"/>
        <v>52</v>
      </c>
      <c r="S40" s="1667">
        <f t="shared" ca="1" si="6"/>
        <v>57</v>
      </c>
      <c r="T40" s="1666">
        <f t="shared" ca="1" si="6"/>
        <v>30</v>
      </c>
      <c r="U40" s="1668">
        <f t="shared" ca="1" si="6"/>
        <v>61</v>
      </c>
      <c r="AD40" s="277"/>
      <c r="AE40" s="277"/>
    </row>
    <row r="41" spans="1:31" s="276" customFormat="1" ht="13.5" customHeight="1" thickBot="1">
      <c r="A41" s="1658"/>
      <c r="B41" s="1669" t="str">
        <f ca="1">LOOKUP(RANDBETWEEN(1,78),deLETTRES,LETTRES)</f>
        <v>P</v>
      </c>
      <c r="C41" s="289">
        <f ca="1">10+RANDBETWEEN(1,20)+RANDBETWEEN(1,20)</f>
        <v>23</v>
      </c>
      <c r="D41" s="288">
        <f t="shared" ref="D41:I41" ca="1" si="7">LOOKUP(RANDBETWEEN(1,10)-RANDBETWEEN(1,10)+10,$B$2:$B$20,W$2:W$20)</f>
        <v>3</v>
      </c>
      <c r="E41" s="289" t="str">
        <f t="shared" ca="1" si="7"/>
        <v>moyen</v>
      </c>
      <c r="F41" s="288" t="str">
        <f t="shared" ca="1" si="7"/>
        <v>duvet</v>
      </c>
      <c r="G41" s="289" t="str">
        <f t="shared" ca="1" si="7"/>
        <v>pique</v>
      </c>
      <c r="H41" s="286" t="str">
        <f t="shared" ca="1" si="7"/>
        <v>cb chev</v>
      </c>
      <c r="I41" s="288" t="str">
        <f t="shared" ca="1" si="7"/>
        <v>-</v>
      </c>
      <c r="J41" s="287">
        <f ca="1">(J40*5)+((RANDBETWEEN(1,6)-RANDBETWEEN(1,2))*5)</f>
        <v>20</v>
      </c>
      <c r="K41" s="286">
        <f ca="1">LOOKUP(RANDBETWEEN(1,10)-RANDBETWEEN(1,10)+10,$B$2:$B$20,AD$2:AD$20)</f>
        <v>2</v>
      </c>
      <c r="L41" s="285">
        <f ca="1">(3*L40+2*M40+T40)/8</f>
        <v>37.75</v>
      </c>
      <c r="M41" s="284">
        <f ca="1">ROUND((3*T40+2*M40+Q40)/40,0)</f>
        <v>7</v>
      </c>
      <c r="N41" s="1653">
        <f ca="1">(3*Q40+2*P40+R40)/30</f>
        <v>8.5333333333333332</v>
      </c>
      <c r="O41" s="283">
        <f ca="1">(J40+(L40+M40)/20)*1.5 +L41/10 + J41/5</f>
        <v>19.174999999999997</v>
      </c>
      <c r="P41" s="282">
        <f ca="1">(J40+(N40+O40)/20)*1.5 +L41/10 + J41/5</f>
        <v>14.9</v>
      </c>
      <c r="Q41" s="281">
        <f ca="1">(3*N40+2*L40+J40)/20+(J41/10)</f>
        <v>10.35</v>
      </c>
      <c r="R41" s="280">
        <f ca="1">ROUND(L40/20,0)</f>
        <v>2</v>
      </c>
      <c r="S41" s="279">
        <f ca="1">(3*O40+2*O40+M40)/30+2</f>
        <v>9.4666666666666668</v>
      </c>
      <c r="T41" s="278">
        <f ca="1">(3*O40+2*N40+10*J40)/4</f>
        <v>40.5</v>
      </c>
      <c r="U41" s="1670">
        <f ca="1">(3*T40+2*M40+Q40)/6</f>
        <v>43.666666666666664</v>
      </c>
      <c r="AD41" s="277"/>
      <c r="AE41" s="277"/>
    </row>
    <row r="42" spans="1:31" s="267" customFormat="1" ht="14.25" customHeight="1" thickBot="1">
      <c r="A42" s="1654"/>
      <c r="B42" s="1671" t="s">
        <v>1312</v>
      </c>
      <c r="C42" s="1700" t="s">
        <v>142</v>
      </c>
      <c r="D42" s="1701"/>
      <c r="E42" s="1701"/>
      <c r="F42" s="1702"/>
      <c r="G42" s="275" t="str">
        <f ca="1">IF(RANDBETWEEN(0,9)&lt;D41+5,LOOKUP(RANDBETWEEN(1,10)-RANDBETWEEN(1,10)+10,$B$2:$B$20,AO$2:AO$20),"-")</f>
        <v>Survie</v>
      </c>
      <c r="H42" s="274" t="str">
        <f ca="1">IF(RANDBETWEEN(0,9)&lt;D41+4,LOOKUP(RANDBETWEEN(1,10)-RANDBETWEEN(1,10)+10,$B$2:$B$20,AP$2:AP$20),"-")</f>
        <v>Convoyage</v>
      </c>
      <c r="I42" s="274" t="str">
        <f ca="1">IF(RANDBETWEEN(0,9)&lt;D41+3,LOOKUP(RANDBETWEEN(1,10)-RANDBETWEEN(1,10)+10,$B$2:$B$20,AQ$2:AQ$20),"-")</f>
        <v>Armurerie</v>
      </c>
      <c r="J42" s="274" t="str">
        <f ca="1">IF(RANDBETWEEN(0,9)&lt;D41+2,LOOKUP(RANDBETWEEN(1,10)-RANDBETWEEN(1,10)+10,$B$2:$B$20,AR$2:AR$20),"-")</f>
        <v>-</v>
      </c>
      <c r="K42" s="274"/>
      <c r="L42" s="273">
        <f ca="1">ROUND(L41*0.2,0)</f>
        <v>8</v>
      </c>
      <c r="M42" s="272">
        <f ca="1">ROUND(L41*0.3,0)</f>
        <v>11</v>
      </c>
      <c r="N42" s="271">
        <f ca="1">ROUND(L41*0.4,0)</f>
        <v>15</v>
      </c>
      <c r="O42" s="1672" t="str">
        <f ca="1">IF(RANDBETWEEN(0,9)&lt;D41+1,LOOKUP(RANDBETWEEN(1,10)-RANDBETWEEN(1,10)+10,$B$2:$B$20,AO$2:AO$20),"-")</f>
        <v>-</v>
      </c>
      <c r="P42" s="1672"/>
      <c r="Q42" s="1672" t="str">
        <f ca="1">IF(RANDBETWEEN(0,9)&lt;D41,LOOKUP(RANDBETWEEN(1,10)-RANDBETWEEN(1,10)+10,$B$2:$B$20,AO$2:AO$20),"-")</f>
        <v>Agriculture</v>
      </c>
      <c r="R42" s="1672"/>
      <c r="S42" s="1683" t="str">
        <f ca="1">IF(D41&gt;7,LOOKUP(RANDBETWEEN(1,10)-RANDBETWEEN(1,10)+10,$B$2:$B$20,AR$2:AR$20),IF(D41&gt;5,LOOKUP(RANDBETWEEN(1,10)-RANDBETWEEN(1,10)+10,$B$2:$B$20,AQ$2:AQ$20),IF(D41&gt;2,LOOKUP(RANDBETWEEN(1,10)-RANDBETWEEN(1,10)+10,$B$2:$B$20,AP$2:AP$20),LOOKUP(RANDBETWEEN(1,10)-RANDBETWEEN(1,10)+10,$B$2:$B$20,AO$2:AO$20))))</f>
        <v>Traque</v>
      </c>
      <c r="T42" s="1684"/>
      <c r="U42" s="1685"/>
    </row>
    <row r="43" spans="1:31" s="267" customFormat="1" ht="12" customHeight="1" thickBot="1">
      <c r="A43" s="1654"/>
      <c r="B43" s="1673"/>
      <c r="C43" s="1654"/>
      <c r="D43" s="1654"/>
      <c r="E43" s="1654"/>
      <c r="F43" s="1654"/>
      <c r="G43" s="270" t="str">
        <f ca="1">IF(G42&lt;&gt;"-","NE"&amp;LOOKUP(RANDBETWEEN(1,10)-RANDBETWEEN(1,10)+10,proba,TNE)," ")</f>
        <v>NE40</v>
      </c>
      <c r="H43" s="1672" t="str">
        <f ca="1">IF(H42&lt;&gt;"-","NE"&amp;LOOKUP(RANDBETWEEN(1,10)-RANDBETWEEN(1,10)+10,proba,TNE)," ")</f>
        <v>NE40</v>
      </c>
      <c r="I43" s="1672" t="str">
        <f ca="1">IF(I42&lt;&gt;"-","NE"&amp;LOOKUP(RANDBETWEEN(1,10)-RANDBETWEEN(1,10)+10,proba,TNE)," ")</f>
        <v>NE40</v>
      </c>
      <c r="J43" s="1672" t="str">
        <f ca="1">IF(J42&lt;&gt;"-","NE"&amp;LOOKUP(RANDBETWEEN(1,10)-RANDBETWEEN(1,10)+10,proba,TNE)," ")</f>
        <v xml:space="preserve"> </v>
      </c>
      <c r="K43" s="269"/>
      <c r="L43" s="268"/>
      <c r="M43" s="1674"/>
      <c r="N43" s="1675"/>
      <c r="O43" s="1672" t="str">
        <f ca="1">IF(O42&lt;&gt;"-","NE"&amp;LOOKUP(RANDBETWEEN(1,10)-RANDBETWEEN(1,10)+10,proba,TNE)," ")</f>
        <v xml:space="preserve"> </v>
      </c>
      <c r="P43" s="1672"/>
      <c r="Q43" s="1672" t="str">
        <f ca="1">IF(Q42&lt;&gt;"-","NE"&amp;LOOKUP(RANDBETWEEN(1,10)-RANDBETWEEN(1,10)+10,proba,TNE)," ")</f>
        <v>NE50</v>
      </c>
      <c r="R43" s="1672"/>
      <c r="S43" s="1686" t="str">
        <f ca="1">IF(S42&lt;&gt;"-","NE"&amp;LOOKUP(RANDBETWEEN(1,10)-RANDBETWEEN(1,10)+10,proba,TNE)," ")</f>
        <v>NE45</v>
      </c>
      <c r="T43" s="1684"/>
      <c r="U43" s="1687"/>
    </row>
    <row r="44" spans="1:31" s="267" customFormat="1" ht="19.5" customHeight="1" thickBot="1">
      <c r="A44" s="1654"/>
      <c r="B44" s="1676" t="str">
        <f ca="1">"Fam."&amp;LOOKUP(RANDBETWEEN(1,19),proba,famille)</f>
        <v>Fam.2</v>
      </c>
      <c r="C44" s="1677"/>
      <c r="D44" s="1677"/>
      <c r="E44" s="1677"/>
      <c r="F44" s="1677"/>
      <c r="G44" s="1678" t="s">
        <v>2633</v>
      </c>
      <c r="H44" s="1677"/>
      <c r="I44" s="1677" t="s">
        <v>2627</v>
      </c>
      <c r="J44" s="1677"/>
      <c r="K44" s="1677"/>
      <c r="L44" s="1679" t="str">
        <f ca="1">"T,V,B,J : "&amp;ROUND(M42/2,0)&amp;"/"&amp;M42&amp;"/"&amp;M42+M41</f>
        <v>T,V,B,J : 6/11/18</v>
      </c>
      <c r="M44" s="1680"/>
      <c r="N44" s="1681"/>
      <c r="O44" s="1680"/>
      <c r="P44" s="1680" t="str">
        <f ca="1">"Th : "&amp;ROUND(N42/2,0)&amp;"/"&amp;N42&amp;"/"&amp;N42+M41</f>
        <v>Th : 8/15/22</v>
      </c>
      <c r="Q44" s="1680"/>
      <c r="R44" s="1680"/>
      <c r="S44" s="1680" t="str">
        <f ca="1">"M, P: "&amp;ROUND(L42/2,0)&amp;"/"&amp;L42&amp;"/"&amp;L42+M41</f>
        <v>M, P: 4/8/15</v>
      </c>
      <c r="T44" s="1680"/>
      <c r="U44" s="1682"/>
    </row>
    <row r="45" spans="1:31" s="276" customFormat="1" ht="13.5" customHeight="1" thickTop="1" thickBot="1">
      <c r="A45" s="1657">
        <v>4</v>
      </c>
      <c r="B45" s="1659" t="str">
        <f ca="1">LOOKUP(RANDBETWEEN(1,1010),[0]!Dé1000,[0]!Prenom1000)</f>
        <v>Olympe</v>
      </c>
      <c r="C45" s="1660">
        <f ca="1">LOOKUP(RANDBETWEEN(1,10)-RANDBETWEEN(1,10)+10,$B$2:$B$20,C$2:C$20)</f>
        <v>170</v>
      </c>
      <c r="D45" s="1661">
        <f ca="1">$C45*$C45/10000*(RANDBETWEEN(1,10)+RANDBETWEEN(1,10)+14)</f>
        <v>86.7</v>
      </c>
      <c r="E45" s="1660" t="str">
        <f ca="1">LOOKUP(RANDBETWEEN(1,10)-RANDBETWEEN(1,10)+10,$B$2:$B$20,E$2:E$20)</f>
        <v>châtains</v>
      </c>
      <c r="F45" s="1661" t="str">
        <f ca="1">LOOKUP(RANDBETWEEN(1,10)-RANDBETWEEN(1,10)+10,$B$2:$B$20,F$2:F$20)</f>
        <v>noiset</v>
      </c>
      <c r="G45" s="1660" t="str">
        <f ca="1">LOOKUP(RANDBETWEEN(1,10)-RANDBETWEEN(1,10)+10,$B$2:$B$20,H$2:H$20)</f>
        <v>Indifférent</v>
      </c>
      <c r="H45" s="1662" t="str">
        <f ca="1">LOOKUP(RANDBETWEEN(1,10)-RANDBETWEEN(1,10)+10,$B$2:$B$20,H$2:H$20)</f>
        <v>Hautain</v>
      </c>
      <c r="I45" s="1661" t="str">
        <f ca="1">LOOKUP(RANDBETWEEN(1,10)-RANDBETWEEN(1,10)+10,$B$2:$B$20,I$2:I$20)</f>
        <v>Poli</v>
      </c>
      <c r="J45" s="1663">
        <f ca="1">LOOKUP(RANDBETWEEN(1,10)-RANDBETWEEN(1,10)+10,$B$2:$B$20,J$2:J$20)</f>
        <v>5</v>
      </c>
      <c r="K45" s="1664" t="str">
        <f ca="1">LOOKUP(RANDBETWEEN(1,10)-RANDBETWEEN(1,10)+10,$B$2:$B$20,K$2:K$20)</f>
        <v>-</v>
      </c>
      <c r="L45" s="1665">
        <f t="shared" ref="L45:U45" ca="1" si="8">ROUND((2+RAND()*9+RAND()*9)*SQRT(RANDBETWEEN(multimin,multimax)),0)</f>
        <v>26</v>
      </c>
      <c r="M45" s="1666">
        <f t="shared" ca="1" si="8"/>
        <v>56</v>
      </c>
      <c r="N45" s="1666">
        <f t="shared" ca="1" si="8"/>
        <v>38</v>
      </c>
      <c r="O45" s="1666">
        <f t="shared" ca="1" si="8"/>
        <v>38</v>
      </c>
      <c r="P45" s="1665">
        <f t="shared" ca="1" si="8"/>
        <v>32</v>
      </c>
      <c r="Q45" s="1666">
        <f t="shared" ca="1" si="8"/>
        <v>44</v>
      </c>
      <c r="R45" s="1666">
        <f t="shared" ca="1" si="8"/>
        <v>37</v>
      </c>
      <c r="S45" s="1667">
        <f t="shared" ca="1" si="8"/>
        <v>31</v>
      </c>
      <c r="T45" s="1666">
        <f t="shared" ca="1" si="8"/>
        <v>25</v>
      </c>
      <c r="U45" s="1668">
        <f t="shared" ca="1" si="8"/>
        <v>44</v>
      </c>
      <c r="AD45" s="277"/>
      <c r="AE45" s="277"/>
    </row>
    <row r="46" spans="1:31" s="276" customFormat="1" ht="13.5" customHeight="1" thickBot="1">
      <c r="A46" s="1658"/>
      <c r="B46" s="1669" t="str">
        <f ca="1">LOOKUP(RANDBETWEEN(1,78),deLETTRES,LETTRES)</f>
        <v>L</v>
      </c>
      <c r="C46" s="289">
        <f ca="1">10+RANDBETWEEN(1,20)+RANDBETWEEN(1,20)</f>
        <v>38</v>
      </c>
      <c r="D46" s="288">
        <f t="shared" ref="D46:I46" ca="1" si="9">LOOKUP(RANDBETWEEN(1,10)-RANDBETWEEN(1,10)+10,$B$2:$B$20,W$2:W$20)</f>
        <v>9</v>
      </c>
      <c r="E46" s="289" t="str">
        <f t="shared" ca="1" si="9"/>
        <v>tr cour</v>
      </c>
      <c r="F46" s="288" t="str">
        <f t="shared" ca="1" si="9"/>
        <v>duvet+</v>
      </c>
      <c r="G46" s="289" t="str">
        <f t="shared" ca="1" si="9"/>
        <v xml:space="preserve">lance </v>
      </c>
      <c r="H46" s="286" t="str">
        <f t="shared" ca="1" si="9"/>
        <v>bouclier</v>
      </c>
      <c r="I46" s="288" t="str">
        <f t="shared" ca="1" si="9"/>
        <v>talent</v>
      </c>
      <c r="J46" s="287">
        <f ca="1">(J45*5)+((RANDBETWEEN(1,6)-RANDBETWEEN(1,2))*5)</f>
        <v>35</v>
      </c>
      <c r="K46" s="286" t="str">
        <f ca="1">LOOKUP(RANDBETWEEN(1,10)-RANDBETWEEN(1,10)+10,$B$2:$B$20,AD$2:AD$20)</f>
        <v>3b</v>
      </c>
      <c r="L46" s="285">
        <f ca="1">(3*L45+2*M45+T45)/8</f>
        <v>26.875</v>
      </c>
      <c r="M46" s="284">
        <f ca="1">ROUND((3*T45+2*M45+Q45)/40,0)</f>
        <v>6</v>
      </c>
      <c r="N46" s="1653">
        <f ca="1">(3*Q45+2*P45+R45)/30</f>
        <v>7.7666666666666666</v>
      </c>
      <c r="O46" s="283">
        <f ca="1">(J45+(L45+M45)/20)*1.5 +L46/10 + J46/5</f>
        <v>23.337499999999999</v>
      </c>
      <c r="P46" s="282">
        <f ca="1">(J45+(N45+O45)/20)*1.5 +L46/10 + J46/5</f>
        <v>22.887500000000003</v>
      </c>
      <c r="Q46" s="281">
        <f ca="1">(3*N45+2*L45+J45)/20+(J46/10)</f>
        <v>12.05</v>
      </c>
      <c r="R46" s="280">
        <f ca="1">ROUND(L45/20,0)</f>
        <v>1</v>
      </c>
      <c r="S46" s="279">
        <f ca="1">(3*O45+2*O45+M45)/30+2</f>
        <v>10.199999999999999</v>
      </c>
      <c r="T46" s="278">
        <f ca="1">(3*O45+2*N45+10*J45)/4</f>
        <v>60</v>
      </c>
      <c r="U46" s="1670">
        <f ca="1">(3*T45+2*M45+Q45)/6</f>
        <v>38.5</v>
      </c>
      <c r="AD46" s="277"/>
      <c r="AE46" s="277"/>
    </row>
    <row r="47" spans="1:31" s="267" customFormat="1" ht="14.25" customHeight="1" thickBot="1">
      <c r="A47" s="1654"/>
      <c r="B47" s="1671" t="s">
        <v>1312</v>
      </c>
      <c r="C47" s="1700" t="s">
        <v>142</v>
      </c>
      <c r="D47" s="1701"/>
      <c r="E47" s="1701"/>
      <c r="F47" s="1702"/>
      <c r="G47" s="275" t="str">
        <f ca="1">IF(RANDBETWEEN(0,9)&lt;D46+5,LOOKUP(RANDBETWEEN(1,10)-RANDBETWEEN(1,10)+10,$B$2:$B$20,AO$2:AO$20),"-")</f>
        <v>Nage</v>
      </c>
      <c r="H47" s="274" t="str">
        <f ca="1">IF(RANDBETWEEN(0,9)&lt;D46+4,LOOKUP(RANDBETWEEN(1,10)-RANDBETWEEN(1,10)+10,$B$2:$B$20,AP$2:AP$20),"-")</f>
        <v>Cuisine</v>
      </c>
      <c r="I47" s="274" t="str">
        <f ca="1">IF(RANDBETWEEN(0,9)&lt;D46+3,LOOKUP(RANDBETWEEN(1,10)-RANDBETWEEN(1,10)+10,$B$2:$B$20,AQ$2:AQ$20),"-")</f>
        <v>Armurerie</v>
      </c>
      <c r="J47" s="274" t="str">
        <f ca="1">IF(RANDBETWEEN(0,9)&lt;D46+2,LOOKUP(RANDBETWEEN(1,10)-RANDBETWEEN(1,10)+10,$B$2:$B$20,AR$2:AR$20),"-")</f>
        <v>Religion/Magi</v>
      </c>
      <c r="K47" s="274"/>
      <c r="L47" s="273">
        <f ca="1">ROUND(L46*0.2,0)</f>
        <v>5</v>
      </c>
      <c r="M47" s="272">
        <f ca="1">ROUND(L46*0.3,0)</f>
        <v>8</v>
      </c>
      <c r="N47" s="271">
        <f ca="1">ROUND(L46*0.4,0)</f>
        <v>11</v>
      </c>
      <c r="O47" s="1672" t="str">
        <f ca="1">IF(RANDBETWEEN(0,9)&lt;D46+1,LOOKUP(RANDBETWEEN(1,10)-RANDBETWEEN(1,10)+10,$B$2:$B$20,AO$2:AO$20),"-")</f>
        <v>Lan signes</v>
      </c>
      <c r="P47" s="1672"/>
      <c r="Q47" s="1672" t="str">
        <f ca="1">IF(RANDBETWEEN(0,9)&lt;D46,LOOKUP(RANDBETWEEN(1,10)-RANDBETWEEN(1,10)+10,$B$2:$B$20,AO$2:AO$20),"-")</f>
        <v>Escalade</v>
      </c>
      <c r="R47" s="1672"/>
      <c r="S47" s="1683" t="str">
        <f ca="1">IF(D46&gt;7,LOOKUP(RANDBETWEEN(1,10)-RANDBETWEEN(1,10)+10,$B$2:$B$20,AR$2:AR$20),IF(D46&gt;5,LOOKUP(RANDBETWEEN(1,10)-RANDBETWEEN(1,10)+10,$B$2:$B$20,AQ$2:AQ$20),IF(D46&gt;2,LOOKUP(RANDBETWEEN(1,10)-RANDBETWEEN(1,10)+10,$B$2:$B$20,AP$2:AP$20),LOOKUP(RANDBETWEEN(1,10)-RANDBETWEEN(1,10)+10,$B$2:$B$20,AO$2:AO$20))))</f>
        <v>Joaillerie</v>
      </c>
      <c r="T47" s="1684"/>
      <c r="U47" s="1685"/>
    </row>
    <row r="48" spans="1:31" s="267" customFormat="1" ht="12" customHeight="1" thickBot="1">
      <c r="A48" s="1654"/>
      <c r="B48" s="1673"/>
      <c r="C48" s="1654"/>
      <c r="D48" s="1654"/>
      <c r="E48" s="1654"/>
      <c r="F48" s="1654"/>
      <c r="G48" s="270" t="str">
        <f ca="1">IF(G47&lt;&gt;"-","NE"&amp;LOOKUP(RANDBETWEEN(1,10)-RANDBETWEEN(1,10)+10,proba,TNE)," ")</f>
        <v>NE15</v>
      </c>
      <c r="H48" s="1672" t="str">
        <f ca="1">IF(H47&lt;&gt;"-","NE"&amp;LOOKUP(RANDBETWEEN(1,10)-RANDBETWEEN(1,10)+10,proba,TNE)," ")</f>
        <v>NE40</v>
      </c>
      <c r="I48" s="1672" t="str">
        <f ca="1">IF(I47&lt;&gt;"-","NE"&amp;LOOKUP(RANDBETWEEN(1,10)-RANDBETWEEN(1,10)+10,proba,TNE)," ")</f>
        <v>NE70</v>
      </c>
      <c r="J48" s="1672" t="str">
        <f ca="1">IF(J47&lt;&gt;"-","NE"&amp;LOOKUP(RANDBETWEEN(1,10)-RANDBETWEEN(1,10)+10,proba,TNE)," ")</f>
        <v>NE30</v>
      </c>
      <c r="K48" s="269"/>
      <c r="L48" s="268"/>
      <c r="M48" s="1674"/>
      <c r="N48" s="1675"/>
      <c r="O48" s="1672" t="str">
        <f ca="1">IF(O47&lt;&gt;"-","NE"&amp;LOOKUP(RANDBETWEEN(1,10)-RANDBETWEEN(1,10)+10,proba,TNE)," ")</f>
        <v>NE15</v>
      </c>
      <c r="P48" s="1672"/>
      <c r="Q48" s="1672" t="str">
        <f ca="1">IF(Q47&lt;&gt;"-","NE"&amp;LOOKUP(RANDBETWEEN(1,10)-RANDBETWEEN(1,10)+10,proba,TNE)," ")</f>
        <v>NE15</v>
      </c>
      <c r="R48" s="1672"/>
      <c r="S48" s="1686" t="str">
        <f ca="1">IF(S47&lt;&gt;"-","NE"&amp;LOOKUP(RANDBETWEEN(1,10)-RANDBETWEEN(1,10)+10,proba,TNE)," ")</f>
        <v>NE20</v>
      </c>
      <c r="T48" s="1684"/>
      <c r="U48" s="1687"/>
    </row>
    <row r="49" spans="1:31" s="267" customFormat="1" ht="19.5" customHeight="1" thickBot="1">
      <c r="A49" s="1654"/>
      <c r="B49" s="1676" t="str">
        <f ca="1">"Fam."&amp;LOOKUP(RANDBETWEEN(1,19),proba,famille)</f>
        <v>Fam.Inconnu.e</v>
      </c>
      <c r="C49" s="1677"/>
      <c r="D49" s="1677"/>
      <c r="E49" s="1677"/>
      <c r="F49" s="1677"/>
      <c r="G49" s="1678" t="s">
        <v>2634</v>
      </c>
      <c r="H49" s="1677"/>
      <c r="I49" s="1677" t="s">
        <v>2628</v>
      </c>
      <c r="J49" s="1677"/>
      <c r="K49" s="1677"/>
      <c r="L49" s="1679" t="str">
        <f ca="1">"T,V,B,J : "&amp;ROUND(M47/2,0)&amp;"/"&amp;M47&amp;"/"&amp;M47+M46</f>
        <v>T,V,B,J : 4/8/14</v>
      </c>
      <c r="M49" s="1680"/>
      <c r="N49" s="1681"/>
      <c r="O49" s="1680"/>
      <c r="P49" s="1680" t="str">
        <f ca="1">"Th : "&amp;ROUND(N47/2,0)&amp;"/"&amp;N47&amp;"/"&amp;N47+M46</f>
        <v>Th : 6/11/17</v>
      </c>
      <c r="Q49" s="1680"/>
      <c r="R49" s="1680"/>
      <c r="S49" s="1680" t="str">
        <f ca="1">"M, P: "&amp;ROUND(L47/2,0)&amp;"/"&amp;L47&amp;"/"&amp;L47+M46</f>
        <v>M, P: 3/5/11</v>
      </c>
      <c r="T49" s="1680"/>
      <c r="U49" s="1682"/>
    </row>
    <row r="50" spans="1:31" s="276" customFormat="1" ht="13.5" customHeight="1" thickTop="1" thickBot="1">
      <c r="A50" s="1657">
        <v>5</v>
      </c>
      <c r="B50" s="1659" t="str">
        <f ca="1">LOOKUP(RANDBETWEEN(1,1010),[0]!Dé1000,[0]!Prenom1000)</f>
        <v>Agathon</v>
      </c>
      <c r="C50" s="1660">
        <f ca="1">LOOKUP(RANDBETWEEN(1,10)-RANDBETWEEN(1,10)+10,$B$2:$B$20,C$2:C$20)</f>
        <v>170</v>
      </c>
      <c r="D50" s="1661">
        <f ca="1">$C50*$C50/10000*(RANDBETWEEN(1,10)+RANDBETWEEN(1,10)+14)</f>
        <v>66.47</v>
      </c>
      <c r="E50" s="1660" t="str">
        <f ca="1">LOOKUP(RANDBETWEEN(1,10)-RANDBETWEEN(1,10)+10,$B$2:$B$20,E$2:E$20)</f>
        <v>br clair</v>
      </c>
      <c r="F50" s="1661" t="str">
        <f ca="1">LOOKUP(RANDBETWEEN(1,10)-RANDBETWEEN(1,10)+10,$B$2:$B$20,F$2:F$20)</f>
        <v>gris</v>
      </c>
      <c r="G50" s="1660" t="str">
        <f ca="1">LOOKUP(RANDBETWEEN(1,10)-RANDBETWEEN(1,10)+10,$B$2:$B$20,H$2:H$20)</f>
        <v>Indifférent</v>
      </c>
      <c r="H50" s="1662" t="str">
        <f ca="1">LOOKUP(RANDBETWEEN(1,10)-RANDBETWEEN(1,10)+10,$B$2:$B$20,H$2:H$20)</f>
        <v>Effacé</v>
      </c>
      <c r="I50" s="1661" t="str">
        <f ca="1">LOOKUP(RANDBETWEEN(1,10)-RANDBETWEEN(1,10)+10,$B$2:$B$20,I$2:I$20)</f>
        <v>Poli</v>
      </c>
      <c r="J50" s="1663">
        <f ca="1">LOOKUP(RANDBETWEEN(1,10)-RANDBETWEEN(1,10)+10,$B$2:$B$20,J$2:J$20)</f>
        <v>9</v>
      </c>
      <c r="K50" s="1664" t="str">
        <f ca="1">LOOKUP(RANDBETWEEN(1,10)-RANDBETWEEN(1,10)+10,$B$2:$B$20,K$2:K$20)</f>
        <v>-</v>
      </c>
      <c r="L50" s="1665">
        <f t="shared" ref="L50:U50" ca="1" si="10">ROUND((2+RAND()*9+RAND()*9)*SQRT(RANDBETWEEN(multimin,multimax)),0)</f>
        <v>22</v>
      </c>
      <c r="M50" s="1666">
        <f t="shared" ca="1" si="10"/>
        <v>30</v>
      </c>
      <c r="N50" s="1666">
        <f t="shared" ca="1" si="10"/>
        <v>29</v>
      </c>
      <c r="O50" s="1666">
        <f t="shared" ca="1" si="10"/>
        <v>45</v>
      </c>
      <c r="P50" s="1665">
        <f t="shared" ca="1" si="10"/>
        <v>64</v>
      </c>
      <c r="Q50" s="1666">
        <f t="shared" ca="1" si="10"/>
        <v>46</v>
      </c>
      <c r="R50" s="1666">
        <f t="shared" ca="1" si="10"/>
        <v>23</v>
      </c>
      <c r="S50" s="1667">
        <f t="shared" ca="1" si="10"/>
        <v>38</v>
      </c>
      <c r="T50" s="1666">
        <f t="shared" ca="1" si="10"/>
        <v>30</v>
      </c>
      <c r="U50" s="1668">
        <f t="shared" ca="1" si="10"/>
        <v>41</v>
      </c>
      <c r="AD50" s="277"/>
      <c r="AE50" s="277"/>
    </row>
    <row r="51" spans="1:31" s="276" customFormat="1" ht="13.5" customHeight="1" thickBot="1">
      <c r="A51" s="1658"/>
      <c r="B51" s="1669" t="str">
        <f ca="1">LOOKUP(RANDBETWEEN(1,78),deLETTRES,LETTRES)</f>
        <v>S</v>
      </c>
      <c r="C51" s="289">
        <f ca="1">10+RANDBETWEEN(1,20)+RANDBETWEEN(1,20)</f>
        <v>21</v>
      </c>
      <c r="D51" s="288">
        <f t="shared" ref="D51:I51" ca="1" si="11">LOOKUP(RANDBETWEEN(1,10)-RANDBETWEEN(1,10)+10,$B$2:$B$20,W$2:W$20)</f>
        <v>7</v>
      </c>
      <c r="E51" s="289" t="str">
        <f t="shared" ca="1" si="11"/>
        <v>tr long</v>
      </c>
      <c r="F51" s="288" t="str">
        <f t="shared" ca="1" si="11"/>
        <v>moust</v>
      </c>
      <c r="G51" s="289" t="str">
        <f t="shared" ca="1" si="11"/>
        <v>épée</v>
      </c>
      <c r="H51" s="286" t="str">
        <f t="shared" ca="1" si="11"/>
        <v>-</v>
      </c>
      <c r="I51" s="288" t="str">
        <f t="shared" ca="1" si="11"/>
        <v>-</v>
      </c>
      <c r="J51" s="287">
        <f ca="1">(J50*5)+((RANDBETWEEN(1,6)-RANDBETWEEN(1,2))*5)</f>
        <v>70</v>
      </c>
      <c r="K51" s="286" t="str">
        <f ca="1">LOOKUP(RANDBETWEEN(1,10)-RANDBETWEEN(1,10)+10,$B$2:$B$20,AD$2:AD$20)</f>
        <v>1b</v>
      </c>
      <c r="L51" s="285">
        <f ca="1">(3*L50+2*M50+T50)/8</f>
        <v>19.5</v>
      </c>
      <c r="M51" s="284">
        <f ca="1">ROUND((3*T50+2*M50+Q50)/40,0)</f>
        <v>5</v>
      </c>
      <c r="N51" s="1653">
        <f ca="1">(3*Q50+2*P50+R50)/30</f>
        <v>9.6333333333333329</v>
      </c>
      <c r="O51" s="283">
        <f ca="1">(J50+(L50+M50)/20)*1.5 +L51/10 + J51/5</f>
        <v>33.349999999999994</v>
      </c>
      <c r="P51" s="282">
        <f ca="1">(J50+(N50+O50)/20)*1.5 +L51/10 + J51/5</f>
        <v>35</v>
      </c>
      <c r="Q51" s="281">
        <f ca="1">(3*N50+2*L50+J50)/20+(J51/10)</f>
        <v>14</v>
      </c>
      <c r="R51" s="280">
        <f ca="1">ROUND(L50/20,0)</f>
        <v>1</v>
      </c>
      <c r="S51" s="279">
        <f ca="1">(3*O50+2*O50+M50)/30+2</f>
        <v>10.5</v>
      </c>
      <c r="T51" s="278">
        <f ca="1">(3*O50+2*N50+10*J50)/4</f>
        <v>70.75</v>
      </c>
      <c r="U51" s="1670">
        <f ca="1">(3*T50+2*M50+Q50)/6</f>
        <v>32.666666666666664</v>
      </c>
      <c r="AD51" s="277"/>
      <c r="AE51" s="277"/>
    </row>
    <row r="52" spans="1:31" s="267" customFormat="1" ht="14.25" customHeight="1" thickBot="1">
      <c r="A52" s="1654"/>
      <c r="B52" s="1655" t="s">
        <v>1312</v>
      </c>
      <c r="C52" s="1700" t="s">
        <v>142</v>
      </c>
      <c r="D52" s="1701"/>
      <c r="E52" s="1701"/>
      <c r="F52" s="1702"/>
      <c r="G52" s="275" t="str">
        <f ca="1">IF(RANDBETWEEN(0,9)&lt;D51+5,LOOKUP(RANDBETWEEN(1,10)-RANDBETWEEN(1,10)+10,$B$2:$B$20,AO$2:AO$20),"-")</f>
        <v>Marine</v>
      </c>
      <c r="H52" s="274" t="str">
        <f ca="1">IF(RANDBETWEEN(0,9)&lt;D51+4,LOOKUP(RANDBETWEEN(1,10)-RANDBETWEEN(1,10)+10,$B$2:$B$20,AP$2:AP$20),"-")</f>
        <v>Danse</v>
      </c>
      <c r="I52" s="274" t="str">
        <f ca="1">IF(RANDBETWEEN(0,9)&lt;D51+3,LOOKUP(RANDBETWEEN(1,10)-RANDBETWEEN(1,10)+10,$B$2:$B$20,AQ$2:AQ$20),"-")</f>
        <v>Const navale</v>
      </c>
      <c r="J52" s="274" t="str">
        <f ca="1">IF(RANDBETWEEN(0,9)&lt;D51+2,LOOKUP(RANDBETWEEN(1,10)-RANDBETWEEN(1,10)+10,$B$2:$B$20,AR$2:AR$20),"-")</f>
        <v>Piéton</v>
      </c>
      <c r="K52" s="274"/>
      <c r="L52" s="273">
        <f ca="1">ROUND(L51*0.2,0)</f>
        <v>4</v>
      </c>
      <c r="M52" s="272">
        <f ca="1">ROUND(L51*0.3,0)</f>
        <v>6</v>
      </c>
      <c r="N52" s="271">
        <f ca="1">ROUND(L51*0.4,0)</f>
        <v>8</v>
      </c>
      <c r="O52" s="1672" t="str">
        <f ca="1">IF(RANDBETWEEN(0,9)&lt;D51+1,LOOKUP(RANDBETWEEN(1,10)-RANDBETWEEN(1,10)+10,$B$2:$B$20,AO$2:AO$20),"-")</f>
        <v>Survie</v>
      </c>
      <c r="P52" s="1672"/>
      <c r="Q52" s="1672" t="str">
        <f ca="1">IF(RANDBETWEEN(0,9)&lt;D51,LOOKUP(RANDBETWEEN(1,10)-RANDBETWEEN(1,10)+10,$B$2:$B$20,AO$2:AO$20),"-")</f>
        <v>-</v>
      </c>
      <c r="R52" s="1672"/>
      <c r="S52" s="1683" t="str">
        <f ca="1">IF(D51&gt;7,LOOKUP(RANDBETWEEN(1,10)-RANDBETWEEN(1,10)+10,$B$2:$B$20,AR$2:AR$20),IF(D51&gt;5,LOOKUP(RANDBETWEEN(1,10)-RANDBETWEEN(1,10)+10,$B$2:$B$20,AQ$2:AQ$20),IF(D51&gt;2,LOOKUP(RANDBETWEEN(1,10)-RANDBETWEEN(1,10)+10,$B$2:$B$20,AP$2:AP$20),LOOKUP(RANDBETWEEN(1,10)-RANDBETWEEN(1,10)+10,$B$2:$B$20,AO$2:AO$20))))</f>
        <v>Jeu</v>
      </c>
      <c r="T52" s="1684"/>
      <c r="U52" s="1685"/>
    </row>
    <row r="53" spans="1:31" s="267" customFormat="1" ht="12" customHeight="1" thickBot="1">
      <c r="A53" s="1654"/>
      <c r="B53" s="1656"/>
      <c r="C53" s="1654"/>
      <c r="D53" s="1654"/>
      <c r="E53" s="1654"/>
      <c r="F53" s="1654"/>
      <c r="G53" s="270" t="str">
        <f ca="1">IF(G52&lt;&gt;"-","NE"&amp;LOOKUP(RANDBETWEEN(1,10)-RANDBETWEEN(1,10)+10,proba,TNE)," ")</f>
        <v>NE30</v>
      </c>
      <c r="H53" s="1672" t="str">
        <f ca="1">IF(H52&lt;&gt;"-","NE"&amp;LOOKUP(RANDBETWEEN(1,10)-RANDBETWEEN(1,10)+10,proba,TNE)," ")</f>
        <v>NE40</v>
      </c>
      <c r="I53" s="1672" t="str">
        <f ca="1">IF(I52&lt;&gt;"-","NE"&amp;LOOKUP(RANDBETWEEN(1,10)-RANDBETWEEN(1,10)+10,proba,TNE)," ")</f>
        <v>NE35</v>
      </c>
      <c r="J53" s="1672" t="str">
        <f ca="1">IF(J52&lt;&gt;"-","NE"&amp;LOOKUP(RANDBETWEEN(1,10)-RANDBETWEEN(1,10)+10,proba,TNE)," ")</f>
        <v>NE50</v>
      </c>
      <c r="K53" s="269"/>
      <c r="L53" s="268"/>
      <c r="M53" s="1674"/>
      <c r="N53" s="1675"/>
      <c r="O53" s="1672" t="str">
        <f ca="1">IF(O52&lt;&gt;"-","NE"&amp;LOOKUP(RANDBETWEEN(1,10)-RANDBETWEEN(1,10)+10,proba,TNE)," ")</f>
        <v>NE60</v>
      </c>
      <c r="P53" s="1672"/>
      <c r="Q53" s="1672" t="str">
        <f ca="1">IF(Q52&lt;&gt;"-","NE"&amp;LOOKUP(RANDBETWEEN(1,10)-RANDBETWEEN(1,10)+10,proba,TNE)," ")</f>
        <v xml:space="preserve"> </v>
      </c>
      <c r="R53" s="1672"/>
      <c r="S53" s="1686" t="str">
        <f ca="1">IF(S52&lt;&gt;"-","NE"&amp;LOOKUP(RANDBETWEEN(1,10)-RANDBETWEEN(1,10)+10,proba,TNE)," ")</f>
        <v>NE30</v>
      </c>
      <c r="T53" s="1684"/>
      <c r="U53" s="1687"/>
    </row>
    <row r="54" spans="1:31" s="267" customFormat="1" ht="19.5" customHeight="1" thickBot="1">
      <c r="A54" s="1654"/>
      <c r="B54" s="1676" t="str">
        <f ca="1">"Fam."&amp;LOOKUP(RANDBETWEEN(1,19),proba,famille)</f>
        <v>Fam.Séparé.e</v>
      </c>
      <c r="C54" s="1677"/>
      <c r="D54" s="1677"/>
      <c r="E54" s="1677"/>
      <c r="F54" s="1677"/>
      <c r="G54" s="1678" t="s">
        <v>2633</v>
      </c>
      <c r="H54" s="1677"/>
      <c r="I54" s="1677" t="s">
        <v>2629</v>
      </c>
      <c r="J54" s="1677"/>
      <c r="K54" s="1677"/>
      <c r="L54" s="1679" t="str">
        <f ca="1">"T,V,B,J : "&amp;ROUND(M52/2,0)&amp;"/"&amp;M52&amp;"/"&amp;M52+M51</f>
        <v>T,V,B,J : 3/6/11</v>
      </c>
      <c r="M54" s="1680"/>
      <c r="N54" s="1681"/>
      <c r="O54" s="1680"/>
      <c r="P54" s="1680" t="str">
        <f ca="1">"Th : "&amp;ROUND(N52/2,0)&amp;"/"&amp;N52&amp;"/"&amp;N52+M51</f>
        <v>Th : 4/8/13</v>
      </c>
      <c r="Q54" s="1680"/>
      <c r="R54" s="1680"/>
      <c r="S54" s="1680" t="str">
        <f ca="1">"M, P: "&amp;ROUND(L52/2,0)&amp;"/"&amp;L52&amp;"/"&amp;L52+M51</f>
        <v>M, P: 2/4/9</v>
      </c>
      <c r="T54" s="1680"/>
      <c r="U54" s="1682"/>
    </row>
    <row r="55" spans="1:31" s="276" customFormat="1" ht="13.5" customHeight="1" thickTop="1" thickBot="1">
      <c r="A55" s="1657">
        <v>6</v>
      </c>
      <c r="B55" s="1659" t="str">
        <f ca="1">LOOKUP(RANDBETWEEN(1,1010),[0]!Dé1000,[0]!Prenom1000)</f>
        <v>Sigebert</v>
      </c>
      <c r="C55" s="1660">
        <f ca="1">LOOKUP(RANDBETWEEN(1,10)-RANDBETWEEN(1,10)+10,$B$2:$B$20,C$2:C$20)</f>
        <v>170</v>
      </c>
      <c r="D55" s="1661">
        <f ca="1">$C55*$C55/10000*(RANDBETWEEN(1,10)+RANDBETWEEN(1,10)+14)</f>
        <v>49.13</v>
      </c>
      <c r="E55" s="1660" t="str">
        <f ca="1">LOOKUP(RANDBETWEEN(1,10)-RANDBETWEEN(1,10)+10,$B$2:$B$20,E$2:E$20)</f>
        <v>br somb</v>
      </c>
      <c r="F55" s="1661" t="str">
        <f ca="1">LOOKUP(RANDBETWEEN(1,10)-RANDBETWEEN(1,10)+10,$B$2:$B$20,F$2:F$20)</f>
        <v>noiset</v>
      </c>
      <c r="G55" s="1660" t="str">
        <f ca="1">LOOKUP(RANDBETWEEN(1,10)-RANDBETWEEN(1,10)+10,$B$2:$B$20,H$2:H$20)</f>
        <v>Introverti</v>
      </c>
      <c r="H55" s="1662" t="str">
        <f ca="1">LOOKUP(RANDBETWEEN(1,10)-RANDBETWEEN(1,10)+10,$B$2:$B$20,H$2:H$20)</f>
        <v>Introverti</v>
      </c>
      <c r="I55" s="1661" t="str">
        <f ca="1">LOOKUP(RANDBETWEEN(1,10)-RANDBETWEEN(1,10)+10,$B$2:$B$20,I$2:I$20)</f>
        <v>Généreux</v>
      </c>
      <c r="J55" s="1663">
        <f ca="1">LOOKUP(RANDBETWEEN(1,10)-RANDBETWEEN(1,10)+10,$B$2:$B$20,J$2:J$20)</f>
        <v>6</v>
      </c>
      <c r="K55" s="1664" t="str">
        <f ca="1">LOOKUP(RANDBETWEEN(1,10)-RANDBETWEEN(1,10)+10,$B$2:$B$20,K$2:K$20)</f>
        <v>-</v>
      </c>
      <c r="L55" s="1665">
        <f t="shared" ref="L55:U55" ca="1" si="12">ROUND((2+RAND()*9+RAND()*9)*SQRT(RANDBETWEEN(multimin,multimax)),0)</f>
        <v>52</v>
      </c>
      <c r="M55" s="1666">
        <f t="shared" ca="1" si="12"/>
        <v>40</v>
      </c>
      <c r="N55" s="1666">
        <f t="shared" ca="1" si="12"/>
        <v>51</v>
      </c>
      <c r="O55" s="1666">
        <f t="shared" ca="1" si="12"/>
        <v>41</v>
      </c>
      <c r="P55" s="1665">
        <f t="shared" ca="1" si="12"/>
        <v>63</v>
      </c>
      <c r="Q55" s="1666">
        <f t="shared" ca="1" si="12"/>
        <v>32</v>
      </c>
      <c r="R55" s="1666">
        <f t="shared" ca="1" si="12"/>
        <v>34</v>
      </c>
      <c r="S55" s="1667">
        <f t="shared" ca="1" si="12"/>
        <v>56</v>
      </c>
      <c r="T55" s="1666">
        <f t="shared" ca="1" si="12"/>
        <v>60</v>
      </c>
      <c r="U55" s="1668">
        <f t="shared" ca="1" si="12"/>
        <v>47</v>
      </c>
      <c r="AD55" s="277"/>
      <c r="AE55" s="277"/>
    </row>
    <row r="56" spans="1:31" s="276" customFormat="1" ht="13.5" customHeight="1" thickBot="1">
      <c r="A56" s="1658"/>
      <c r="B56" s="1669" t="str">
        <f ca="1">LOOKUP(RANDBETWEEN(1,78),deLETTRES,LETTRES)</f>
        <v>B</v>
      </c>
      <c r="C56" s="289">
        <f ca="1">10+RANDBETWEEN(1,20)+RANDBETWEEN(1,20)</f>
        <v>25</v>
      </c>
      <c r="D56" s="288">
        <f t="shared" ref="D56:I56" ca="1" si="13">LOOKUP(RANDBETWEEN(1,10)-RANDBETWEEN(1,10)+10,$B$2:$B$20,W$2:W$20)</f>
        <v>2</v>
      </c>
      <c r="E56" s="289" t="str">
        <f t="shared" ca="1" si="13"/>
        <v>ras</v>
      </c>
      <c r="F56" s="288" t="str">
        <f t="shared" ca="1" si="13"/>
        <v>rasé</v>
      </c>
      <c r="G56" s="289" t="str">
        <f t="shared" ca="1" si="13"/>
        <v>épée</v>
      </c>
      <c r="H56" s="286" t="str">
        <f t="shared" ca="1" si="13"/>
        <v>bouclier</v>
      </c>
      <c r="I56" s="288" t="str">
        <f t="shared" ca="1" si="13"/>
        <v>-</v>
      </c>
      <c r="J56" s="287">
        <f ca="1">(J55*5)+((RANDBETWEEN(1,6)-RANDBETWEEN(1,2))*5)</f>
        <v>50</v>
      </c>
      <c r="K56" s="286">
        <f ca="1">LOOKUP(RANDBETWEEN(1,10)-RANDBETWEEN(1,10)+10,$B$2:$B$20,AD$2:AD$20)</f>
        <v>2</v>
      </c>
      <c r="L56" s="285">
        <f ca="1">(3*L55+2*M55+T55)/8</f>
        <v>37</v>
      </c>
      <c r="M56" s="284">
        <f ca="1">ROUND((3*T55+2*M55+Q55)/40,0)</f>
        <v>7</v>
      </c>
      <c r="N56" s="1653">
        <f ca="1">(3*Q55+2*P55+R55)/30</f>
        <v>8.5333333333333332</v>
      </c>
      <c r="O56" s="283">
        <f ca="1">(J55+(L55+M55)/20)*1.5 +L56/10 + J56/5</f>
        <v>29.599999999999998</v>
      </c>
      <c r="P56" s="282">
        <f ca="1">(J55+(N55+O55)/20)*1.5 +L56/10 + J56/5</f>
        <v>29.599999999999998</v>
      </c>
      <c r="Q56" s="281">
        <f ca="1">(3*N55+2*L55+J55)/20+(J56/10)</f>
        <v>18.149999999999999</v>
      </c>
      <c r="R56" s="280">
        <f ca="1">ROUND(L55/20,0)</f>
        <v>3</v>
      </c>
      <c r="S56" s="279">
        <f ca="1">(3*O55+2*O55+M55)/30+2</f>
        <v>10.166666666666666</v>
      </c>
      <c r="T56" s="278">
        <f ca="1">(3*O55+2*N55+10*J55)/4</f>
        <v>71.25</v>
      </c>
      <c r="U56" s="1670">
        <f ca="1">(3*T55+2*M55+Q55)/6</f>
        <v>48.666666666666664</v>
      </c>
      <c r="AD56" s="277"/>
      <c r="AE56" s="277"/>
    </row>
    <row r="57" spans="1:31" s="267" customFormat="1" ht="14.25" customHeight="1" thickBot="1">
      <c r="A57" s="1654"/>
      <c r="B57" s="1671" t="s">
        <v>1312</v>
      </c>
      <c r="C57" s="1700" t="s">
        <v>142</v>
      </c>
      <c r="D57" s="1701"/>
      <c r="E57" s="1701"/>
      <c r="F57" s="1702"/>
      <c r="G57" s="275" t="str">
        <f ca="1">IF(RANDBETWEEN(0,9)&lt;D56+5,LOOKUP(RANDBETWEEN(1,10)-RANDBETWEEN(1,10)+10,$B$2:$B$20,AO$2:AO$20),"-")</f>
        <v>Mendicité</v>
      </c>
      <c r="H57" s="274" t="str">
        <f ca="1">IF(RANDBETWEEN(0,9)&lt;D56+4,LOOKUP(RANDBETWEEN(1,10)-RANDBETWEEN(1,10)+10,$B$2:$B$20,AP$2:AP$20),"-")</f>
        <v>Traque</v>
      </c>
      <c r="I57" s="274" t="str">
        <f ca="1">IF(RANDBETWEEN(0,9)&lt;D56+3,LOOKUP(RANDBETWEEN(1,10)-RANDBETWEEN(1,10)+10,$B$2:$B$20,AQ$2:AQ$20),"-")</f>
        <v>Ébénisterie</v>
      </c>
      <c r="J57" s="274" t="str">
        <f ca="1">IF(RANDBETWEEN(0,9)&lt;D56+2,LOOKUP(RANDBETWEEN(1,10)-RANDBETWEEN(1,10)+10,$B$2:$B$20,AR$2:AR$20),"-")</f>
        <v>-</v>
      </c>
      <c r="K57" s="274"/>
      <c r="L57" s="273">
        <f ca="1">ROUND(L56*0.2,0)</f>
        <v>7</v>
      </c>
      <c r="M57" s="272">
        <f ca="1">ROUND(L56*0.3,0)</f>
        <v>11</v>
      </c>
      <c r="N57" s="271">
        <f ca="1">ROUND(L56*0.4,0)</f>
        <v>15</v>
      </c>
      <c r="O57" s="1672" t="str">
        <f ca="1">IF(RANDBETWEEN(0,9)&lt;D56+1,LOOKUP(RANDBETWEEN(1,10)-RANDBETWEEN(1,10)+10,$B$2:$B$20,AO$2:AO$20),"-")</f>
        <v>-</v>
      </c>
      <c r="P57" s="1672"/>
      <c r="Q57" s="1672" t="str">
        <f ca="1">IF(RANDBETWEEN(0,9)&lt;D56,LOOKUP(RANDBETWEEN(1,10)-RANDBETWEEN(1,10)+10,$B$2:$B$20,AO$2:AO$20),"-")</f>
        <v>-</v>
      </c>
      <c r="R57" s="1672"/>
      <c r="S57" s="1683" t="str">
        <f ca="1">IF(D56&gt;7,LOOKUP(RANDBETWEEN(1,10)-RANDBETWEEN(1,10)+10,$B$2:$B$20,AR$2:AR$20),IF(D56&gt;5,LOOKUP(RANDBETWEEN(1,10)-RANDBETWEEN(1,10)+10,$B$2:$B$20,AQ$2:AQ$20),IF(D56&gt;2,LOOKUP(RANDBETWEEN(1,10)-RANDBETWEEN(1,10)+10,$B$2:$B$20,AP$2:AP$20),LOOKUP(RANDBETWEEN(1,10)-RANDBETWEEN(1,10)+10,$B$2:$B$20,AO$2:AO$20))))</f>
        <v>Mendicité</v>
      </c>
      <c r="T57" s="1684"/>
      <c r="U57" s="1685"/>
    </row>
    <row r="58" spans="1:31" s="267" customFormat="1" ht="12" customHeight="1" thickBot="1">
      <c r="A58" s="1654"/>
      <c r="B58" s="1673"/>
      <c r="C58" s="1654"/>
      <c r="D58" s="1654"/>
      <c r="E58" s="1654"/>
      <c r="F58" s="1654"/>
      <c r="G58" s="270" t="str">
        <f ca="1">IF(G57&lt;&gt;"-","NE"&amp;LOOKUP(RANDBETWEEN(1,10)-RANDBETWEEN(1,10)+10,proba,TNE)," ")</f>
        <v>NE20</v>
      </c>
      <c r="H58" s="1672" t="str">
        <f ca="1">IF(H57&lt;&gt;"-","NE"&amp;LOOKUP(RANDBETWEEN(1,10)-RANDBETWEEN(1,10)+10,proba,TNE)," ")</f>
        <v>NE45</v>
      </c>
      <c r="I58" s="1672" t="str">
        <f ca="1">IF(I57&lt;&gt;"-","NE"&amp;LOOKUP(RANDBETWEEN(1,10)-RANDBETWEEN(1,10)+10,proba,TNE)," ")</f>
        <v>NE35</v>
      </c>
      <c r="J58" s="1672" t="str">
        <f ca="1">IF(J57&lt;&gt;"-","NE"&amp;LOOKUP(RANDBETWEEN(1,10)-RANDBETWEEN(1,10)+10,proba,TNE)," ")</f>
        <v xml:space="preserve"> </v>
      </c>
      <c r="K58" s="269"/>
      <c r="L58" s="268"/>
      <c r="M58" s="1674"/>
      <c r="N58" s="1675"/>
      <c r="O58" s="1672" t="str">
        <f ca="1">IF(O57&lt;&gt;"-","NE"&amp;LOOKUP(RANDBETWEEN(1,10)-RANDBETWEEN(1,10)+10,proba,TNE)," ")</f>
        <v xml:space="preserve"> </v>
      </c>
      <c r="P58" s="1672"/>
      <c r="Q58" s="1672" t="str">
        <f ca="1">IF(Q57&lt;&gt;"-","NE"&amp;LOOKUP(RANDBETWEEN(1,10)-RANDBETWEEN(1,10)+10,proba,TNE)," ")</f>
        <v xml:space="preserve"> </v>
      </c>
      <c r="R58" s="1672"/>
      <c r="S58" s="1686" t="str">
        <f ca="1">IF(S57&lt;&gt;"-","NE"&amp;LOOKUP(RANDBETWEEN(1,10)-RANDBETWEEN(1,10)+10,proba,TNE)," ")</f>
        <v>NE40</v>
      </c>
      <c r="T58" s="1684"/>
      <c r="U58" s="1687"/>
    </row>
    <row r="59" spans="1:31" s="267" customFormat="1" ht="19.5" customHeight="1" thickBot="1">
      <c r="A59" s="1654"/>
      <c r="B59" s="1676" t="str">
        <f ca="1">"Fam."&amp;LOOKUP(RANDBETWEEN(1,19),proba,famille)</f>
        <v>Fam.Adopté.e</v>
      </c>
      <c r="C59" s="1677"/>
      <c r="D59" s="1677"/>
      <c r="E59" s="1677"/>
      <c r="F59" s="1677"/>
      <c r="G59" s="1678" t="s">
        <v>2635</v>
      </c>
      <c r="H59" s="1677"/>
      <c r="I59" s="1677" t="s">
        <v>2630</v>
      </c>
      <c r="J59" s="1677"/>
      <c r="K59" s="1677"/>
      <c r="L59" s="1679" t="str">
        <f ca="1">"T,V,B,J : "&amp;ROUND(M57/2,0)&amp;"/"&amp;M57&amp;"/"&amp;M57+M56</f>
        <v>T,V,B,J : 6/11/18</v>
      </c>
      <c r="M59" s="1680"/>
      <c r="N59" s="1681"/>
      <c r="O59" s="1680"/>
      <c r="P59" s="1680" t="str">
        <f ca="1">"Th : "&amp;ROUND(N57/2,0)&amp;"/"&amp;N57&amp;"/"&amp;N57+M56</f>
        <v>Th : 8/15/22</v>
      </c>
      <c r="Q59" s="1680"/>
      <c r="R59" s="1680"/>
      <c r="S59" s="1680" t="str">
        <f ca="1">"M, P: "&amp;ROUND(L57/2,0)&amp;"/"&amp;L57&amp;"/"&amp;L57+M56</f>
        <v>M, P: 4/7/14</v>
      </c>
      <c r="T59" s="1680"/>
      <c r="U59" s="1682"/>
    </row>
    <row r="60" spans="1:31" s="276" customFormat="1" ht="13.5" customHeight="1" thickTop="1" thickBot="1">
      <c r="A60" s="1657">
        <v>7</v>
      </c>
      <c r="B60" s="1659" t="str">
        <f ca="1">LOOKUP(RANDBETWEEN(1,1010),[0]!Dé1000,[0]!Prenom1000)</f>
        <v>Acace</v>
      </c>
      <c r="C60" s="1660">
        <f ca="1">LOOKUP(RANDBETWEEN(1,10)-RANDBETWEEN(1,10)+10,$B$2:$B$20,C$2:C$20)</f>
        <v>170</v>
      </c>
      <c r="D60" s="1661">
        <f ca="1">$C60*$C60/10000*(RANDBETWEEN(1,10)+RANDBETWEEN(1,10)+14)</f>
        <v>57.800000000000004</v>
      </c>
      <c r="E60" s="1660" t="str">
        <f ca="1">LOOKUP(RANDBETWEEN(1,10)-RANDBETWEEN(1,10)+10,$B$2:$B$20,E$2:E$20)</f>
        <v>gris</v>
      </c>
      <c r="F60" s="1661" t="str">
        <f ca="1">LOOKUP(RANDBETWEEN(1,10)-RANDBETWEEN(1,10)+10,$B$2:$B$20,F$2:F$20)</f>
        <v>bleus+</v>
      </c>
      <c r="G60" s="1660" t="str">
        <f ca="1">LOOKUP(RANDBETWEEN(1,10)-RANDBETWEEN(1,10)+10,$B$2:$B$20,H$2:H$20)</f>
        <v>Chef</v>
      </c>
      <c r="H60" s="1662" t="str">
        <f ca="1">LOOKUP(RANDBETWEEN(1,10)-RANDBETWEEN(1,10)+10,$B$2:$B$20,H$2:H$20)</f>
        <v>Morose</v>
      </c>
      <c r="I60" s="1661" t="str">
        <f ca="1">LOOKUP(RANDBETWEEN(1,10)-RANDBETWEEN(1,10)+10,$B$2:$B$20,I$2:I$20)</f>
        <v xml:space="preserve">Capricieux </v>
      </c>
      <c r="J60" s="1663">
        <f ca="1">LOOKUP(RANDBETWEEN(1,10)-RANDBETWEEN(1,10)+10,$B$2:$B$20,J$2:J$20)</f>
        <v>3</v>
      </c>
      <c r="K60" s="1664" t="str">
        <f ca="1">LOOKUP(RANDBETWEEN(1,10)-RANDBETWEEN(1,10)+10,$B$2:$B$20,K$2:K$20)</f>
        <v>-</v>
      </c>
      <c r="L60" s="1665">
        <f t="shared" ref="L60:U60" ca="1" si="14">ROUND((2+RAND()*9+RAND()*9)*SQRT(RANDBETWEEN(multimin,multimax)),0)</f>
        <v>35</v>
      </c>
      <c r="M60" s="1666">
        <f t="shared" ca="1" si="14"/>
        <v>25</v>
      </c>
      <c r="N60" s="1666">
        <f t="shared" ca="1" si="14"/>
        <v>55</v>
      </c>
      <c r="O60" s="1666">
        <f t="shared" ca="1" si="14"/>
        <v>31</v>
      </c>
      <c r="P60" s="1665">
        <f t="shared" ca="1" si="14"/>
        <v>27</v>
      </c>
      <c r="Q60" s="1666">
        <f t="shared" ca="1" si="14"/>
        <v>40</v>
      </c>
      <c r="R60" s="1666">
        <f t="shared" ca="1" si="14"/>
        <v>51</v>
      </c>
      <c r="S60" s="1667">
        <f t="shared" ca="1" si="14"/>
        <v>33</v>
      </c>
      <c r="T60" s="1666">
        <f t="shared" ca="1" si="14"/>
        <v>38</v>
      </c>
      <c r="U60" s="1668">
        <f t="shared" ca="1" si="14"/>
        <v>8</v>
      </c>
      <c r="AD60" s="277"/>
      <c r="AE60" s="277"/>
    </row>
    <row r="61" spans="1:31" s="276" customFormat="1" ht="13.5" customHeight="1" thickBot="1">
      <c r="A61" s="1658"/>
      <c r="B61" s="1669" t="str">
        <f ca="1">LOOKUP(RANDBETWEEN(1,78),deLETTRES,LETTRES)</f>
        <v>D</v>
      </c>
      <c r="C61" s="289">
        <f ca="1">10+RANDBETWEEN(1,20)+RANDBETWEEN(1,20)</f>
        <v>33</v>
      </c>
      <c r="D61" s="288">
        <f t="shared" ref="D61:I61" ca="1" si="15">LOOKUP(RANDBETWEEN(1,10)-RANDBETWEEN(1,10)+10,$B$2:$B$20,W$2:W$20)</f>
        <v>3</v>
      </c>
      <c r="E61" s="289" t="str">
        <f t="shared" ca="1" si="15"/>
        <v>tr cour</v>
      </c>
      <c r="F61" s="288" t="str">
        <f t="shared" ca="1" si="15"/>
        <v>barbe+</v>
      </c>
      <c r="G61" s="289" t="str">
        <f t="shared" ca="1" si="15"/>
        <v>masse</v>
      </c>
      <c r="H61" s="286" t="str">
        <f t="shared" ca="1" si="15"/>
        <v>arc+</v>
      </c>
      <c r="I61" s="288" t="str">
        <f t="shared" ca="1" si="15"/>
        <v>-</v>
      </c>
      <c r="J61" s="287">
        <f ca="1">(J60*5)+((RANDBETWEEN(1,6)-RANDBETWEEN(1,2))*5)</f>
        <v>30</v>
      </c>
      <c r="K61" s="286">
        <f ca="1">LOOKUP(RANDBETWEEN(1,10)-RANDBETWEEN(1,10)+10,$B$2:$B$20,AD$2:AD$20)</f>
        <v>1</v>
      </c>
      <c r="L61" s="285">
        <f ca="1">(3*L60+2*M60+T60)/8</f>
        <v>24.125</v>
      </c>
      <c r="M61" s="284">
        <f ca="1">ROUND((3*T60+2*M60+Q60)/40,0)</f>
        <v>5</v>
      </c>
      <c r="N61" s="1653">
        <f ca="1">(3*Q60+2*P60+R60)/30</f>
        <v>7.5</v>
      </c>
      <c r="O61" s="283">
        <f ca="1">(J60+(L60+M60)/20)*1.5 +L61/10 + J61/5</f>
        <v>17.412500000000001</v>
      </c>
      <c r="P61" s="282">
        <f ca="1">(J60+(N60+O60)/20)*1.5 +L61/10 + J61/5</f>
        <v>19.362499999999997</v>
      </c>
      <c r="Q61" s="281">
        <f ca="1">(3*N60+2*L60+J60)/20+(J61/10)</f>
        <v>14.9</v>
      </c>
      <c r="R61" s="280">
        <f ca="1">ROUND(L60/20,0)</f>
        <v>2</v>
      </c>
      <c r="S61" s="279">
        <f ca="1">(3*O60+2*O60+M60)/30+2</f>
        <v>8</v>
      </c>
      <c r="T61" s="278">
        <f ca="1">(3*O60+2*N60+10*J60)/4</f>
        <v>58.25</v>
      </c>
      <c r="U61" s="1670">
        <f ca="1">(3*T60+2*M60+Q60)/6</f>
        <v>34</v>
      </c>
      <c r="AD61" s="277"/>
      <c r="AE61" s="277"/>
    </row>
    <row r="62" spans="1:31" s="267" customFormat="1" ht="14.25" customHeight="1" thickBot="1">
      <c r="A62" s="1654"/>
      <c r="B62" s="1671" t="s">
        <v>1312</v>
      </c>
      <c r="C62" s="1700" t="s">
        <v>142</v>
      </c>
      <c r="D62" s="1701"/>
      <c r="E62" s="1701"/>
      <c r="F62" s="1702"/>
      <c r="G62" s="275" t="str">
        <f ca="1">IF(RANDBETWEEN(0,9)&lt;D61+5,LOOKUP(RANDBETWEEN(1,10)-RANDBETWEEN(1,10)+10,$B$2:$B$20,AO$2:AO$20),"-")</f>
        <v>Agriculture</v>
      </c>
      <c r="H62" s="274" t="str">
        <f ca="1">IF(RANDBETWEEN(0,9)&lt;D61+4,LOOKUP(RANDBETWEEN(1,10)-RANDBETWEEN(1,10)+10,$B$2:$B$20,AP$2:AP$20),"-")</f>
        <v>Convoyage</v>
      </c>
      <c r="I62" s="274" t="str">
        <f ca="1">IF(RANDBETWEEN(0,9)&lt;D61+3,LOOKUP(RANDBETWEEN(1,10)-RANDBETWEEN(1,10)+10,$B$2:$B$20,AQ$2:AQ$20),"-")</f>
        <v>-</v>
      </c>
      <c r="J62" s="274" t="str">
        <f ca="1">IF(RANDBETWEEN(0,9)&lt;D61+2,LOOKUP(RANDBETWEEN(1,10)-RANDBETWEEN(1,10)+10,$B$2:$B$20,AR$2:AR$20),"-")</f>
        <v>-</v>
      </c>
      <c r="K62" s="274"/>
      <c r="L62" s="273">
        <f ca="1">ROUND(L61*0.2,0)</f>
        <v>5</v>
      </c>
      <c r="M62" s="272">
        <f ca="1">ROUND(L61*0.3,0)</f>
        <v>7</v>
      </c>
      <c r="N62" s="271">
        <f ca="1">ROUND(L61*0.4,0)</f>
        <v>10</v>
      </c>
      <c r="O62" s="1672" t="str">
        <f ca="1">IF(RANDBETWEEN(0,9)&lt;D61+1,LOOKUP(RANDBETWEEN(1,10)-RANDBETWEEN(1,10)+10,$B$2:$B$20,AO$2:AO$20),"-")</f>
        <v>Poterie</v>
      </c>
      <c r="P62" s="1672"/>
      <c r="Q62" s="1672" t="str">
        <f ca="1">IF(RANDBETWEEN(0,9)&lt;D61,LOOKUP(RANDBETWEEN(1,10)-RANDBETWEEN(1,10)+10,$B$2:$B$20,AO$2:AO$20),"-")</f>
        <v>-</v>
      </c>
      <c r="R62" s="1672"/>
      <c r="S62" s="1683" t="str">
        <f ca="1">IF(D61&gt;7,LOOKUP(RANDBETWEEN(1,10)-RANDBETWEEN(1,10)+10,$B$2:$B$20,AR$2:AR$20),IF(D61&gt;5,LOOKUP(RANDBETWEEN(1,10)-RANDBETWEEN(1,10)+10,$B$2:$B$20,AQ$2:AQ$20),IF(D61&gt;2,LOOKUP(RANDBETWEEN(1,10)-RANDBETWEEN(1,10)+10,$B$2:$B$20,AP$2:AP$20),LOOKUP(RANDBETWEEN(1,10)-RANDBETWEEN(1,10)+10,$B$2:$B$20,AO$2:AO$20))))</f>
        <v>Mine</v>
      </c>
      <c r="T62" s="1684"/>
      <c r="U62" s="1685"/>
    </row>
    <row r="63" spans="1:31" s="267" customFormat="1" ht="12" customHeight="1" thickBot="1">
      <c r="A63" s="1654"/>
      <c r="B63" s="1673"/>
      <c r="C63" s="1654"/>
      <c r="D63" s="1654"/>
      <c r="E63" s="1654"/>
      <c r="F63" s="1654"/>
      <c r="G63" s="270" t="str">
        <f ca="1">IF(G62&lt;&gt;"-","NE"&amp;LOOKUP(RANDBETWEEN(1,10)-RANDBETWEEN(1,10)+10,proba,TNE)," ")</f>
        <v>NE50</v>
      </c>
      <c r="H63" s="1672" t="str">
        <f ca="1">IF(H62&lt;&gt;"-","NE"&amp;LOOKUP(RANDBETWEEN(1,10)-RANDBETWEEN(1,10)+10,proba,TNE)," ")</f>
        <v>NE60</v>
      </c>
      <c r="I63" s="1672" t="str">
        <f ca="1">IF(I62&lt;&gt;"-","NE"&amp;LOOKUP(RANDBETWEEN(1,10)-RANDBETWEEN(1,10)+10,proba,TNE)," ")</f>
        <v xml:space="preserve"> </v>
      </c>
      <c r="J63" s="1672" t="str">
        <f ca="1">IF(J62&lt;&gt;"-","NE"&amp;LOOKUP(RANDBETWEEN(1,10)-RANDBETWEEN(1,10)+10,proba,TNE)," ")</f>
        <v xml:space="preserve"> </v>
      </c>
      <c r="K63" s="269"/>
      <c r="L63" s="268"/>
      <c r="M63" s="1674"/>
      <c r="N63" s="1675"/>
      <c r="O63" s="1672" t="str">
        <f ca="1">IF(O62&lt;&gt;"-","NE"&amp;LOOKUP(RANDBETWEEN(1,10)-RANDBETWEEN(1,10)+10,proba,TNE)," ")</f>
        <v>NE40</v>
      </c>
      <c r="P63" s="1672"/>
      <c r="Q63" s="1672" t="str">
        <f ca="1">IF(Q62&lt;&gt;"-","NE"&amp;LOOKUP(RANDBETWEEN(1,10)-RANDBETWEEN(1,10)+10,proba,TNE)," ")</f>
        <v xml:space="preserve"> </v>
      </c>
      <c r="R63" s="1672"/>
      <c r="S63" s="1686" t="str">
        <f ca="1">IF(S62&lt;&gt;"-","NE"&amp;LOOKUP(RANDBETWEEN(1,10)-RANDBETWEEN(1,10)+10,proba,TNE)," ")</f>
        <v>NE65</v>
      </c>
      <c r="T63" s="1684"/>
      <c r="U63" s="1687"/>
    </row>
    <row r="64" spans="1:31" s="267" customFormat="1" ht="19.5" customHeight="1" thickBot="1">
      <c r="A64" s="1654"/>
      <c r="B64" s="1676" t="str">
        <f ca="1">"Fam."&amp;LOOKUP(RANDBETWEEN(1,19),proba,famille)</f>
        <v>Fam.4</v>
      </c>
      <c r="C64" s="1677"/>
      <c r="D64" s="1677"/>
      <c r="E64" s="1677"/>
      <c r="F64" s="1677"/>
      <c r="G64" s="1678" t="s">
        <v>2634</v>
      </c>
      <c r="H64" s="1677"/>
      <c r="I64" s="1677" t="s">
        <v>2627</v>
      </c>
      <c r="J64" s="1677"/>
      <c r="K64" s="1677"/>
      <c r="L64" s="1679" t="str">
        <f ca="1">"T,V,B,J : "&amp;ROUND(M62/2,0)&amp;"/"&amp;M62&amp;"/"&amp;M62+M61</f>
        <v>T,V,B,J : 4/7/12</v>
      </c>
      <c r="M64" s="1680"/>
      <c r="N64" s="1681"/>
      <c r="O64" s="1680"/>
      <c r="P64" s="1680" t="str">
        <f ca="1">"Th : "&amp;ROUND(N62/2,0)&amp;"/"&amp;N62&amp;"/"&amp;N62+M61</f>
        <v>Th : 5/10/15</v>
      </c>
      <c r="Q64" s="1680"/>
      <c r="R64" s="1680"/>
      <c r="S64" s="1680" t="str">
        <f ca="1">"M, P: "&amp;ROUND(L62/2,0)&amp;"/"&amp;L62&amp;"/"&amp;L62+M61</f>
        <v>M, P: 3/5/10</v>
      </c>
      <c r="T64" s="1680"/>
      <c r="U64" s="1682"/>
    </row>
    <row r="65" spans="1:31" s="276" customFormat="1" ht="13.5" customHeight="1" thickTop="1" thickBot="1">
      <c r="A65" s="1657">
        <v>8</v>
      </c>
      <c r="B65" s="1659" t="str">
        <f ca="1">LOOKUP(RANDBETWEEN(1,1010),[0]!Dé1000,[0]!Prenom1000)</f>
        <v>Antonin</v>
      </c>
      <c r="C65" s="1660">
        <f ca="1">LOOKUP(RANDBETWEEN(1,10)-RANDBETWEEN(1,10)+10,$B$2:$B$20,C$2:C$20)</f>
        <v>155</v>
      </c>
      <c r="D65" s="1661">
        <f ca="1">$C65*$C65/10000*(RANDBETWEEN(1,10)+RANDBETWEEN(1,10)+14)</f>
        <v>72.074999999999989</v>
      </c>
      <c r="E65" s="1660" t="str">
        <f ca="1">LOOKUP(RANDBETWEEN(1,10)-RANDBETWEEN(1,10)+10,$B$2:$B$20,E$2:E$20)</f>
        <v>br somb</v>
      </c>
      <c r="F65" s="1661" t="str">
        <f ca="1">LOOKUP(RANDBETWEEN(1,10)-RANDBETWEEN(1,10)+10,$B$2:$B$20,F$2:F$20)</f>
        <v>verts</v>
      </c>
      <c r="G65" s="1660" t="str">
        <f ca="1">LOOKUP(RANDBETWEEN(1,10)-RANDBETWEEN(1,10)+10,$B$2:$B$20,H$2:H$20)</f>
        <v>Pessimiste</v>
      </c>
      <c r="H65" s="1662" t="str">
        <f ca="1">LOOKUP(RANDBETWEEN(1,10)-RANDBETWEEN(1,10)+10,$B$2:$B$20,H$2:H$20)</f>
        <v>Nerveux</v>
      </c>
      <c r="I65" s="1661" t="str">
        <f ca="1">LOOKUP(RANDBETWEEN(1,10)-RANDBETWEEN(1,10)+10,$B$2:$B$20,I$2:I$20)</f>
        <v xml:space="preserve">Capricieux </v>
      </c>
      <c r="J65" s="1663">
        <f ca="1">LOOKUP(RANDBETWEEN(1,10)-RANDBETWEEN(1,10)+10,$B$2:$B$20,J$2:J$20)</f>
        <v>4</v>
      </c>
      <c r="K65" s="1664" t="str">
        <f ca="1">LOOKUP(RANDBETWEEN(1,10)-RANDBETWEEN(1,10)+10,$B$2:$B$20,K$2:K$20)</f>
        <v>-</v>
      </c>
      <c r="L65" s="1665">
        <f t="shared" ref="L65:U65" ca="1" si="16">ROUND((2+RAND()*9+RAND()*9)*SQRT(RANDBETWEEN(multimin,multimax)),0)</f>
        <v>30</v>
      </c>
      <c r="M65" s="1666">
        <f t="shared" ca="1" si="16"/>
        <v>15</v>
      </c>
      <c r="N65" s="1666">
        <f t="shared" ca="1" si="16"/>
        <v>28</v>
      </c>
      <c r="O65" s="1666">
        <f t="shared" ca="1" si="16"/>
        <v>58</v>
      </c>
      <c r="P65" s="1665">
        <f t="shared" ca="1" si="16"/>
        <v>33</v>
      </c>
      <c r="Q65" s="1666">
        <f t="shared" ca="1" si="16"/>
        <v>11</v>
      </c>
      <c r="R65" s="1666">
        <f t="shared" ca="1" si="16"/>
        <v>40</v>
      </c>
      <c r="S65" s="1667">
        <f t="shared" ca="1" si="16"/>
        <v>29</v>
      </c>
      <c r="T65" s="1666">
        <f t="shared" ca="1" si="16"/>
        <v>23</v>
      </c>
      <c r="U65" s="1668">
        <f t="shared" ca="1" si="16"/>
        <v>47</v>
      </c>
      <c r="AD65" s="277"/>
      <c r="AE65" s="277"/>
    </row>
    <row r="66" spans="1:31" s="276" customFormat="1" ht="13.5" customHeight="1" thickBot="1">
      <c r="A66" s="1658"/>
      <c r="B66" s="1669" t="str">
        <f ca="1">LOOKUP(RANDBETWEEN(1,78),deLETTRES,LETTRES)</f>
        <v>I</v>
      </c>
      <c r="C66" s="289">
        <f ca="1">10+RANDBETWEEN(1,20)+RANDBETWEEN(1,20)</f>
        <v>19</v>
      </c>
      <c r="D66" s="288">
        <f t="shared" ref="D66:I66" ca="1" si="17">LOOKUP(RANDBETWEEN(1,10)-RANDBETWEEN(1,10)+10,$B$2:$B$20,W$2:W$20)</f>
        <v>1</v>
      </c>
      <c r="E66" s="289" t="str">
        <f t="shared" ca="1" si="17"/>
        <v>long</v>
      </c>
      <c r="F66" s="288" t="str">
        <f t="shared" ca="1" si="17"/>
        <v>moust</v>
      </c>
      <c r="G66" s="289" t="str">
        <f t="shared" ca="1" si="17"/>
        <v>lance+</v>
      </c>
      <c r="H66" s="286" t="str">
        <f t="shared" ca="1" si="17"/>
        <v>arc</v>
      </c>
      <c r="I66" s="288" t="str">
        <f t="shared" ca="1" si="17"/>
        <v>-</v>
      </c>
      <c r="J66" s="287">
        <f ca="1">(J65*5)+((RANDBETWEEN(1,6)-RANDBETWEEN(1,2))*5)</f>
        <v>40</v>
      </c>
      <c r="K66" s="286">
        <f ca="1">LOOKUP(RANDBETWEEN(1,10)-RANDBETWEEN(1,10)+10,$B$2:$B$20,AD$2:AD$20)</f>
        <v>1</v>
      </c>
      <c r="L66" s="285">
        <f ca="1">(3*L65+2*M65+T65)/8</f>
        <v>17.875</v>
      </c>
      <c r="M66" s="284">
        <f ca="1">ROUND((3*T65+2*M65+Q65)/40,0)</f>
        <v>3</v>
      </c>
      <c r="N66" s="1653">
        <f ca="1">(3*Q65+2*P65+R65)/30</f>
        <v>4.6333333333333337</v>
      </c>
      <c r="O66" s="283">
        <f ca="1">(J65+(L65+M65)/20)*1.5 +L66/10 + J66/5</f>
        <v>19.162500000000001</v>
      </c>
      <c r="P66" s="282">
        <f ca="1">(J65+(N65+O65)/20)*1.5 +L66/10 + J66/5</f>
        <v>22.237500000000001</v>
      </c>
      <c r="Q66" s="281">
        <f ca="1">(3*N65+2*L65+J65)/20+(J66/10)</f>
        <v>11.4</v>
      </c>
      <c r="R66" s="280">
        <f ca="1">ROUND(L65/20,0)</f>
        <v>2</v>
      </c>
      <c r="S66" s="279">
        <f ca="1">(3*O65+2*O65+M65)/30+2</f>
        <v>12.166666666666666</v>
      </c>
      <c r="T66" s="278">
        <f ca="1">(3*O65+2*N65+10*J65)/4</f>
        <v>67.5</v>
      </c>
      <c r="U66" s="1670">
        <f ca="1">(3*T65+2*M65+Q65)/6</f>
        <v>18.333333333333332</v>
      </c>
      <c r="AD66" s="277"/>
      <c r="AE66" s="277"/>
    </row>
    <row r="67" spans="1:31" s="267" customFormat="1" ht="14.25" customHeight="1" thickBot="1">
      <c r="A67" s="1654"/>
      <c r="B67" s="1671" t="s">
        <v>1312</v>
      </c>
      <c r="C67" s="1700" t="s">
        <v>142</v>
      </c>
      <c r="D67" s="1701"/>
      <c r="E67" s="1701"/>
      <c r="F67" s="1702"/>
      <c r="G67" s="275" t="str">
        <f ca="1">IF(RANDBETWEEN(0,9)&lt;D66+5,LOOKUP(RANDBETWEEN(1,10)-RANDBETWEEN(1,10)+10,$B$2:$B$20,AO$2:AO$20),"-")</f>
        <v>-</v>
      </c>
      <c r="H67" s="274" t="str">
        <f ca="1">IF(RANDBETWEEN(0,9)&lt;D66+4,LOOKUP(RANDBETWEEN(1,10)-RANDBETWEEN(1,10)+10,$B$2:$B$20,AP$2:AP$20),"-")</f>
        <v>-</v>
      </c>
      <c r="I67" s="274" t="str">
        <f ca="1">IF(RANDBETWEEN(0,9)&lt;D66+3,LOOKUP(RANDBETWEEN(1,10)-RANDBETWEEN(1,10)+10,$B$2:$B$20,AQ$2:AQ$20),"-")</f>
        <v>-</v>
      </c>
      <c r="J67" s="274" t="str">
        <f ca="1">IF(RANDBETWEEN(0,9)&lt;D66+2,LOOKUP(RANDBETWEEN(1,10)-RANDBETWEEN(1,10)+10,$B$2:$B$20,AR$2:AR$20),"-")</f>
        <v>-</v>
      </c>
      <c r="K67" s="274"/>
      <c r="L67" s="273">
        <f ca="1">ROUND(L66*0.2,0)</f>
        <v>4</v>
      </c>
      <c r="M67" s="272">
        <f ca="1">ROUND(L66*0.3,0)</f>
        <v>5</v>
      </c>
      <c r="N67" s="271">
        <f ca="1">ROUND(L66*0.4,0)</f>
        <v>7</v>
      </c>
      <c r="O67" s="1672" t="str">
        <f ca="1">IF(RANDBETWEEN(0,9)&lt;D66+1,LOOKUP(RANDBETWEEN(1,10)-RANDBETWEEN(1,10)+10,$B$2:$B$20,AO$2:AO$20),"-")</f>
        <v>-</v>
      </c>
      <c r="P67" s="1672"/>
      <c r="Q67" s="1672" t="str">
        <f ca="1">IF(RANDBETWEEN(0,9)&lt;D66,LOOKUP(RANDBETWEEN(1,10)-RANDBETWEEN(1,10)+10,$B$2:$B$20,AO$2:AO$20),"-")</f>
        <v>-</v>
      </c>
      <c r="R67" s="1672"/>
      <c r="S67" s="1683" t="str">
        <f ca="1">IF(D66&gt;7,LOOKUP(RANDBETWEEN(1,10)-RANDBETWEEN(1,10)+10,$B$2:$B$20,AR$2:AR$20),IF(D66&gt;5,LOOKUP(RANDBETWEEN(1,10)-RANDBETWEEN(1,10)+10,$B$2:$B$20,AQ$2:AQ$20),IF(D66&gt;2,LOOKUP(RANDBETWEEN(1,10)-RANDBETWEEN(1,10)+10,$B$2:$B$20,AP$2:AP$20),LOOKUP(RANDBETWEEN(1,10)-RANDBETWEEN(1,10)+10,$B$2:$B$20,AO$2:AO$20))))</f>
        <v>Charpente</v>
      </c>
      <c r="T67" s="1684"/>
      <c r="U67" s="1685"/>
    </row>
    <row r="68" spans="1:31" s="267" customFormat="1" ht="12" customHeight="1" thickBot="1">
      <c r="A68" s="1654"/>
      <c r="B68" s="1673"/>
      <c r="C68" s="1654"/>
      <c r="D68" s="1654"/>
      <c r="E68" s="1654"/>
      <c r="F68" s="1654"/>
      <c r="G68" s="270" t="str">
        <f ca="1">IF(G67&lt;&gt;"-","NE"&amp;LOOKUP(RANDBETWEEN(1,10)-RANDBETWEEN(1,10)+10,proba,TNE)," ")</f>
        <v xml:space="preserve"> </v>
      </c>
      <c r="H68" s="1672" t="str">
        <f ca="1">IF(H67&lt;&gt;"-","NE"&amp;LOOKUP(RANDBETWEEN(1,10)-RANDBETWEEN(1,10)+10,proba,TNE)," ")</f>
        <v xml:space="preserve"> </v>
      </c>
      <c r="I68" s="1672" t="str">
        <f ca="1">IF(I67&lt;&gt;"-","NE"&amp;LOOKUP(RANDBETWEEN(1,10)-RANDBETWEEN(1,10)+10,proba,TNE)," ")</f>
        <v xml:space="preserve"> </v>
      </c>
      <c r="J68" s="1672" t="str">
        <f ca="1">IF(J67&lt;&gt;"-","NE"&amp;LOOKUP(RANDBETWEEN(1,10)-RANDBETWEEN(1,10)+10,proba,TNE)," ")</f>
        <v xml:space="preserve"> </v>
      </c>
      <c r="K68" s="269"/>
      <c r="L68" s="268"/>
      <c r="M68" s="1674"/>
      <c r="N68" s="1675"/>
      <c r="O68" s="1672" t="str">
        <f ca="1">IF(O67&lt;&gt;"-","NE"&amp;LOOKUP(RANDBETWEEN(1,10)-RANDBETWEEN(1,10)+10,proba,TNE)," ")</f>
        <v xml:space="preserve"> </v>
      </c>
      <c r="P68" s="1672"/>
      <c r="Q68" s="1672" t="str">
        <f ca="1">IF(Q67&lt;&gt;"-","NE"&amp;LOOKUP(RANDBETWEEN(1,10)-RANDBETWEEN(1,10)+10,proba,TNE)," ")</f>
        <v xml:space="preserve"> </v>
      </c>
      <c r="R68" s="1672"/>
      <c r="S68" s="1686" t="str">
        <f ca="1">IF(S67&lt;&gt;"-","NE"&amp;LOOKUP(RANDBETWEEN(1,10)-RANDBETWEEN(1,10)+10,proba,TNE)," ")</f>
        <v>NE55</v>
      </c>
      <c r="T68" s="1684"/>
      <c r="U68" s="1687"/>
    </row>
    <row r="69" spans="1:31" s="267" customFormat="1" ht="19.5" customHeight="1" thickBot="1">
      <c r="A69" s="1654"/>
      <c r="B69" s="1676" t="str">
        <f ca="1">"Fam."&amp;LOOKUP(RANDBETWEEN(1,19),proba,famille)</f>
        <v>Fam.Inconnu.e</v>
      </c>
      <c r="C69" s="1677"/>
      <c r="D69" s="1677"/>
      <c r="E69" s="1677"/>
      <c r="F69" s="1677"/>
      <c r="G69" s="1678" t="s">
        <v>2636</v>
      </c>
      <c r="H69" s="1677"/>
      <c r="I69" s="1677" t="s">
        <v>2629</v>
      </c>
      <c r="J69" s="1677"/>
      <c r="K69" s="1677"/>
      <c r="L69" s="1679" t="str">
        <f ca="1">"T,V,B,J : "&amp;ROUND(M67/2,0)&amp;"/"&amp;M67&amp;"/"&amp;M67+M66</f>
        <v>T,V,B,J : 3/5/8</v>
      </c>
      <c r="M69" s="1680"/>
      <c r="N69" s="1681"/>
      <c r="O69" s="1680"/>
      <c r="P69" s="1680" t="str">
        <f ca="1">"Th : "&amp;ROUND(N67/2,0)&amp;"/"&amp;N67&amp;"/"&amp;N67+M66</f>
        <v>Th : 4/7/10</v>
      </c>
      <c r="Q69" s="1680"/>
      <c r="R69" s="1680"/>
      <c r="S69" s="1680" t="str">
        <f ca="1">"M, P: "&amp;ROUND(L67/2,0)&amp;"/"&amp;L67&amp;"/"&amp;L67+M66</f>
        <v>M, P: 2/4/7</v>
      </c>
      <c r="T69" s="1680"/>
      <c r="U69" s="1682"/>
    </row>
    <row r="70" spans="1:31" s="276" customFormat="1" ht="13.5" customHeight="1" thickTop="1" thickBot="1">
      <c r="A70" s="1657">
        <v>9</v>
      </c>
      <c r="B70" s="1659" t="str">
        <f ca="1">LOOKUP(RANDBETWEEN(1,1010),[0]!Dé1000,[0]!Prenom1000)</f>
        <v>Amélie</v>
      </c>
      <c r="C70" s="1660">
        <f ca="1">LOOKUP(RANDBETWEEN(1,10)-RANDBETWEEN(1,10)+10,$B$2:$B$20,C$2:C$20)</f>
        <v>175</v>
      </c>
      <c r="D70" s="1661">
        <f ca="1">$C70*$C70/10000*(RANDBETWEEN(1,10)+RANDBETWEEN(1,10)+14)</f>
        <v>64.3125</v>
      </c>
      <c r="E70" s="1660" t="str">
        <f ca="1">LOOKUP(RANDBETWEEN(1,10)-RANDBETWEEN(1,10)+10,$B$2:$B$20,E$2:E$20)</f>
        <v>blancs</v>
      </c>
      <c r="F70" s="1661" t="str">
        <f ca="1">LOOKUP(RANDBETWEEN(1,10)-RANDBETWEEN(1,10)+10,$B$2:$B$20,F$2:F$20)</f>
        <v>bruns</v>
      </c>
      <c r="G70" s="1660" t="str">
        <f ca="1">LOOKUP(RANDBETWEEN(1,10)-RANDBETWEEN(1,10)+10,$B$2:$B$20,H$2:H$20)</f>
        <v>Fier</v>
      </c>
      <c r="H70" s="1662" t="str">
        <f ca="1">LOOKUP(RANDBETWEEN(1,10)-RANDBETWEEN(1,10)+10,$B$2:$B$20,H$2:H$20)</f>
        <v>Indifférent</v>
      </c>
      <c r="I70" s="1661" t="str">
        <f ca="1">LOOKUP(RANDBETWEEN(1,10)-RANDBETWEEN(1,10)+10,$B$2:$B$20,I$2:I$20)</f>
        <v>Franc</v>
      </c>
      <c r="J70" s="1663">
        <f ca="1">LOOKUP(RANDBETWEEN(1,10)-RANDBETWEEN(1,10)+10,$B$2:$B$20,J$2:J$20)</f>
        <v>11</v>
      </c>
      <c r="K70" s="1664" t="str">
        <f ca="1">LOOKUP(RANDBETWEEN(1,10)-RANDBETWEEN(1,10)+10,$B$2:$B$20,K$2:K$20)</f>
        <v>-</v>
      </c>
      <c r="L70" s="1665">
        <f t="shared" ref="L70:U70" ca="1" si="18">ROUND((2+RAND()*9+RAND()*9)*SQRT(RANDBETWEEN(multimin,multimax)),0)</f>
        <v>19</v>
      </c>
      <c r="M70" s="1666">
        <f t="shared" ca="1" si="18"/>
        <v>39</v>
      </c>
      <c r="N70" s="1666">
        <f t="shared" ca="1" si="18"/>
        <v>29</v>
      </c>
      <c r="O70" s="1666">
        <f t="shared" ca="1" si="18"/>
        <v>17</v>
      </c>
      <c r="P70" s="1665">
        <f t="shared" ca="1" si="18"/>
        <v>42</v>
      </c>
      <c r="Q70" s="1666">
        <f t="shared" ca="1" si="18"/>
        <v>25</v>
      </c>
      <c r="R70" s="1666">
        <f t="shared" ca="1" si="18"/>
        <v>30</v>
      </c>
      <c r="S70" s="1667">
        <f t="shared" ca="1" si="18"/>
        <v>28</v>
      </c>
      <c r="T70" s="1666">
        <f t="shared" ca="1" si="18"/>
        <v>41</v>
      </c>
      <c r="U70" s="1668">
        <f t="shared" ca="1" si="18"/>
        <v>29</v>
      </c>
      <c r="AD70" s="277"/>
      <c r="AE70" s="277"/>
    </row>
    <row r="71" spans="1:31" s="276" customFormat="1" ht="13.5" customHeight="1" thickBot="1">
      <c r="A71" s="1658"/>
      <c r="B71" s="1669" t="str">
        <f ca="1">LOOKUP(RANDBETWEEN(1,78),deLETTRES,LETTRES)</f>
        <v>T</v>
      </c>
      <c r="C71" s="289">
        <f ca="1">10+RANDBETWEEN(1,20)+RANDBETWEEN(1,20)</f>
        <v>31</v>
      </c>
      <c r="D71" s="288">
        <f t="shared" ref="D71:I71" ca="1" si="19">LOOKUP(RANDBETWEEN(1,10)-RANDBETWEEN(1,10)+10,$B$2:$B$20,W$2:W$20)</f>
        <v>1</v>
      </c>
      <c r="E71" s="289" t="str">
        <f t="shared" ca="1" si="19"/>
        <v>courts</v>
      </c>
      <c r="F71" s="288" t="str">
        <f t="shared" ca="1" si="19"/>
        <v>barbe+</v>
      </c>
      <c r="G71" s="289" t="str">
        <f t="shared" ca="1" si="19"/>
        <v>masse</v>
      </c>
      <c r="H71" s="286" t="str">
        <f t="shared" ca="1" si="19"/>
        <v>-</v>
      </c>
      <c r="I71" s="288" t="str">
        <f t="shared" ca="1" si="19"/>
        <v>Embusc</v>
      </c>
      <c r="J71" s="287">
        <f ca="1">(J70*5)+((RANDBETWEEN(1,6)-RANDBETWEEN(1,2))*5)</f>
        <v>60</v>
      </c>
      <c r="K71" s="286">
        <f ca="1">LOOKUP(RANDBETWEEN(1,10)-RANDBETWEEN(1,10)+10,$B$2:$B$20,AD$2:AD$20)</f>
        <v>1</v>
      </c>
      <c r="L71" s="285">
        <f ca="1">(3*L70+2*M70+T70)/8</f>
        <v>22</v>
      </c>
      <c r="M71" s="284">
        <f ca="1">ROUND((3*T70+2*M70+Q70)/40,0)</f>
        <v>6</v>
      </c>
      <c r="N71" s="1653">
        <f ca="1">(3*Q70+2*P70+R70)/30</f>
        <v>6.3</v>
      </c>
      <c r="O71" s="283">
        <f ca="1">(J70+(L70+M70)/20)*1.5 +L71/10 + J71/5</f>
        <v>35.049999999999997</v>
      </c>
      <c r="P71" s="282">
        <f ca="1">(J70+(N70+O70)/20)*1.5 +L71/10 + J71/5</f>
        <v>34.150000000000006</v>
      </c>
      <c r="Q71" s="281">
        <f ca="1">(3*N70+2*L70+J70)/20+(J71/10)</f>
        <v>12.8</v>
      </c>
      <c r="R71" s="280">
        <f ca="1">ROUND(L70/20,0)</f>
        <v>1</v>
      </c>
      <c r="S71" s="279">
        <f ca="1">(3*O70+2*O70+M70)/30+2</f>
        <v>6.1333333333333337</v>
      </c>
      <c r="T71" s="278">
        <f ca="1">(3*O70+2*N70+10*J70)/4</f>
        <v>54.75</v>
      </c>
      <c r="U71" s="1670">
        <f ca="1">(3*T70+2*M70+Q70)/6</f>
        <v>37.666666666666664</v>
      </c>
      <c r="AD71" s="277"/>
      <c r="AE71" s="277"/>
    </row>
    <row r="72" spans="1:31" s="267" customFormat="1" ht="14.25" customHeight="1" thickBot="1">
      <c r="A72" s="1654"/>
      <c r="B72" s="1671" t="s">
        <v>1312</v>
      </c>
      <c r="C72" s="1700" t="s">
        <v>142</v>
      </c>
      <c r="D72" s="1701"/>
      <c r="E72" s="1701"/>
      <c r="F72" s="1702"/>
      <c r="G72" s="275" t="str">
        <f ca="1">IF(RANDBETWEEN(0,9)&lt;D71+5,LOOKUP(RANDBETWEEN(1,10)-RANDBETWEEN(1,10)+10,$B$2:$B$20,AO$2:AO$20),"-")</f>
        <v>Lan signes</v>
      </c>
      <c r="H72" s="274" t="str">
        <f ca="1">IF(RANDBETWEEN(0,9)&lt;D71+4,LOOKUP(RANDBETWEEN(1,10)-RANDBETWEEN(1,10)+10,$B$2:$B$20,AP$2:AP$20),"-")</f>
        <v xml:space="preserve">Élevage + </v>
      </c>
      <c r="I72" s="274" t="str">
        <f ca="1">IF(RANDBETWEEN(0,9)&lt;D71+3,LOOKUP(RANDBETWEEN(1,10)-RANDBETWEEN(1,10)+10,$B$2:$B$20,AQ$2:AQ$20),"-")</f>
        <v>-</v>
      </c>
      <c r="J72" s="274" t="str">
        <f ca="1">IF(RANDBETWEEN(0,9)&lt;D71+2,LOOKUP(RANDBETWEEN(1,10)-RANDBETWEEN(1,10)+10,$B$2:$B$20,AR$2:AR$20),"-")</f>
        <v>-</v>
      </c>
      <c r="K72" s="274"/>
      <c r="L72" s="273">
        <f ca="1">ROUND(L71*0.2,0)</f>
        <v>4</v>
      </c>
      <c r="M72" s="272">
        <f ca="1">ROUND(L71*0.3,0)</f>
        <v>7</v>
      </c>
      <c r="N72" s="271">
        <f ca="1">ROUND(L71*0.4,0)</f>
        <v>9</v>
      </c>
      <c r="O72" s="1672" t="str">
        <f ca="1">IF(RANDBETWEEN(0,9)&lt;D71+1,LOOKUP(RANDBETWEEN(1,10)-RANDBETWEEN(1,10)+10,$B$2:$B$20,AO$2:AO$20),"-")</f>
        <v>-</v>
      </c>
      <c r="P72" s="1672"/>
      <c r="Q72" s="1672" t="str">
        <f ca="1">IF(RANDBETWEEN(0,9)&lt;D71,LOOKUP(RANDBETWEEN(1,10)-RANDBETWEEN(1,10)+10,$B$2:$B$20,AO$2:AO$20),"-")</f>
        <v>-</v>
      </c>
      <c r="R72" s="1672"/>
      <c r="S72" s="1683" t="str">
        <f ca="1">IF(D71&gt;7,LOOKUP(RANDBETWEEN(1,10)-RANDBETWEEN(1,10)+10,$B$2:$B$20,AR$2:AR$20),IF(D71&gt;5,LOOKUP(RANDBETWEEN(1,10)-RANDBETWEEN(1,10)+10,$B$2:$B$20,AQ$2:AQ$20),IF(D71&gt;2,LOOKUP(RANDBETWEEN(1,10)-RANDBETWEEN(1,10)+10,$B$2:$B$20,AP$2:AP$20),LOOKUP(RANDBETWEEN(1,10)-RANDBETWEEN(1,10)+10,$B$2:$B$20,AO$2:AO$20))))</f>
        <v>Escalade</v>
      </c>
      <c r="T72" s="1684"/>
      <c r="U72" s="1685"/>
    </row>
    <row r="73" spans="1:31" s="267" customFormat="1" ht="12" customHeight="1" thickBot="1">
      <c r="A73" s="1654"/>
      <c r="B73" s="1673"/>
      <c r="C73" s="1654"/>
      <c r="D73" s="1654"/>
      <c r="E73" s="1654"/>
      <c r="F73" s="1654"/>
      <c r="G73" s="270" t="str">
        <f ca="1">IF(G72&lt;&gt;"-","NE"&amp;LOOKUP(RANDBETWEEN(1,10)-RANDBETWEEN(1,10)+10,proba,TNE)," ")</f>
        <v>NE30</v>
      </c>
      <c r="H73" s="1672" t="str">
        <f ca="1">IF(H72&lt;&gt;"-","NE"&amp;LOOKUP(RANDBETWEEN(1,10)-RANDBETWEEN(1,10)+10,proba,TNE)," ")</f>
        <v>NE65</v>
      </c>
      <c r="I73" s="1672" t="str">
        <f ca="1">IF(I72&lt;&gt;"-","NE"&amp;LOOKUP(RANDBETWEEN(1,10)-RANDBETWEEN(1,10)+10,proba,TNE)," ")</f>
        <v xml:space="preserve"> </v>
      </c>
      <c r="J73" s="1672" t="str">
        <f ca="1">IF(J72&lt;&gt;"-","NE"&amp;LOOKUP(RANDBETWEEN(1,10)-RANDBETWEEN(1,10)+10,proba,TNE)," ")</f>
        <v xml:space="preserve"> </v>
      </c>
      <c r="K73" s="269"/>
      <c r="L73" s="268"/>
      <c r="M73" s="1674"/>
      <c r="N73" s="1675"/>
      <c r="O73" s="1672" t="str">
        <f ca="1">IF(O72&lt;&gt;"-","NE"&amp;LOOKUP(RANDBETWEEN(1,10)-RANDBETWEEN(1,10)+10,proba,TNE)," ")</f>
        <v xml:space="preserve"> </v>
      </c>
      <c r="P73" s="1672"/>
      <c r="Q73" s="1672" t="str">
        <f ca="1">IF(Q72&lt;&gt;"-","NE"&amp;LOOKUP(RANDBETWEEN(1,10)-RANDBETWEEN(1,10)+10,proba,TNE)," ")</f>
        <v xml:space="preserve"> </v>
      </c>
      <c r="R73" s="1672"/>
      <c r="S73" s="1686" t="str">
        <f ca="1">IF(S72&lt;&gt;"-","NE"&amp;LOOKUP(RANDBETWEEN(1,10)-RANDBETWEEN(1,10)+10,proba,TNE)," ")</f>
        <v>NE25</v>
      </c>
      <c r="T73" s="1684"/>
      <c r="U73" s="1687"/>
    </row>
    <row r="74" spans="1:31" s="267" customFormat="1" ht="19.5" customHeight="1" thickBot="1">
      <c r="A74" s="1654"/>
      <c r="B74" s="1676" t="str">
        <f ca="1">"Fam."&amp;LOOKUP(RANDBETWEEN(1,19),proba,famille)</f>
        <v>Fam.5</v>
      </c>
      <c r="C74" s="1677"/>
      <c r="D74" s="1677"/>
      <c r="E74" s="1677"/>
      <c r="F74" s="1677"/>
      <c r="G74" s="1678" t="s">
        <v>2631</v>
      </c>
      <c r="H74" s="1677"/>
      <c r="I74" s="1677" t="s">
        <v>2627</v>
      </c>
      <c r="J74" s="1677"/>
      <c r="K74" s="1677"/>
      <c r="L74" s="1679" t="str">
        <f ca="1">"T,V,B,J : "&amp;ROUND(M72/2,0)&amp;"/"&amp;M72&amp;"/"&amp;M72+M71</f>
        <v>T,V,B,J : 4/7/13</v>
      </c>
      <c r="M74" s="1680"/>
      <c r="N74" s="1681"/>
      <c r="O74" s="1680"/>
      <c r="P74" s="1680" t="str">
        <f ca="1">"Th : "&amp;ROUND(N72/2,0)&amp;"/"&amp;N72&amp;"/"&amp;N72+M71</f>
        <v>Th : 5/9/15</v>
      </c>
      <c r="Q74" s="1680"/>
      <c r="R74" s="1680"/>
      <c r="S74" s="1680" t="str">
        <f ca="1">"M, P: "&amp;ROUND(L72/2,0)&amp;"/"&amp;L72&amp;"/"&amp;L72+M71</f>
        <v>M, P: 2/4/10</v>
      </c>
      <c r="T74" s="1680"/>
      <c r="U74" s="1682"/>
    </row>
    <row r="75" spans="1:31" s="276" customFormat="1" ht="13.5" customHeight="1" thickTop="1" thickBot="1">
      <c r="A75" s="1657">
        <v>10</v>
      </c>
      <c r="B75" s="1659" t="str">
        <f ca="1">LOOKUP(RANDBETWEEN(1,1010),[0]!Dé1000,[0]!Prenom1000)</f>
        <v>Titien</v>
      </c>
      <c r="C75" s="1660">
        <f ca="1">LOOKUP(RANDBETWEEN(1,10)-RANDBETWEEN(1,10)+10,$B$2:$B$20,C$2:C$20)</f>
        <v>175</v>
      </c>
      <c r="D75" s="1661">
        <f ca="1">$C75*$C75/10000*(RANDBETWEEN(1,10)+RANDBETWEEN(1,10)+14)</f>
        <v>94.9375</v>
      </c>
      <c r="E75" s="1660" t="str">
        <f ca="1">LOOKUP(RANDBETWEEN(1,10)-RANDBETWEEN(1,10)+10,$B$2:$B$20,E$2:E$20)</f>
        <v>br clair</v>
      </c>
      <c r="F75" s="1661" t="str">
        <f ca="1">LOOKUP(RANDBETWEEN(1,10)-RANDBETWEEN(1,10)+10,$B$2:$B$20,F$2:F$20)</f>
        <v>gris+</v>
      </c>
      <c r="G75" s="1660" t="str">
        <f ca="1">LOOKUP(RANDBETWEEN(1,10)-RANDBETWEEN(1,10)+10,$B$2:$B$20,H$2:H$20)</f>
        <v>Égocentri</v>
      </c>
      <c r="H75" s="1662" t="str">
        <f ca="1">LOOKUP(RANDBETWEEN(1,10)-RANDBETWEEN(1,10)+10,$B$2:$B$20,H$2:H$20)</f>
        <v>Pessimiste</v>
      </c>
      <c r="I75" s="1661" t="str">
        <f ca="1">LOOKUP(RANDBETWEEN(1,10)-RANDBETWEEN(1,10)+10,$B$2:$B$20,I$2:I$20)</f>
        <v>Accueilla</v>
      </c>
      <c r="J75" s="1663">
        <f ca="1">LOOKUP(RANDBETWEEN(1,10)-RANDBETWEEN(1,10)+10,$B$2:$B$20,J$2:J$20)</f>
        <v>10</v>
      </c>
      <c r="K75" s="1664" t="str">
        <f ca="1">LOOKUP(RANDBETWEEN(1,10)-RANDBETWEEN(1,10)+10,$B$2:$B$20,K$2:K$20)</f>
        <v>-</v>
      </c>
      <c r="L75" s="1665">
        <f t="shared" ref="L75:U75" ca="1" si="20">ROUND((2+RAND()*9+RAND()*9)*SQRT(RANDBETWEEN(multimin,multimax)),0)</f>
        <v>22</v>
      </c>
      <c r="M75" s="1666">
        <f t="shared" ca="1" si="20"/>
        <v>33</v>
      </c>
      <c r="N75" s="1666">
        <f t="shared" ca="1" si="20"/>
        <v>45</v>
      </c>
      <c r="O75" s="1666">
        <f t="shared" ca="1" si="20"/>
        <v>40</v>
      </c>
      <c r="P75" s="1665">
        <f t="shared" ca="1" si="20"/>
        <v>22</v>
      </c>
      <c r="Q75" s="1666">
        <f t="shared" ca="1" si="20"/>
        <v>58</v>
      </c>
      <c r="R75" s="1666">
        <f t="shared" ca="1" si="20"/>
        <v>25</v>
      </c>
      <c r="S75" s="1667">
        <f t="shared" ca="1" si="20"/>
        <v>54</v>
      </c>
      <c r="T75" s="1666">
        <f t="shared" ca="1" si="20"/>
        <v>28</v>
      </c>
      <c r="U75" s="1668">
        <f t="shared" ca="1" si="20"/>
        <v>38</v>
      </c>
      <c r="AD75" s="277"/>
      <c r="AE75" s="277"/>
    </row>
    <row r="76" spans="1:31" s="276" customFormat="1" ht="13.5" customHeight="1" thickBot="1">
      <c r="A76" s="1658"/>
      <c r="B76" s="1669" t="str">
        <f ca="1">LOOKUP(RANDBETWEEN(1,78),deLETTRES,LETTRES)</f>
        <v>T</v>
      </c>
      <c r="C76" s="289">
        <f ca="1">10+RANDBETWEEN(1,20)+RANDBETWEEN(1,20)</f>
        <v>34</v>
      </c>
      <c r="D76" s="288">
        <f t="shared" ref="D76:I76" ca="1" si="21">LOOKUP(RANDBETWEEN(1,10)-RANDBETWEEN(1,10)+10,$B$2:$B$20,W$2:W$20)</f>
        <v>1</v>
      </c>
      <c r="E76" s="289" t="str">
        <f t="shared" ca="1" si="21"/>
        <v>courts</v>
      </c>
      <c r="F76" s="288" t="str">
        <f t="shared" ca="1" si="21"/>
        <v>duvet+</v>
      </c>
      <c r="G76" s="289" t="str">
        <f t="shared" ca="1" si="21"/>
        <v>hache</v>
      </c>
      <c r="H76" s="286" t="str">
        <f t="shared" ca="1" si="21"/>
        <v>arbalèt</v>
      </c>
      <c r="I76" s="288" t="str">
        <f t="shared" ca="1" si="21"/>
        <v>talent</v>
      </c>
      <c r="J76" s="287">
        <f ca="1">(J75*5)+((RANDBETWEEN(1,6)-RANDBETWEEN(1,2))*5)</f>
        <v>55</v>
      </c>
      <c r="K76" s="286">
        <f ca="1">LOOKUP(RANDBETWEEN(1,10)-RANDBETWEEN(1,10)+10,$B$2:$B$20,AD$2:AD$20)</f>
        <v>1</v>
      </c>
      <c r="L76" s="285">
        <f ca="1">(3*L75+2*M75+T75)/8</f>
        <v>20</v>
      </c>
      <c r="M76" s="284">
        <f ca="1">ROUND((3*T75+2*M75+Q75)/40,0)</f>
        <v>5</v>
      </c>
      <c r="N76" s="1653">
        <f ca="1">(3*Q75+2*P75+R75)/30</f>
        <v>8.1</v>
      </c>
      <c r="O76" s="283">
        <f ca="1">(J75+(L75+M75)/20)*1.5 +L76/10 + J76/5</f>
        <v>32.125</v>
      </c>
      <c r="P76" s="282">
        <f ca="1">(J75+(N75+O75)/20)*1.5 +L76/10 + J76/5</f>
        <v>34.375</v>
      </c>
      <c r="Q76" s="281">
        <f ca="1">(3*N75+2*L75+J75)/20+(J76/10)</f>
        <v>14.95</v>
      </c>
      <c r="R76" s="280">
        <f ca="1">ROUND(L75/20,0)</f>
        <v>1</v>
      </c>
      <c r="S76" s="279">
        <f ca="1">(3*O75+2*O75+M75)/30+2</f>
        <v>9.7666666666666657</v>
      </c>
      <c r="T76" s="278">
        <f ca="1">(3*O75+2*N75+10*J75)/4</f>
        <v>77.5</v>
      </c>
      <c r="U76" s="1670">
        <f ca="1">(3*T75+2*M75+Q75)/6</f>
        <v>34.666666666666664</v>
      </c>
      <c r="AD76" s="277"/>
      <c r="AE76" s="277"/>
    </row>
    <row r="77" spans="1:31" s="267" customFormat="1" ht="14.25" customHeight="1" thickBot="1">
      <c r="A77" s="1654"/>
      <c r="B77" s="1671" t="s">
        <v>1312</v>
      </c>
      <c r="C77" s="1700" t="s">
        <v>142</v>
      </c>
      <c r="D77" s="1701"/>
      <c r="E77" s="1701"/>
      <c r="F77" s="1702"/>
      <c r="G77" s="275" t="str">
        <f ca="1">IF(RANDBETWEEN(0,9)&lt;D76+5,LOOKUP(RANDBETWEEN(1,10)-RANDBETWEEN(1,10)+10,$B$2:$B$20,AO$2:AO$20),"-")</f>
        <v>Piste</v>
      </c>
      <c r="H77" s="274" t="str">
        <f ca="1">IF(RANDBETWEEN(0,9)&lt;D76+4,LOOKUP(RANDBETWEEN(1,10)-RANDBETWEEN(1,10)+10,$B$2:$B$20,AP$2:AP$20),"-")</f>
        <v xml:space="preserve">Élevage + </v>
      </c>
      <c r="I77" s="274" t="str">
        <f ca="1">IF(RANDBETWEEN(0,9)&lt;D76+3,LOOKUP(RANDBETWEEN(1,10)-RANDBETWEEN(1,10)+10,$B$2:$B$20,AQ$2:AQ$20),"-")</f>
        <v xml:space="preserve">Lecture + </v>
      </c>
      <c r="J77" s="274" t="str">
        <f ca="1">IF(RANDBETWEEN(0,9)&lt;D76+2,LOOKUP(RANDBETWEEN(1,10)-RANDBETWEEN(1,10)+10,$B$2:$B$20,AR$2:AR$20),"-")</f>
        <v>-</v>
      </c>
      <c r="K77" s="274"/>
      <c r="L77" s="273">
        <f ca="1">ROUND(L76*0.2,0)</f>
        <v>4</v>
      </c>
      <c r="M77" s="272">
        <f ca="1">ROUND(L76*0.3,0)</f>
        <v>6</v>
      </c>
      <c r="N77" s="271">
        <f ca="1">ROUND(L76*0.4,0)</f>
        <v>8</v>
      </c>
      <c r="O77" s="1672" t="str">
        <f ca="1">IF(RANDBETWEEN(0,9)&lt;D76+1,LOOKUP(RANDBETWEEN(1,10)-RANDBETWEEN(1,10)+10,$B$2:$B$20,AO$2:AO$20),"-")</f>
        <v>-</v>
      </c>
      <c r="P77" s="1672"/>
      <c r="Q77" s="1672" t="str">
        <f ca="1">IF(RANDBETWEEN(0,9)&lt;D76,LOOKUP(RANDBETWEEN(1,10)-RANDBETWEEN(1,10)+10,$B$2:$B$20,AO$2:AO$20),"-")</f>
        <v>-</v>
      </c>
      <c r="R77" s="1672"/>
      <c r="S77" s="1683" t="str">
        <f ca="1">IF(D76&gt;7,LOOKUP(RANDBETWEEN(1,10)-RANDBETWEEN(1,10)+10,$B$2:$B$20,AR$2:AR$20),IF(D76&gt;5,LOOKUP(RANDBETWEEN(1,10)-RANDBETWEEN(1,10)+10,$B$2:$B$20,AQ$2:AQ$20),IF(D76&gt;2,LOOKUP(RANDBETWEEN(1,10)-RANDBETWEEN(1,10)+10,$B$2:$B$20,AP$2:AP$20),LOOKUP(RANDBETWEEN(1,10)-RANDBETWEEN(1,10)+10,$B$2:$B$20,AO$2:AO$20))))</f>
        <v>Marine</v>
      </c>
      <c r="T77" s="1684"/>
      <c r="U77" s="1685"/>
    </row>
    <row r="78" spans="1:31" s="267" customFormat="1" ht="12" customHeight="1" thickBot="1">
      <c r="A78" s="1654"/>
      <c r="B78" s="1673"/>
      <c r="C78" s="1654"/>
      <c r="D78" s="1654"/>
      <c r="E78" s="1654"/>
      <c r="F78" s="1654"/>
      <c r="G78" s="270" t="str">
        <f ca="1">IF(G77&lt;&gt;"-","NE"&amp;LOOKUP(RANDBETWEEN(1,10)-RANDBETWEEN(1,10)+10,proba,TNE)," ")</f>
        <v>NE45</v>
      </c>
      <c r="H78" s="1672" t="str">
        <f ca="1">IF(H77&lt;&gt;"-","NE"&amp;LOOKUP(RANDBETWEEN(1,10)-RANDBETWEEN(1,10)+10,proba,TNE)," ")</f>
        <v>NE15</v>
      </c>
      <c r="I78" s="1672" t="str">
        <f ca="1">IF(I77&lt;&gt;"-","NE"&amp;LOOKUP(RANDBETWEEN(1,10)-RANDBETWEEN(1,10)+10,proba,TNE)," ")</f>
        <v>NE45</v>
      </c>
      <c r="J78" s="1672" t="str">
        <f ca="1">IF(J77&lt;&gt;"-","NE"&amp;LOOKUP(RANDBETWEEN(1,10)-RANDBETWEEN(1,10)+10,proba,TNE)," ")</f>
        <v xml:space="preserve"> </v>
      </c>
      <c r="K78" s="269"/>
      <c r="L78" s="268"/>
      <c r="M78" s="1674"/>
      <c r="N78" s="1675"/>
      <c r="O78" s="1672" t="str">
        <f ca="1">IF(O77&lt;&gt;"-","NE"&amp;LOOKUP(RANDBETWEEN(1,10)-RANDBETWEEN(1,10)+10,proba,TNE)," ")</f>
        <v xml:space="preserve"> </v>
      </c>
      <c r="P78" s="1672"/>
      <c r="Q78" s="1672" t="str">
        <f ca="1">IF(Q77&lt;&gt;"-","NE"&amp;LOOKUP(RANDBETWEEN(1,10)-RANDBETWEEN(1,10)+10,proba,TNE)," ")</f>
        <v xml:space="preserve"> </v>
      </c>
      <c r="R78" s="1672"/>
      <c r="S78" s="1686" t="str">
        <f ca="1">IF(S77&lt;&gt;"-","NE"&amp;LOOKUP(RANDBETWEEN(1,10)-RANDBETWEEN(1,10)+10,proba,TNE)," ")</f>
        <v>NE25</v>
      </c>
      <c r="T78" s="1684"/>
      <c r="U78" s="1687"/>
    </row>
    <row r="79" spans="1:31" s="267" customFormat="1" ht="19.5" customHeight="1" thickBot="1">
      <c r="A79" s="1654"/>
      <c r="B79" s="1676" t="str">
        <f ca="1">"Fam."&amp;LOOKUP(RANDBETWEEN(1,19),proba,famille)</f>
        <v>Fam.1</v>
      </c>
      <c r="C79" s="1677"/>
      <c r="D79" s="1677"/>
      <c r="E79" s="1677"/>
      <c r="F79" s="1677"/>
      <c r="G79" s="1678" t="s">
        <v>2631</v>
      </c>
      <c r="H79" s="1677"/>
      <c r="I79" s="1677" t="s">
        <v>2628</v>
      </c>
      <c r="J79" s="1677"/>
      <c r="K79" s="1677"/>
      <c r="L79" s="1679" t="str">
        <f ca="1">"T,V,B,J : "&amp;ROUND(M77/2,0)&amp;"/"&amp;M77&amp;"/"&amp;M77+M76</f>
        <v>T,V,B,J : 3/6/11</v>
      </c>
      <c r="M79" s="1680"/>
      <c r="N79" s="1681"/>
      <c r="O79" s="1680"/>
      <c r="P79" s="1680" t="str">
        <f ca="1">"Th : "&amp;ROUND(N77/2,0)&amp;"/"&amp;N77&amp;"/"&amp;N77+M76</f>
        <v>Th : 4/8/13</v>
      </c>
      <c r="Q79" s="1680"/>
      <c r="R79" s="1680"/>
      <c r="S79" s="1680" t="str">
        <f ca="1">"M, P: "&amp;ROUND(L77/2,0)&amp;"/"&amp;L77&amp;"/"&amp;L77+M76</f>
        <v>M, P: 2/4/9</v>
      </c>
      <c r="T79" s="1680"/>
      <c r="U79" s="1682"/>
    </row>
    <row r="80" spans="1:31" ht="13.8" thickTop="1"/>
  </sheetData>
  <mergeCells count="1">
    <mergeCell ref="G28:I28"/>
  </mergeCells>
  <conditionalFormatting sqref="L30:U30">
    <cfRule type="cellIs" dxfId="31" priority="19" stopIfTrue="1" operator="lessThan">
      <formula>20</formula>
    </cfRule>
    <cfRule type="cellIs" dxfId="30" priority="20" stopIfTrue="1" operator="greaterThan">
      <formula>50</formula>
    </cfRule>
  </conditionalFormatting>
  <conditionalFormatting sqref="L35:U35">
    <cfRule type="cellIs" dxfId="29" priority="17" stopIfTrue="1" operator="lessThan">
      <formula>20</formula>
    </cfRule>
    <cfRule type="cellIs" dxfId="28" priority="18" stopIfTrue="1" operator="greaterThan">
      <formula>50</formula>
    </cfRule>
  </conditionalFormatting>
  <conditionalFormatting sqref="L40:U40">
    <cfRule type="cellIs" dxfId="27" priority="15" stopIfTrue="1" operator="lessThan">
      <formula>20</formula>
    </cfRule>
    <cfRule type="cellIs" dxfId="26" priority="16" stopIfTrue="1" operator="greaterThan">
      <formula>50</formula>
    </cfRule>
  </conditionalFormatting>
  <conditionalFormatting sqref="L45:U45">
    <cfRule type="cellIs" dxfId="25" priority="13" stopIfTrue="1" operator="lessThan">
      <formula>20</formula>
    </cfRule>
    <cfRule type="cellIs" dxfId="24" priority="14" stopIfTrue="1" operator="greaterThan">
      <formula>50</formula>
    </cfRule>
  </conditionalFormatting>
  <conditionalFormatting sqref="L50:U50">
    <cfRule type="cellIs" dxfId="23" priority="11" stopIfTrue="1" operator="lessThan">
      <formula>20</formula>
    </cfRule>
    <cfRule type="cellIs" dxfId="22" priority="12" stopIfTrue="1" operator="greaterThan">
      <formula>50</formula>
    </cfRule>
  </conditionalFormatting>
  <conditionalFormatting sqref="L55:U55">
    <cfRule type="cellIs" dxfId="21" priority="9" stopIfTrue="1" operator="lessThan">
      <formula>20</formula>
    </cfRule>
    <cfRule type="cellIs" dxfId="20" priority="10" stopIfTrue="1" operator="greaterThan">
      <formula>50</formula>
    </cfRule>
  </conditionalFormatting>
  <conditionalFormatting sqref="L60:U60">
    <cfRule type="cellIs" dxfId="19" priority="7" stopIfTrue="1" operator="lessThan">
      <formula>20</formula>
    </cfRule>
    <cfRule type="cellIs" dxfId="18" priority="8" stopIfTrue="1" operator="greaterThan">
      <formula>50</formula>
    </cfRule>
  </conditionalFormatting>
  <conditionalFormatting sqref="L65:U65">
    <cfRule type="cellIs" dxfId="17" priority="5" stopIfTrue="1" operator="lessThan">
      <formula>20</formula>
    </cfRule>
    <cfRule type="cellIs" dxfId="16" priority="6" stopIfTrue="1" operator="greaterThan">
      <formula>50</formula>
    </cfRule>
  </conditionalFormatting>
  <conditionalFormatting sqref="L70:U70">
    <cfRule type="cellIs" dxfId="15" priority="3" stopIfTrue="1" operator="lessThan">
      <formula>20</formula>
    </cfRule>
    <cfRule type="cellIs" dxfId="14" priority="4" stopIfTrue="1" operator="greaterThan">
      <formula>50</formula>
    </cfRule>
  </conditionalFormatting>
  <conditionalFormatting sqref="L75:U75">
    <cfRule type="cellIs" dxfId="13" priority="1" stopIfTrue="1" operator="lessThan">
      <formula>20</formula>
    </cfRule>
    <cfRule type="cellIs" dxfId="12" priority="2" stopIfTrue="1" operator="greaterThan">
      <formula>50</formula>
    </cfRule>
  </conditionalFormatting>
  <pageMargins left="0.39370078740157483" right="0.15748031496062992" top="0.39370078740157483" bottom="0.35433070866141736" header="0.27559055118110237" footer="0.23622047244094491"/>
  <pageSetup paperSize="9" orientation="portrait" r:id="rId1"/>
  <headerFooter alignWithMargins="0">
    <oddHeader>&amp;LPNJ aléatoires  &amp;"-,Gras"&amp;12LIEU_____________&amp;C&amp;"Herald,Gras"&amp;12PNJ n° ....&amp;R&amp;D</oddHeader>
    <oddFooter xml:space="preserve">&amp;C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11"/>
  <sheetViews>
    <sheetView workbookViewId="0">
      <selection activeCell="A2" sqref="A2:E2"/>
    </sheetView>
  </sheetViews>
  <sheetFormatPr baseColWidth="10" defaultColWidth="9.109375" defaultRowHeight="12.75" customHeight="1"/>
  <cols>
    <col min="1" max="1" width="9.109375" style="357"/>
    <col min="2" max="2" width="8.88671875" style="357" customWidth="1"/>
    <col min="3" max="5" width="9.109375" style="357"/>
    <col min="6" max="6" width="10.44140625" style="357" bestFit="1" customWidth="1"/>
    <col min="7" max="8" width="9.109375" style="357"/>
    <col min="9" max="9" width="6.5546875" style="357" customWidth="1"/>
    <col min="10" max="10" width="8.109375" style="357" bestFit="1" customWidth="1"/>
    <col min="11" max="12" width="9.109375" style="357"/>
    <col min="13" max="13" width="8.6640625" style="357" bestFit="1" customWidth="1"/>
    <col min="14" max="16384" width="9.109375" style="357"/>
  </cols>
  <sheetData>
    <row r="1" spans="1:13" ht="12.75" customHeight="1" thickBot="1">
      <c r="A1" s="1739" t="s">
        <v>5221</v>
      </c>
      <c r="B1" s="1740"/>
      <c r="C1" s="1741"/>
      <c r="D1" s="1742" t="s">
        <v>5222</v>
      </c>
      <c r="E1" s="1740"/>
      <c r="F1" s="1741"/>
      <c r="G1" s="1742" t="s">
        <v>5220</v>
      </c>
      <c r="H1" s="1740"/>
      <c r="I1" s="1740"/>
      <c r="J1" s="1743"/>
      <c r="L1" s="357">
        <v>1</v>
      </c>
      <c r="M1" s="851" t="s">
        <v>2637</v>
      </c>
    </row>
    <row r="2" spans="1:13" ht="12.75" customHeight="1" thickBot="1">
      <c r="A2" s="1744" t="s">
        <v>5223</v>
      </c>
      <c r="B2" s="1745"/>
      <c r="C2" s="1745"/>
      <c r="D2" s="1745"/>
      <c r="E2" s="1746"/>
      <c r="F2" s="1747" t="s">
        <v>5224</v>
      </c>
      <c r="G2" s="1745"/>
      <c r="H2" s="1745"/>
      <c r="I2" s="1745"/>
      <c r="J2" s="1748"/>
      <c r="L2" s="357">
        <v>2</v>
      </c>
      <c r="M2" s="852" t="s">
        <v>2638</v>
      </c>
    </row>
    <row r="3" spans="1:13" s="361" customFormat="1" ht="12.75" customHeight="1" thickBot="1">
      <c r="A3" s="358" t="str">
        <f>"F "&amp;B12</f>
        <v>F 120</v>
      </c>
      <c r="B3" s="359" t="str">
        <f>"En "&amp;EN</f>
        <v>En 120</v>
      </c>
      <c r="C3" s="359" t="str">
        <f>"D "&amp;D</f>
        <v>D 20</v>
      </c>
      <c r="D3" s="359" t="str">
        <f>"A "&amp;A</f>
        <v>A 10</v>
      </c>
      <c r="E3" s="359" t="str">
        <f>"I "&amp;I</f>
        <v>I 5</v>
      </c>
      <c r="F3" s="359" t="str">
        <f>"V "&amp;V</f>
        <v>V 10</v>
      </c>
      <c r="G3" s="359" t="str">
        <f>"E "&amp;E</f>
        <v>E 5</v>
      </c>
      <c r="H3" s="359" t="str">
        <f>"Em "&amp;EM</f>
        <v>Em 5</v>
      </c>
      <c r="I3" s="359" t="str">
        <f>"C "&amp;CON</f>
        <v>C 100</v>
      </c>
      <c r="J3" s="360" t="str">
        <f>"Ap "&amp;AP</f>
        <v>Ap 10</v>
      </c>
      <c r="L3" s="357">
        <v>3</v>
      </c>
      <c r="M3" s="852" t="s">
        <v>2639</v>
      </c>
    </row>
    <row r="4" spans="1:13" s="361" customFormat="1" ht="12.75" customHeight="1" thickBot="1">
      <c r="A4" s="661">
        <f>ROUND((F*3+CON*2+EN)/8,0)+A28</f>
        <v>85</v>
      </c>
      <c r="B4" s="362" t="str">
        <f>"RM "&amp;ROUND((CON*3+EN*2+V)/40,0)+B28</f>
        <v>RM 14</v>
      </c>
      <c r="C4" s="362" t="str">
        <f>"Vit "&amp;ROUND((D*3+F*3+NEcbt)/20,0)+C28</f>
        <v>Vit 21</v>
      </c>
      <c r="D4" s="1141" t="str">
        <f>"VO "&amp;ROUND((NEC + F/20 + EN/20)*1.5 + (NEcbt/5) +nc,0)+D28</f>
        <v>VO 31</v>
      </c>
      <c r="E4" s="1141" t="str">
        <f>"VD "&amp;ROUND((NEC + D/20 + A/20)*1.5 + (NEcbt/5) +nc,0)+E28</f>
        <v>VD 15</v>
      </c>
      <c r="F4" s="362" t="str">
        <f>"Coup +"&amp;ROUND(B12/20,0)+F28</f>
        <v>Coup +6</v>
      </c>
      <c r="G4" s="362" t="str">
        <f>"EN "&amp;ROUND((V*3+CON*2+EM)/3,0)+G28</f>
        <v>EN 78</v>
      </c>
      <c r="H4" s="362" t="str">
        <f>"CI "&amp;ROUND((E*3+EM*2+V)/3,0)+H28</f>
        <v>CI 12</v>
      </c>
      <c r="I4" s="362" t="str">
        <f>"RMa "&amp;ROUND((V*3+I*2+E)/30+NEM/2,0)+I28</f>
        <v>RMa 2</v>
      </c>
      <c r="J4" s="363" t="str">
        <f>"RP "&amp;ROUND((4*CON+2*EN)/50,0)+J28</f>
        <v>RP 13</v>
      </c>
      <c r="L4" s="357">
        <v>4</v>
      </c>
      <c r="M4" s="852" t="s">
        <v>2640</v>
      </c>
    </row>
    <row r="5" spans="1:13" s="361" customFormat="1" ht="12.75" customHeight="1" thickBot="1">
      <c r="A5" s="364" t="str">
        <f>"Mvp "&amp;ROUND((A*3+A*2+EN)/30+2,0)+A30</f>
        <v>Mvp 8</v>
      </c>
      <c r="B5" s="365" t="str">
        <f>"Esq "&amp;ROUND((3*A + 2*D + NEC*10)/4,0)+B30</f>
        <v>Esq 25</v>
      </c>
      <c r="C5" s="366" t="str">
        <f>"Réa "&amp;ROUND((E*3+ I*2 + NEC*10 ) /5,0)+C30</f>
        <v>Réa 11</v>
      </c>
      <c r="D5" s="366" t="str">
        <f>"Cha "&amp;ROUND((A +EN +NEC*10)/3,0)+D30</f>
        <v>Cha 53</v>
      </c>
      <c r="E5" s="366" t="str">
        <f>"Fui "&amp;ROUND((A + ROUND((A*3+A*2+EN)/30+2,0)*10 + NEC*5)/3,0)+E30</f>
        <v>Fui 35</v>
      </c>
      <c r="F5" s="366" t="str">
        <f>"CS "&amp;ROUND((3*CON +2*EN +V) /6,0)+F30</f>
        <v>CS 92</v>
      </c>
      <c r="G5" s="1142" t="str">
        <f>ROUND(A4*0.4,0)&amp;" / "&amp;ROUND(A4*0.3,0)&amp;" / "&amp;ROUND(A4*0.2,0)</f>
        <v>34 / 26 / 17</v>
      </c>
      <c r="H5" s="361" t="str">
        <f>"PdM"&amp;ROUND((I+V+EM)/10*NEM,0)+H30</f>
        <v>PdM0</v>
      </c>
      <c r="I5" s="366" t="str">
        <f>"NC "&amp;nc+I30</f>
        <v>NC 7</v>
      </c>
      <c r="J5" s="367" t="str">
        <f>"PM "&amp;ROUND((3*I+2*V+EM)/20,0)+J30</f>
        <v>PM 2</v>
      </c>
      <c r="L5" s="357">
        <v>5</v>
      </c>
      <c r="M5" s="852" t="s">
        <v>2641</v>
      </c>
    </row>
    <row r="6" spans="1:13" s="361" customFormat="1" ht="12.75" customHeight="1" thickBot="1">
      <c r="A6" s="368" t="str">
        <f>"NEC "&amp;NEC</f>
        <v>NEC 3</v>
      </c>
      <c r="B6" s="369" t="str">
        <f>"NE "&amp;NEcbt</f>
        <v>NE 5</v>
      </c>
      <c r="C6" s="369" t="str">
        <f>"NEM "&amp;NEM</f>
        <v>NEM 0</v>
      </c>
      <c r="D6" s="370" t="str">
        <f>"NE "&amp;NEmagie</f>
        <v>NE 0</v>
      </c>
      <c r="E6" s="371" t="s">
        <v>1558</v>
      </c>
      <c r="F6" s="792" t="s">
        <v>5230</v>
      </c>
      <c r="G6" s="371" t="s">
        <v>1559</v>
      </c>
      <c r="H6" s="792" t="s">
        <v>5231</v>
      </c>
      <c r="I6" s="370"/>
      <c r="J6" s="372"/>
      <c r="L6" s="357">
        <v>6</v>
      </c>
      <c r="M6" s="852" t="s">
        <v>2642</v>
      </c>
    </row>
    <row r="7" spans="1:13" s="361" customFormat="1" ht="12.75" customHeight="1" thickBot="1">
      <c r="A7" s="373" t="s">
        <v>1560</v>
      </c>
      <c r="B7" s="374" t="s">
        <v>5225</v>
      </c>
      <c r="C7" s="375"/>
      <c r="D7" s="375"/>
      <c r="E7" s="375"/>
      <c r="F7" s="375"/>
      <c r="G7" s="375"/>
      <c r="H7" s="375"/>
      <c r="I7" s="375"/>
      <c r="J7" s="376"/>
      <c r="L7" s="357">
        <v>7</v>
      </c>
      <c r="M7" s="852" t="s">
        <v>2643</v>
      </c>
    </row>
    <row r="8" spans="1:13" s="361" customFormat="1" ht="12.75" customHeight="1" thickBot="1">
      <c r="A8" s="377" t="s">
        <v>1561</v>
      </c>
      <c r="B8" s="1749" t="s">
        <v>5226</v>
      </c>
      <c r="C8" s="1749"/>
      <c r="D8" s="1749"/>
      <c r="E8" s="1749"/>
      <c r="F8" s="1749"/>
      <c r="G8" s="1749"/>
      <c r="H8" s="1749"/>
      <c r="I8" s="1749"/>
      <c r="J8" s="1750"/>
      <c r="L8" s="357">
        <v>8</v>
      </c>
      <c r="M8" s="852" t="s">
        <v>2644</v>
      </c>
    </row>
    <row r="9" spans="1:13" s="361" customFormat="1" ht="12.75" customHeight="1" thickBot="1">
      <c r="A9" s="378" t="s">
        <v>1562</v>
      </c>
      <c r="B9" s="1735" t="s">
        <v>5219</v>
      </c>
      <c r="C9" s="1735"/>
      <c r="D9" s="1735"/>
      <c r="E9" s="1735"/>
      <c r="F9" s="1735"/>
      <c r="G9" s="1735"/>
      <c r="H9" s="1735"/>
      <c r="I9" s="1735"/>
      <c r="J9" s="1736"/>
      <c r="L9" s="357">
        <v>9</v>
      </c>
      <c r="M9" s="852" t="s">
        <v>2645</v>
      </c>
    </row>
    <row r="10" spans="1:13" s="361" customFormat="1" ht="12.75" customHeight="1" thickBot="1">
      <c r="A10" s="380" t="s">
        <v>1563</v>
      </c>
      <c r="B10" s="1737" t="s">
        <v>1545</v>
      </c>
      <c r="C10" s="1737"/>
      <c r="D10" s="1737"/>
      <c r="E10" s="1737"/>
      <c r="F10" s="1737"/>
      <c r="G10" s="1737"/>
      <c r="H10" s="1737"/>
      <c r="I10" s="1737"/>
      <c r="J10" s="1738"/>
      <c r="L10" s="357">
        <v>10</v>
      </c>
      <c r="M10" s="852" t="s">
        <v>2646</v>
      </c>
    </row>
    <row r="11" spans="1:13" ht="12.75" customHeight="1" thickBot="1">
      <c r="L11" s="357">
        <v>11</v>
      </c>
      <c r="M11" s="852" t="s">
        <v>2647</v>
      </c>
    </row>
    <row r="12" spans="1:13" ht="12.75" customHeight="1" thickBot="1">
      <c r="A12" s="381" t="s">
        <v>1564</v>
      </c>
      <c r="B12" s="659">
        <v>120</v>
      </c>
      <c r="D12" s="357" t="str">
        <f>"F"&amp;F&amp;" En"&amp;EN&amp;" D"&amp;D&amp;" A"&amp;A&amp;" I"&amp;I&amp;" V"&amp;V&amp;" E"&amp;E&amp;" Em"&amp;EM&amp;" C"&amp;CON&amp;" Ap"&amp;AP&amp;" "&amp;G4&amp;" "&amp;I4&amp;" "&amp;J4</f>
        <v>F120 En120 D20 A10 I5 V10 E5 Em5 C100 Ap10 EN 78 RMa 2 RP 13</v>
      </c>
      <c r="L12" s="357">
        <v>12</v>
      </c>
      <c r="M12" s="852" t="s">
        <v>2648</v>
      </c>
    </row>
    <row r="13" spans="1:13" ht="12.75" customHeight="1" thickBot="1">
      <c r="A13" s="382" t="s">
        <v>1565</v>
      </c>
      <c r="B13" s="660">
        <v>120</v>
      </c>
      <c r="D13" s="357" t="str">
        <f>A6&amp;" "&amp;B6&amp;" "&amp;"AR "&amp;F6&amp;" "&amp;D4&amp;" "&amp;E4&amp;" PdC "&amp;A4&amp;" "&amp;B4&amp;" "&amp;C4&amp;" "&amp;A5&amp;" Att "&amp;H6</f>
        <v>NEC 3 NE 5 AR 5 ou 2 VO 31 VD 15 PdC 85 RM 14 Vit 21 Mvp 8 Att 2 x tentacule +2</v>
      </c>
      <c r="L13" s="357">
        <v>13</v>
      </c>
      <c r="M13" s="852" t="s">
        <v>2649</v>
      </c>
    </row>
    <row r="14" spans="1:13" ht="12.75" customHeight="1" thickBot="1">
      <c r="A14" s="382" t="s">
        <v>1566</v>
      </c>
      <c r="B14" s="660">
        <v>20</v>
      </c>
      <c r="D14" s="357" t="str">
        <f>B5&amp;" "&amp;C5&amp;" "&amp;D5&amp;" "&amp;E5&amp;" "&amp;F5&amp;" Th"&amp;E22&amp;"-"&amp;F22&amp;"-"&amp;G22&amp;" / TJB"&amp;E23&amp;"-"&amp;F23&amp;"-"&amp;G23&amp;" / MP"&amp;E24&amp;"-"&amp;F24&amp;"-"&amp;G24</f>
        <v>Esq 25 Réa 11 Cha 53 Fui 35 CS 92 Th17-34-48 / TJB13-26-40 / MP9-17-31</v>
      </c>
      <c r="L14" s="357">
        <v>14</v>
      </c>
      <c r="M14" s="852" t="s">
        <v>2650</v>
      </c>
    </row>
    <row r="15" spans="1:13" ht="12.75" customHeight="1" thickBot="1">
      <c r="A15" s="383" t="s">
        <v>1567</v>
      </c>
      <c r="B15" s="660">
        <v>10</v>
      </c>
      <c r="L15" s="357">
        <v>15</v>
      </c>
      <c r="M15" s="852" t="s">
        <v>2651</v>
      </c>
    </row>
    <row r="16" spans="1:13" ht="12.75" customHeight="1" thickBot="1">
      <c r="A16" s="381" t="s">
        <v>1568</v>
      </c>
      <c r="B16" s="660">
        <v>5</v>
      </c>
      <c r="L16" s="357">
        <v>16</v>
      </c>
      <c r="M16" s="852" t="s">
        <v>2652</v>
      </c>
    </row>
    <row r="17" spans="1:13" ht="12.75" customHeight="1" thickBot="1">
      <c r="A17" s="382" t="s">
        <v>1569</v>
      </c>
      <c r="B17" s="660">
        <v>10</v>
      </c>
      <c r="L17" s="357">
        <v>17</v>
      </c>
      <c r="M17" s="852" t="s">
        <v>2653</v>
      </c>
    </row>
    <row r="18" spans="1:13" ht="12.75" customHeight="1" thickBot="1">
      <c r="A18" s="382" t="s">
        <v>1570</v>
      </c>
      <c r="B18" s="660">
        <v>5</v>
      </c>
      <c r="L18" s="357">
        <v>18</v>
      </c>
      <c r="M18" s="852" t="s">
        <v>2654</v>
      </c>
    </row>
    <row r="19" spans="1:13" ht="12.75" customHeight="1" thickBot="1">
      <c r="A19" s="383" t="s">
        <v>1571</v>
      </c>
      <c r="B19" s="660">
        <v>5</v>
      </c>
      <c r="L19" s="357">
        <v>19</v>
      </c>
      <c r="M19" s="852" t="s">
        <v>2655</v>
      </c>
    </row>
    <row r="20" spans="1:13" ht="12.75" customHeight="1" thickBot="1">
      <c r="A20" s="381" t="s">
        <v>1572</v>
      </c>
      <c r="B20" s="660">
        <v>100</v>
      </c>
      <c r="L20" s="357">
        <v>20</v>
      </c>
      <c r="M20" s="852" t="s">
        <v>2656</v>
      </c>
    </row>
    <row r="21" spans="1:13" ht="12.75" customHeight="1" thickBot="1">
      <c r="A21" s="383" t="s">
        <v>1573</v>
      </c>
      <c r="B21" s="660">
        <v>10</v>
      </c>
      <c r="L21" s="357">
        <v>21</v>
      </c>
      <c r="M21" s="852" t="s">
        <v>2657</v>
      </c>
    </row>
    <row r="22" spans="1:13" ht="12.75" customHeight="1" thickBot="1">
      <c r="A22" s="381" t="s">
        <v>1574</v>
      </c>
      <c r="B22" s="736">
        <v>3</v>
      </c>
      <c r="D22" s="357" t="s">
        <v>5227</v>
      </c>
      <c r="E22" s="357">
        <f>ROUND(A4*0.2,0)</f>
        <v>17</v>
      </c>
      <c r="F22" s="357">
        <f>ROUND(A4*0.4,0)</f>
        <v>34</v>
      </c>
      <c r="G22" s="357">
        <f>F22+ROUND((CON*3+EN*2+V)/40,0)+B28</f>
        <v>48</v>
      </c>
      <c r="L22" s="357">
        <v>22</v>
      </c>
      <c r="M22" s="852" t="s">
        <v>2658</v>
      </c>
    </row>
    <row r="23" spans="1:13" ht="12.75" customHeight="1" thickBot="1">
      <c r="A23" s="383" t="s">
        <v>1575</v>
      </c>
      <c r="B23" s="737">
        <v>5</v>
      </c>
      <c r="D23" s="357" t="s">
        <v>5228</v>
      </c>
      <c r="E23" s="357">
        <f>ROUND(A4*0.15,0)</f>
        <v>13</v>
      </c>
      <c r="F23" s="357">
        <f>ROUND(A4*0.3,0)</f>
        <v>26</v>
      </c>
      <c r="G23" s="357">
        <f>F23+ROUND((CON*3+EN*2+V)/40,0)+B28</f>
        <v>40</v>
      </c>
      <c r="L23" s="357">
        <v>23</v>
      </c>
      <c r="M23" s="852" t="s">
        <v>2659</v>
      </c>
    </row>
    <row r="24" spans="1:13" ht="12.75" customHeight="1" thickBot="1">
      <c r="A24" s="381" t="s">
        <v>1576</v>
      </c>
      <c r="B24" s="736">
        <v>0</v>
      </c>
      <c r="D24" s="357" t="s">
        <v>5229</v>
      </c>
      <c r="E24" s="357">
        <f>ROUND(A4*0.1,0)</f>
        <v>9</v>
      </c>
      <c r="F24" s="357">
        <f>ROUND(A4*0.2,0)</f>
        <v>17</v>
      </c>
      <c r="G24" s="357">
        <f>F24+ROUND((CON*3+EN*2+V)/40,0)+B28</f>
        <v>31</v>
      </c>
      <c r="L24" s="357">
        <v>24</v>
      </c>
      <c r="M24" s="852" t="s">
        <v>2660</v>
      </c>
    </row>
    <row r="25" spans="1:13" ht="12.75" customHeight="1" thickBot="1">
      <c r="A25" s="383" t="s">
        <v>1577</v>
      </c>
      <c r="B25" s="737">
        <v>0</v>
      </c>
      <c r="L25" s="357">
        <v>25</v>
      </c>
      <c r="M25" s="852" t="s">
        <v>2661</v>
      </c>
    </row>
    <row r="26" spans="1:13" ht="12.75" customHeight="1" thickBot="1">
      <c r="A26" s="384" t="s">
        <v>689</v>
      </c>
      <c r="B26" s="738">
        <v>7</v>
      </c>
      <c r="L26" s="357">
        <v>26</v>
      </c>
      <c r="M26" s="852" t="s">
        <v>2662</v>
      </c>
    </row>
    <row r="27" spans="1:13" ht="12.75" customHeight="1" thickBot="1">
      <c r="A27" s="385" t="s">
        <v>1578</v>
      </c>
      <c r="B27" s="385" t="s">
        <v>1579</v>
      </c>
      <c r="C27" s="385" t="s">
        <v>1580</v>
      </c>
      <c r="D27" s="385" t="s">
        <v>1581</v>
      </c>
      <c r="E27" s="385" t="s">
        <v>1582</v>
      </c>
      <c r="F27" s="385" t="s">
        <v>1583</v>
      </c>
      <c r="G27" s="385" t="s">
        <v>1584</v>
      </c>
      <c r="H27" s="385" t="s">
        <v>1585</v>
      </c>
      <c r="I27" s="385" t="s">
        <v>1586</v>
      </c>
      <c r="J27" s="385" t="s">
        <v>1587</v>
      </c>
      <c r="L27" s="357">
        <v>27</v>
      </c>
      <c r="M27" s="852" t="s">
        <v>2663</v>
      </c>
    </row>
    <row r="28" spans="1:13" ht="12.75" customHeight="1" thickBot="1">
      <c r="A28" s="739"/>
      <c r="B28" s="740"/>
      <c r="C28" s="740"/>
      <c r="D28" s="740"/>
      <c r="E28" s="740"/>
      <c r="F28" s="740"/>
      <c r="G28" s="740"/>
      <c r="H28" s="740"/>
      <c r="I28" s="740"/>
      <c r="J28" s="741"/>
      <c r="L28" s="357">
        <v>28</v>
      </c>
      <c r="M28" s="852" t="s">
        <v>2664</v>
      </c>
    </row>
    <row r="29" spans="1:13" ht="12.75" customHeight="1" thickBot="1">
      <c r="A29" s="385" t="s">
        <v>1588</v>
      </c>
      <c r="B29" s="385" t="s">
        <v>1589</v>
      </c>
      <c r="C29" s="385" t="s">
        <v>1590</v>
      </c>
      <c r="D29" s="385" t="s">
        <v>1591</v>
      </c>
      <c r="E29" s="385" t="s">
        <v>1592</v>
      </c>
      <c r="F29" s="385" t="s">
        <v>1593</v>
      </c>
      <c r="G29" s="385"/>
      <c r="H29" s="385" t="s">
        <v>697</v>
      </c>
      <c r="I29" s="385" t="s">
        <v>1594</v>
      </c>
      <c r="J29" s="385" t="s">
        <v>1595</v>
      </c>
      <c r="L29" s="357">
        <v>29</v>
      </c>
      <c r="M29" s="852" t="s">
        <v>2665</v>
      </c>
    </row>
    <row r="30" spans="1:13" ht="12.75" customHeight="1" thickBot="1">
      <c r="A30" s="739"/>
      <c r="B30" s="740"/>
      <c r="C30" s="740"/>
      <c r="D30" s="740"/>
      <c r="E30" s="740"/>
      <c r="F30" s="740"/>
      <c r="G30" s="740"/>
      <c r="H30" s="740"/>
      <c r="I30" s="740"/>
      <c r="J30" s="741"/>
      <c r="L30" s="357">
        <v>30</v>
      </c>
      <c r="M30" s="852" t="s">
        <v>2666</v>
      </c>
    </row>
    <row r="31" spans="1:13" ht="12.75" customHeight="1" thickBot="1">
      <c r="L31" s="357">
        <v>31</v>
      </c>
      <c r="M31" s="852" t="s">
        <v>2667</v>
      </c>
    </row>
    <row r="32" spans="1:13" ht="12.75" customHeight="1" thickBot="1">
      <c r="L32" s="357">
        <v>32</v>
      </c>
      <c r="M32" s="852" t="s">
        <v>2668</v>
      </c>
    </row>
    <row r="33" spans="12:13" ht="12.75" customHeight="1" thickBot="1">
      <c r="L33" s="357">
        <v>33</v>
      </c>
      <c r="M33" s="852" t="s">
        <v>2669</v>
      </c>
    </row>
    <row r="34" spans="12:13" ht="12.75" customHeight="1" thickBot="1">
      <c r="L34" s="357">
        <v>34</v>
      </c>
      <c r="M34" s="852" t="s">
        <v>2670</v>
      </c>
    </row>
    <row r="35" spans="12:13" ht="12.75" customHeight="1" thickBot="1">
      <c r="L35" s="357">
        <v>35</v>
      </c>
      <c r="M35" s="852" t="s">
        <v>2671</v>
      </c>
    </row>
    <row r="36" spans="12:13" ht="12.75" customHeight="1" thickBot="1">
      <c r="L36" s="357">
        <v>36</v>
      </c>
      <c r="M36" s="852" t="s">
        <v>2672</v>
      </c>
    </row>
    <row r="37" spans="12:13" ht="12.75" customHeight="1" thickBot="1">
      <c r="L37" s="357">
        <v>37</v>
      </c>
      <c r="M37" s="852" t="s">
        <v>2673</v>
      </c>
    </row>
    <row r="38" spans="12:13" ht="12.75" customHeight="1" thickBot="1">
      <c r="L38" s="357">
        <v>38</v>
      </c>
      <c r="M38" s="852" t="s">
        <v>2674</v>
      </c>
    </row>
    <row r="39" spans="12:13" ht="12.75" customHeight="1" thickBot="1">
      <c r="L39" s="357">
        <v>39</v>
      </c>
      <c r="M39" s="852" t="s">
        <v>2675</v>
      </c>
    </row>
    <row r="40" spans="12:13" ht="12.75" customHeight="1" thickBot="1">
      <c r="L40" s="357">
        <v>40</v>
      </c>
      <c r="M40" s="852" t="s">
        <v>2676</v>
      </c>
    </row>
    <row r="41" spans="12:13" ht="12.75" customHeight="1" thickBot="1">
      <c r="L41" s="357">
        <v>41</v>
      </c>
      <c r="M41" s="852" t="s">
        <v>2677</v>
      </c>
    </row>
    <row r="42" spans="12:13" ht="12.75" customHeight="1" thickBot="1">
      <c r="L42" s="357">
        <v>42</v>
      </c>
      <c r="M42" s="852" t="s">
        <v>2678</v>
      </c>
    </row>
    <row r="43" spans="12:13" ht="12.75" customHeight="1" thickBot="1">
      <c r="L43" s="357">
        <v>43</v>
      </c>
      <c r="M43" s="852" t="s">
        <v>2679</v>
      </c>
    </row>
    <row r="44" spans="12:13" ht="12.75" customHeight="1" thickBot="1">
      <c r="L44" s="357">
        <v>44</v>
      </c>
      <c r="M44" s="852" t="s">
        <v>2680</v>
      </c>
    </row>
    <row r="45" spans="12:13" ht="12.75" customHeight="1" thickBot="1">
      <c r="L45" s="357">
        <v>45</v>
      </c>
      <c r="M45" s="852" t="s">
        <v>2681</v>
      </c>
    </row>
    <row r="46" spans="12:13" ht="12.75" customHeight="1" thickBot="1">
      <c r="L46" s="357">
        <v>46</v>
      </c>
      <c r="M46" s="852" t="s">
        <v>2682</v>
      </c>
    </row>
    <row r="47" spans="12:13" ht="12.75" customHeight="1" thickBot="1">
      <c r="L47" s="357">
        <v>47</v>
      </c>
      <c r="M47" s="852" t="s">
        <v>2683</v>
      </c>
    </row>
    <row r="48" spans="12:13" ht="12.75" customHeight="1" thickBot="1">
      <c r="L48" s="357">
        <v>48</v>
      </c>
      <c r="M48" s="852" t="s">
        <v>2684</v>
      </c>
    </row>
    <row r="49" spans="12:13" ht="12.75" customHeight="1" thickBot="1">
      <c r="L49" s="357">
        <v>49</v>
      </c>
      <c r="M49" s="852" t="s">
        <v>2685</v>
      </c>
    </row>
    <row r="50" spans="12:13" ht="12.75" customHeight="1" thickBot="1">
      <c r="L50" s="357">
        <v>50</v>
      </c>
      <c r="M50" s="852" t="s">
        <v>2686</v>
      </c>
    </row>
    <row r="51" spans="12:13" ht="12.75" customHeight="1" thickBot="1">
      <c r="L51" s="357">
        <v>51</v>
      </c>
      <c r="M51" s="852" t="s">
        <v>2687</v>
      </c>
    </row>
    <row r="52" spans="12:13" ht="12.75" customHeight="1" thickBot="1">
      <c r="L52" s="357">
        <v>52</v>
      </c>
      <c r="M52" s="852" t="s">
        <v>2688</v>
      </c>
    </row>
    <row r="53" spans="12:13" ht="12.75" customHeight="1" thickBot="1">
      <c r="L53" s="357">
        <v>53</v>
      </c>
      <c r="M53" s="852" t="s">
        <v>2689</v>
      </c>
    </row>
    <row r="54" spans="12:13" ht="12.75" customHeight="1" thickBot="1">
      <c r="L54" s="357">
        <v>54</v>
      </c>
      <c r="M54" s="852" t="s">
        <v>2690</v>
      </c>
    </row>
    <row r="55" spans="12:13" ht="12.75" customHeight="1" thickBot="1">
      <c r="L55" s="357">
        <v>55</v>
      </c>
      <c r="M55" s="852" t="s">
        <v>2691</v>
      </c>
    </row>
    <row r="56" spans="12:13" ht="12.75" customHeight="1" thickBot="1">
      <c r="L56" s="357">
        <v>56</v>
      </c>
      <c r="M56" s="852" t="s">
        <v>2692</v>
      </c>
    </row>
    <row r="57" spans="12:13" ht="12.75" customHeight="1" thickBot="1">
      <c r="L57" s="357">
        <v>57</v>
      </c>
      <c r="M57" s="852" t="s">
        <v>2693</v>
      </c>
    </row>
    <row r="58" spans="12:13" ht="12.75" customHeight="1" thickBot="1">
      <c r="L58" s="357">
        <v>58</v>
      </c>
      <c r="M58" s="852" t="s">
        <v>2694</v>
      </c>
    </row>
    <row r="59" spans="12:13" ht="12.75" customHeight="1" thickBot="1">
      <c r="L59" s="357">
        <v>59</v>
      </c>
      <c r="M59" s="852" t="s">
        <v>2695</v>
      </c>
    </row>
    <row r="60" spans="12:13" ht="12.75" customHeight="1" thickBot="1">
      <c r="L60" s="357">
        <v>60</v>
      </c>
      <c r="M60" s="852" t="s">
        <v>2696</v>
      </c>
    </row>
    <row r="61" spans="12:13" ht="12.75" customHeight="1" thickBot="1">
      <c r="L61" s="357">
        <v>61</v>
      </c>
      <c r="M61" s="852" t="s">
        <v>2697</v>
      </c>
    </row>
    <row r="62" spans="12:13" ht="12.75" customHeight="1" thickBot="1">
      <c r="L62" s="357">
        <v>62</v>
      </c>
      <c r="M62" s="852" t="s">
        <v>2698</v>
      </c>
    </row>
    <row r="63" spans="12:13" ht="12.75" customHeight="1" thickBot="1">
      <c r="L63" s="357">
        <v>63</v>
      </c>
      <c r="M63" s="852" t="s">
        <v>2699</v>
      </c>
    </row>
    <row r="64" spans="12:13" ht="12.75" customHeight="1" thickBot="1">
      <c r="L64" s="357">
        <v>64</v>
      </c>
      <c r="M64" s="852" t="s">
        <v>2700</v>
      </c>
    </row>
    <row r="65" spans="12:13" ht="12.75" customHeight="1" thickBot="1">
      <c r="L65" s="357">
        <v>65</v>
      </c>
      <c r="M65" s="852" t="s">
        <v>2701</v>
      </c>
    </row>
    <row r="66" spans="12:13" ht="12.75" customHeight="1" thickBot="1">
      <c r="L66" s="357">
        <v>66</v>
      </c>
      <c r="M66" s="852" t="s">
        <v>2702</v>
      </c>
    </row>
    <row r="67" spans="12:13" ht="12.75" customHeight="1" thickBot="1">
      <c r="L67" s="357">
        <v>67</v>
      </c>
      <c r="M67" s="852" t="s">
        <v>2703</v>
      </c>
    </row>
    <row r="68" spans="12:13" ht="12.75" customHeight="1" thickBot="1">
      <c r="L68" s="357">
        <v>68</v>
      </c>
      <c r="M68" s="852" t="s">
        <v>2704</v>
      </c>
    </row>
    <row r="69" spans="12:13" ht="12.75" customHeight="1" thickBot="1">
      <c r="L69" s="357">
        <v>69</v>
      </c>
      <c r="M69" s="852" t="s">
        <v>2705</v>
      </c>
    </row>
    <row r="70" spans="12:13" ht="12.75" customHeight="1" thickBot="1">
      <c r="L70" s="357">
        <v>70</v>
      </c>
      <c r="M70" s="852" t="s">
        <v>2706</v>
      </c>
    </row>
    <row r="71" spans="12:13" ht="12.75" customHeight="1" thickBot="1">
      <c r="L71" s="357">
        <v>71</v>
      </c>
      <c r="M71" s="852" t="s">
        <v>2707</v>
      </c>
    </row>
    <row r="72" spans="12:13" ht="12.75" customHeight="1" thickBot="1">
      <c r="L72" s="357">
        <v>72</v>
      </c>
      <c r="M72" s="852" t="s">
        <v>2708</v>
      </c>
    </row>
    <row r="73" spans="12:13" ht="12.75" customHeight="1" thickBot="1">
      <c r="L73" s="357">
        <v>73</v>
      </c>
      <c r="M73" s="852" t="s">
        <v>2709</v>
      </c>
    </row>
    <row r="74" spans="12:13" ht="12.75" customHeight="1" thickBot="1">
      <c r="L74" s="357">
        <v>74</v>
      </c>
      <c r="M74" s="852" t="s">
        <v>2710</v>
      </c>
    </row>
    <row r="75" spans="12:13" ht="12.75" customHeight="1" thickBot="1">
      <c r="L75" s="357">
        <v>75</v>
      </c>
      <c r="M75" s="852" t="s">
        <v>2711</v>
      </c>
    </row>
    <row r="76" spans="12:13" ht="12.75" customHeight="1" thickBot="1">
      <c r="L76" s="357">
        <v>76</v>
      </c>
      <c r="M76" s="852" t="s">
        <v>2712</v>
      </c>
    </row>
    <row r="77" spans="12:13" ht="12.75" customHeight="1" thickBot="1">
      <c r="L77" s="357">
        <v>77</v>
      </c>
      <c r="M77" s="852" t="s">
        <v>2713</v>
      </c>
    </row>
    <row r="78" spans="12:13" ht="12.75" customHeight="1" thickBot="1">
      <c r="L78" s="357">
        <v>78</v>
      </c>
      <c r="M78" s="852" t="s">
        <v>2714</v>
      </c>
    </row>
    <row r="79" spans="12:13" ht="12.75" customHeight="1" thickBot="1">
      <c r="L79" s="357">
        <v>79</v>
      </c>
      <c r="M79" s="852" t="s">
        <v>2715</v>
      </c>
    </row>
    <row r="80" spans="12:13" ht="12.75" customHeight="1" thickBot="1">
      <c r="L80" s="357">
        <v>80</v>
      </c>
      <c r="M80" s="852" t="s">
        <v>2716</v>
      </c>
    </row>
    <row r="81" spans="12:13" ht="12.75" customHeight="1" thickBot="1">
      <c r="L81" s="357">
        <v>81</v>
      </c>
      <c r="M81" s="852" t="s">
        <v>2717</v>
      </c>
    </row>
    <row r="82" spans="12:13" ht="12.75" customHeight="1" thickBot="1">
      <c r="L82" s="357">
        <v>82</v>
      </c>
      <c r="M82" s="852" t="s">
        <v>2718</v>
      </c>
    </row>
    <row r="83" spans="12:13" ht="12.75" customHeight="1" thickBot="1">
      <c r="L83" s="357">
        <v>83</v>
      </c>
      <c r="M83" s="852" t="s">
        <v>2719</v>
      </c>
    </row>
    <row r="84" spans="12:13" ht="12.75" customHeight="1" thickBot="1">
      <c r="L84" s="357">
        <v>84</v>
      </c>
      <c r="M84" s="852" t="s">
        <v>2720</v>
      </c>
    </row>
    <row r="85" spans="12:13" ht="12.75" customHeight="1" thickBot="1">
      <c r="L85" s="357">
        <v>85</v>
      </c>
      <c r="M85" s="852" t="s">
        <v>2721</v>
      </c>
    </row>
    <row r="86" spans="12:13" ht="12.75" customHeight="1" thickBot="1">
      <c r="L86" s="357">
        <v>86</v>
      </c>
      <c r="M86" s="852" t="s">
        <v>2722</v>
      </c>
    </row>
    <row r="87" spans="12:13" ht="12.75" customHeight="1" thickBot="1">
      <c r="L87" s="357">
        <v>87</v>
      </c>
      <c r="M87" s="852" t="s">
        <v>2723</v>
      </c>
    </row>
    <row r="88" spans="12:13" ht="12.75" customHeight="1" thickBot="1">
      <c r="L88" s="357">
        <v>88</v>
      </c>
      <c r="M88" s="852" t="s">
        <v>2724</v>
      </c>
    </row>
    <row r="89" spans="12:13" ht="12.75" customHeight="1" thickBot="1">
      <c r="L89" s="357">
        <v>89</v>
      </c>
      <c r="M89" s="852" t="s">
        <v>2725</v>
      </c>
    </row>
    <row r="90" spans="12:13" ht="12.75" customHeight="1" thickBot="1">
      <c r="L90" s="357">
        <v>90</v>
      </c>
      <c r="M90" s="852" t="s">
        <v>2726</v>
      </c>
    </row>
    <row r="91" spans="12:13" ht="12.75" customHeight="1" thickBot="1">
      <c r="L91" s="357">
        <v>91</v>
      </c>
      <c r="M91" s="852" t="s">
        <v>2727</v>
      </c>
    </row>
    <row r="92" spans="12:13" ht="12.75" customHeight="1" thickBot="1">
      <c r="L92" s="357">
        <v>92</v>
      </c>
      <c r="M92" s="852" t="s">
        <v>2728</v>
      </c>
    </row>
    <row r="93" spans="12:13" ht="12.75" customHeight="1" thickBot="1">
      <c r="L93" s="357">
        <v>93</v>
      </c>
      <c r="M93" s="852" t="s">
        <v>2729</v>
      </c>
    </row>
    <row r="94" spans="12:13" ht="12.75" customHeight="1" thickBot="1">
      <c r="L94" s="357">
        <v>94</v>
      </c>
      <c r="M94" s="852" t="s">
        <v>2730</v>
      </c>
    </row>
    <row r="95" spans="12:13" ht="12.75" customHeight="1" thickBot="1">
      <c r="L95" s="357">
        <v>95</v>
      </c>
      <c r="M95" s="852" t="s">
        <v>2731</v>
      </c>
    </row>
    <row r="96" spans="12:13" ht="12.75" customHeight="1" thickBot="1">
      <c r="L96" s="357">
        <v>96</v>
      </c>
      <c r="M96" s="852" t="s">
        <v>2732</v>
      </c>
    </row>
    <row r="97" spans="12:13" ht="12.75" customHeight="1" thickBot="1">
      <c r="L97" s="357">
        <v>97</v>
      </c>
      <c r="M97" s="852" t="s">
        <v>2733</v>
      </c>
    </row>
    <row r="98" spans="12:13" ht="12.75" customHeight="1" thickBot="1">
      <c r="L98" s="357">
        <v>98</v>
      </c>
      <c r="M98" s="852" t="s">
        <v>2734</v>
      </c>
    </row>
    <row r="99" spans="12:13" ht="12.75" customHeight="1" thickBot="1">
      <c r="L99" s="357">
        <v>99</v>
      </c>
      <c r="M99" s="852" t="s">
        <v>2735</v>
      </c>
    </row>
    <row r="100" spans="12:13" ht="12.75" customHeight="1" thickBot="1">
      <c r="L100" s="357">
        <v>100</v>
      </c>
      <c r="M100" s="852" t="s">
        <v>2736</v>
      </c>
    </row>
    <row r="101" spans="12:13" ht="12.75" customHeight="1" thickBot="1">
      <c r="L101" s="357">
        <v>101</v>
      </c>
      <c r="M101" s="852" t="s">
        <v>2737</v>
      </c>
    </row>
    <row r="102" spans="12:13" ht="12.75" customHeight="1" thickBot="1">
      <c r="L102" s="357">
        <v>102</v>
      </c>
      <c r="M102" s="852" t="s">
        <v>2738</v>
      </c>
    </row>
    <row r="103" spans="12:13" ht="12.75" customHeight="1" thickBot="1">
      <c r="L103" s="357">
        <v>103</v>
      </c>
      <c r="M103" s="852" t="s">
        <v>2739</v>
      </c>
    </row>
    <row r="104" spans="12:13" ht="12.75" customHeight="1" thickBot="1">
      <c r="L104" s="357">
        <v>104</v>
      </c>
      <c r="M104" s="852" t="s">
        <v>2740</v>
      </c>
    </row>
    <row r="105" spans="12:13" ht="12.75" customHeight="1" thickBot="1">
      <c r="L105" s="357">
        <v>105</v>
      </c>
      <c r="M105" s="852" t="s">
        <v>2741</v>
      </c>
    </row>
    <row r="106" spans="12:13" ht="12.75" customHeight="1" thickBot="1">
      <c r="L106" s="357">
        <v>106</v>
      </c>
      <c r="M106" s="852" t="s">
        <v>2742</v>
      </c>
    </row>
    <row r="107" spans="12:13" ht="12.75" customHeight="1" thickBot="1">
      <c r="L107" s="357">
        <v>107</v>
      </c>
      <c r="M107" s="852" t="s">
        <v>2743</v>
      </c>
    </row>
    <row r="108" spans="12:13" ht="12.75" customHeight="1" thickBot="1">
      <c r="L108" s="357">
        <v>108</v>
      </c>
      <c r="M108" s="852" t="s">
        <v>2744</v>
      </c>
    </row>
    <row r="109" spans="12:13" ht="12.75" customHeight="1" thickBot="1">
      <c r="L109" s="357">
        <v>109</v>
      </c>
      <c r="M109" s="852" t="s">
        <v>2745</v>
      </c>
    </row>
    <row r="110" spans="12:13" ht="12.75" customHeight="1" thickBot="1">
      <c r="L110" s="357">
        <v>110</v>
      </c>
      <c r="M110" s="852" t="s">
        <v>2746</v>
      </c>
    </row>
    <row r="111" spans="12:13" ht="12.75" customHeight="1" thickBot="1">
      <c r="L111" s="357">
        <v>111</v>
      </c>
      <c r="M111" s="852" t="s">
        <v>2747</v>
      </c>
    </row>
    <row r="112" spans="12:13" ht="12.75" customHeight="1" thickBot="1">
      <c r="L112" s="357">
        <v>112</v>
      </c>
      <c r="M112" s="852" t="s">
        <v>2748</v>
      </c>
    </row>
    <row r="113" spans="12:13" ht="12.75" customHeight="1" thickBot="1">
      <c r="L113" s="357">
        <v>113</v>
      </c>
      <c r="M113" s="852" t="s">
        <v>2749</v>
      </c>
    </row>
    <row r="114" spans="12:13" ht="12.75" customHeight="1" thickBot="1">
      <c r="L114" s="357">
        <v>114</v>
      </c>
      <c r="M114" s="852" t="s">
        <v>2750</v>
      </c>
    </row>
    <row r="115" spans="12:13" ht="12.75" customHeight="1" thickBot="1">
      <c r="L115" s="357">
        <v>115</v>
      </c>
      <c r="M115" s="852" t="s">
        <v>2751</v>
      </c>
    </row>
    <row r="116" spans="12:13" ht="12.75" customHeight="1" thickBot="1">
      <c r="L116" s="357">
        <v>116</v>
      </c>
      <c r="M116" s="852" t="s">
        <v>2752</v>
      </c>
    </row>
    <row r="117" spans="12:13" ht="12.75" customHeight="1" thickBot="1">
      <c r="L117" s="357">
        <v>117</v>
      </c>
      <c r="M117" s="852" t="s">
        <v>2753</v>
      </c>
    </row>
    <row r="118" spans="12:13" ht="12.75" customHeight="1" thickBot="1">
      <c r="L118" s="357">
        <v>118</v>
      </c>
      <c r="M118" s="852" t="s">
        <v>2754</v>
      </c>
    </row>
    <row r="119" spans="12:13" ht="12.75" customHeight="1" thickBot="1">
      <c r="L119" s="357">
        <v>119</v>
      </c>
      <c r="M119" s="852" t="s">
        <v>2755</v>
      </c>
    </row>
    <row r="120" spans="12:13" ht="12.75" customHeight="1" thickBot="1">
      <c r="L120" s="357">
        <v>120</v>
      </c>
      <c r="M120" s="852" t="s">
        <v>2756</v>
      </c>
    </row>
    <row r="121" spans="12:13" ht="12.75" customHeight="1" thickBot="1">
      <c r="L121" s="357">
        <v>121</v>
      </c>
      <c r="M121" s="852" t="s">
        <v>2757</v>
      </c>
    </row>
    <row r="122" spans="12:13" ht="12.75" customHeight="1" thickBot="1">
      <c r="L122" s="357">
        <v>122</v>
      </c>
      <c r="M122" s="852" t="s">
        <v>2758</v>
      </c>
    </row>
    <row r="123" spans="12:13" ht="12.75" customHeight="1" thickBot="1">
      <c r="L123" s="357">
        <v>123</v>
      </c>
      <c r="M123" s="852" t="s">
        <v>2759</v>
      </c>
    </row>
    <row r="124" spans="12:13" ht="12.75" customHeight="1" thickBot="1">
      <c r="L124" s="357">
        <v>124</v>
      </c>
      <c r="M124" s="852" t="s">
        <v>2760</v>
      </c>
    </row>
    <row r="125" spans="12:13" ht="12.75" customHeight="1" thickBot="1">
      <c r="L125" s="357">
        <v>125</v>
      </c>
      <c r="M125" s="852" t="s">
        <v>2761</v>
      </c>
    </row>
    <row r="126" spans="12:13" ht="12.75" customHeight="1" thickBot="1">
      <c r="L126" s="357">
        <v>126</v>
      </c>
      <c r="M126" s="852" t="s">
        <v>2762</v>
      </c>
    </row>
    <row r="127" spans="12:13" ht="12.75" customHeight="1" thickBot="1">
      <c r="L127" s="357">
        <v>127</v>
      </c>
      <c r="M127" s="852" t="s">
        <v>2763</v>
      </c>
    </row>
    <row r="128" spans="12:13" ht="12.75" customHeight="1" thickBot="1">
      <c r="L128" s="357">
        <v>128</v>
      </c>
      <c r="M128" s="852" t="s">
        <v>2764</v>
      </c>
    </row>
    <row r="129" spans="12:13" ht="12.75" customHeight="1" thickBot="1">
      <c r="L129" s="357">
        <v>129</v>
      </c>
      <c r="M129" s="852" t="s">
        <v>2765</v>
      </c>
    </row>
    <row r="130" spans="12:13" ht="12.75" customHeight="1" thickBot="1">
      <c r="L130" s="357">
        <v>130</v>
      </c>
      <c r="M130" s="852" t="s">
        <v>2766</v>
      </c>
    </row>
    <row r="131" spans="12:13" ht="12.75" customHeight="1" thickBot="1">
      <c r="L131" s="357">
        <v>131</v>
      </c>
      <c r="M131" s="852" t="s">
        <v>2767</v>
      </c>
    </row>
    <row r="132" spans="12:13" ht="12.75" customHeight="1" thickBot="1">
      <c r="L132" s="357">
        <v>132</v>
      </c>
      <c r="M132" s="852" t="s">
        <v>2768</v>
      </c>
    </row>
    <row r="133" spans="12:13" ht="12.75" customHeight="1" thickBot="1">
      <c r="L133" s="357">
        <v>133</v>
      </c>
      <c r="M133" s="852" t="s">
        <v>2769</v>
      </c>
    </row>
    <row r="134" spans="12:13" ht="12.75" customHeight="1" thickBot="1">
      <c r="L134" s="357">
        <v>134</v>
      </c>
      <c r="M134" s="852" t="s">
        <v>2770</v>
      </c>
    </row>
    <row r="135" spans="12:13" ht="12.75" customHeight="1" thickBot="1">
      <c r="L135" s="357">
        <v>135</v>
      </c>
      <c r="M135" s="852" t="s">
        <v>2771</v>
      </c>
    </row>
    <row r="136" spans="12:13" ht="12.75" customHeight="1" thickBot="1">
      <c r="L136" s="357">
        <v>136</v>
      </c>
      <c r="M136" s="852" t="s">
        <v>2772</v>
      </c>
    </row>
    <row r="137" spans="12:13" ht="12.75" customHeight="1" thickBot="1">
      <c r="L137" s="357">
        <v>137</v>
      </c>
      <c r="M137" s="852" t="s">
        <v>2773</v>
      </c>
    </row>
    <row r="138" spans="12:13" ht="12.75" customHeight="1" thickBot="1">
      <c r="L138" s="357">
        <v>138</v>
      </c>
      <c r="M138" s="852" t="s">
        <v>2774</v>
      </c>
    </row>
    <row r="139" spans="12:13" ht="12.75" customHeight="1" thickBot="1">
      <c r="L139" s="357">
        <v>139</v>
      </c>
      <c r="M139" s="852" t="s">
        <v>2775</v>
      </c>
    </row>
    <row r="140" spans="12:13" ht="12.75" customHeight="1" thickBot="1">
      <c r="L140" s="357">
        <v>140</v>
      </c>
      <c r="M140" s="852" t="s">
        <v>2776</v>
      </c>
    </row>
    <row r="141" spans="12:13" ht="12.75" customHeight="1" thickBot="1">
      <c r="L141" s="357">
        <v>141</v>
      </c>
      <c r="M141" s="852" t="s">
        <v>2777</v>
      </c>
    </row>
    <row r="142" spans="12:13" ht="12.75" customHeight="1" thickBot="1">
      <c r="L142" s="357">
        <v>142</v>
      </c>
      <c r="M142" s="852" t="s">
        <v>2778</v>
      </c>
    </row>
    <row r="143" spans="12:13" ht="12.75" customHeight="1" thickBot="1">
      <c r="L143" s="357">
        <v>143</v>
      </c>
      <c r="M143" s="852" t="s">
        <v>2779</v>
      </c>
    </row>
    <row r="144" spans="12:13" ht="12.75" customHeight="1" thickBot="1">
      <c r="L144" s="357">
        <v>144</v>
      </c>
      <c r="M144" s="852" t="s">
        <v>2780</v>
      </c>
    </row>
    <row r="145" spans="12:13" ht="12.75" customHeight="1" thickBot="1">
      <c r="L145" s="357">
        <v>145</v>
      </c>
      <c r="M145" s="852" t="s">
        <v>2781</v>
      </c>
    </row>
    <row r="146" spans="12:13" ht="12.75" customHeight="1" thickBot="1">
      <c r="L146" s="357">
        <v>146</v>
      </c>
      <c r="M146" s="852" t="s">
        <v>2782</v>
      </c>
    </row>
    <row r="147" spans="12:13" ht="12.75" customHeight="1" thickBot="1">
      <c r="L147" s="357">
        <v>147</v>
      </c>
      <c r="M147" s="852" t="s">
        <v>2783</v>
      </c>
    </row>
    <row r="148" spans="12:13" ht="12.75" customHeight="1" thickBot="1">
      <c r="L148" s="357">
        <v>148</v>
      </c>
      <c r="M148" s="852" t="s">
        <v>2784</v>
      </c>
    </row>
    <row r="149" spans="12:13" ht="12.75" customHeight="1" thickBot="1">
      <c r="L149" s="357">
        <v>149</v>
      </c>
      <c r="M149" s="852" t="s">
        <v>2785</v>
      </c>
    </row>
    <row r="150" spans="12:13" ht="12.75" customHeight="1" thickBot="1">
      <c r="L150" s="357">
        <v>150</v>
      </c>
      <c r="M150" s="852" t="s">
        <v>2786</v>
      </c>
    </row>
    <row r="151" spans="12:13" ht="12.75" customHeight="1" thickBot="1">
      <c r="L151" s="357">
        <v>151</v>
      </c>
      <c r="M151" s="852" t="s">
        <v>2787</v>
      </c>
    </row>
    <row r="152" spans="12:13" ht="12.75" customHeight="1" thickBot="1">
      <c r="L152" s="357">
        <v>152</v>
      </c>
      <c r="M152" s="852" t="s">
        <v>2788</v>
      </c>
    </row>
    <row r="153" spans="12:13" ht="12.75" customHeight="1" thickBot="1">
      <c r="L153" s="357">
        <v>153</v>
      </c>
      <c r="M153" s="852" t="s">
        <v>2789</v>
      </c>
    </row>
    <row r="154" spans="12:13" ht="12.75" customHeight="1" thickBot="1">
      <c r="L154" s="357">
        <v>154</v>
      </c>
      <c r="M154" s="852" t="s">
        <v>2790</v>
      </c>
    </row>
    <row r="155" spans="12:13" ht="12.75" customHeight="1" thickBot="1">
      <c r="L155" s="357">
        <v>155</v>
      </c>
      <c r="M155" s="852" t="s">
        <v>2791</v>
      </c>
    </row>
    <row r="156" spans="12:13" ht="12.75" customHeight="1" thickBot="1">
      <c r="L156" s="357">
        <v>156</v>
      </c>
      <c r="M156" s="852" t="s">
        <v>2792</v>
      </c>
    </row>
    <row r="157" spans="12:13" ht="12.75" customHeight="1" thickBot="1">
      <c r="L157" s="357">
        <v>157</v>
      </c>
      <c r="M157" s="852" t="s">
        <v>2793</v>
      </c>
    </row>
    <row r="158" spans="12:13" ht="12.75" customHeight="1" thickBot="1">
      <c r="L158" s="357">
        <v>158</v>
      </c>
      <c r="M158" s="852" t="s">
        <v>2794</v>
      </c>
    </row>
    <row r="159" spans="12:13" ht="12.75" customHeight="1" thickBot="1">
      <c r="L159" s="357">
        <v>159</v>
      </c>
      <c r="M159" s="852" t="s">
        <v>2795</v>
      </c>
    </row>
    <row r="160" spans="12:13" ht="12.75" customHeight="1" thickBot="1">
      <c r="L160" s="357">
        <v>160</v>
      </c>
      <c r="M160" s="852" t="s">
        <v>2796</v>
      </c>
    </row>
    <row r="161" spans="12:13" ht="12.75" customHeight="1" thickBot="1">
      <c r="L161" s="357">
        <v>161</v>
      </c>
      <c r="M161" s="852" t="s">
        <v>2797</v>
      </c>
    </row>
    <row r="162" spans="12:13" ht="12.75" customHeight="1" thickBot="1">
      <c r="L162" s="357">
        <v>162</v>
      </c>
      <c r="M162" s="852" t="s">
        <v>2798</v>
      </c>
    </row>
    <row r="163" spans="12:13" ht="12.75" customHeight="1" thickBot="1">
      <c r="L163" s="357">
        <v>163</v>
      </c>
      <c r="M163" s="852" t="s">
        <v>2799</v>
      </c>
    </row>
    <row r="164" spans="12:13" ht="12.75" customHeight="1" thickBot="1">
      <c r="L164" s="357">
        <v>164</v>
      </c>
      <c r="M164" s="852" t="s">
        <v>2800</v>
      </c>
    </row>
    <row r="165" spans="12:13" ht="12.75" customHeight="1" thickBot="1">
      <c r="L165" s="357">
        <v>165</v>
      </c>
      <c r="M165" s="852" t="s">
        <v>2801</v>
      </c>
    </row>
    <row r="166" spans="12:13" ht="12.75" customHeight="1" thickBot="1">
      <c r="L166" s="357">
        <v>166</v>
      </c>
      <c r="M166" s="852" t="s">
        <v>2802</v>
      </c>
    </row>
    <row r="167" spans="12:13" ht="12.75" customHeight="1" thickBot="1">
      <c r="L167" s="357">
        <v>167</v>
      </c>
      <c r="M167" s="852" t="s">
        <v>2803</v>
      </c>
    </row>
    <row r="168" spans="12:13" ht="12.75" customHeight="1" thickBot="1">
      <c r="L168" s="357">
        <v>168</v>
      </c>
      <c r="M168" s="852" t="s">
        <v>2804</v>
      </c>
    </row>
    <row r="169" spans="12:13" ht="12.75" customHeight="1" thickBot="1">
      <c r="L169" s="357">
        <v>169</v>
      </c>
      <c r="M169" s="852" t="s">
        <v>2805</v>
      </c>
    </row>
    <row r="170" spans="12:13" ht="12.75" customHeight="1" thickBot="1">
      <c r="L170" s="357">
        <v>170</v>
      </c>
      <c r="M170" s="852" t="s">
        <v>2806</v>
      </c>
    </row>
    <row r="171" spans="12:13" ht="12.75" customHeight="1" thickBot="1">
      <c r="L171" s="357">
        <v>171</v>
      </c>
      <c r="M171" s="852" t="s">
        <v>2807</v>
      </c>
    </row>
    <row r="172" spans="12:13" ht="12.75" customHeight="1" thickBot="1">
      <c r="L172" s="357">
        <v>172</v>
      </c>
      <c r="M172" s="852" t="s">
        <v>2808</v>
      </c>
    </row>
    <row r="173" spans="12:13" ht="12.75" customHeight="1" thickBot="1">
      <c r="L173" s="357">
        <v>173</v>
      </c>
      <c r="M173" s="852" t="s">
        <v>2809</v>
      </c>
    </row>
    <row r="174" spans="12:13" ht="12.75" customHeight="1" thickBot="1">
      <c r="L174" s="357">
        <v>174</v>
      </c>
      <c r="M174" s="852" t="s">
        <v>2810</v>
      </c>
    </row>
    <row r="175" spans="12:13" ht="12.75" customHeight="1" thickBot="1">
      <c r="L175" s="357">
        <v>175</v>
      </c>
      <c r="M175" s="852" t="s">
        <v>2811</v>
      </c>
    </row>
    <row r="176" spans="12:13" ht="12.75" customHeight="1" thickBot="1">
      <c r="L176" s="357">
        <v>176</v>
      </c>
      <c r="M176" s="852" t="s">
        <v>2812</v>
      </c>
    </row>
    <row r="177" spans="12:13" ht="12.75" customHeight="1" thickBot="1">
      <c r="L177" s="357">
        <v>177</v>
      </c>
      <c r="M177" s="852" t="s">
        <v>2813</v>
      </c>
    </row>
    <row r="178" spans="12:13" ht="12.75" customHeight="1" thickBot="1">
      <c r="L178" s="357">
        <v>178</v>
      </c>
      <c r="M178" s="852" t="s">
        <v>2814</v>
      </c>
    </row>
    <row r="179" spans="12:13" ht="12.75" customHeight="1" thickBot="1">
      <c r="L179" s="357">
        <v>179</v>
      </c>
      <c r="M179" s="852" t="s">
        <v>2815</v>
      </c>
    </row>
    <row r="180" spans="12:13" ht="12.75" customHeight="1" thickBot="1">
      <c r="L180" s="357">
        <v>180</v>
      </c>
      <c r="M180" s="852" t="s">
        <v>2816</v>
      </c>
    </row>
    <row r="181" spans="12:13" ht="12.75" customHeight="1" thickBot="1">
      <c r="L181" s="357">
        <v>181</v>
      </c>
      <c r="M181" s="852" t="s">
        <v>2817</v>
      </c>
    </row>
    <row r="182" spans="12:13" ht="12.75" customHeight="1" thickBot="1">
      <c r="L182" s="357">
        <v>182</v>
      </c>
      <c r="M182" s="852" t="s">
        <v>2818</v>
      </c>
    </row>
    <row r="183" spans="12:13" ht="12.75" customHeight="1" thickBot="1">
      <c r="L183" s="357">
        <v>183</v>
      </c>
      <c r="M183" s="852" t="s">
        <v>2819</v>
      </c>
    </row>
    <row r="184" spans="12:13" ht="12.75" customHeight="1" thickBot="1">
      <c r="L184" s="357">
        <v>184</v>
      </c>
      <c r="M184" s="852" t="s">
        <v>2820</v>
      </c>
    </row>
    <row r="185" spans="12:13" ht="12.75" customHeight="1" thickBot="1">
      <c r="L185" s="357">
        <v>185</v>
      </c>
      <c r="M185" s="852" t="s">
        <v>2821</v>
      </c>
    </row>
    <row r="186" spans="12:13" ht="12.75" customHeight="1" thickBot="1">
      <c r="L186" s="357">
        <v>186</v>
      </c>
      <c r="M186" s="852" t="s">
        <v>2822</v>
      </c>
    </row>
    <row r="187" spans="12:13" ht="12.75" customHeight="1" thickBot="1">
      <c r="L187" s="357">
        <v>187</v>
      </c>
      <c r="M187" s="852" t="s">
        <v>2823</v>
      </c>
    </row>
    <row r="188" spans="12:13" ht="12.75" customHeight="1" thickBot="1">
      <c r="L188" s="357">
        <v>188</v>
      </c>
      <c r="M188" s="852" t="s">
        <v>2824</v>
      </c>
    </row>
    <row r="189" spans="12:13" ht="12.75" customHeight="1" thickBot="1">
      <c r="L189" s="357">
        <v>189</v>
      </c>
      <c r="M189" s="852" t="s">
        <v>2825</v>
      </c>
    </row>
    <row r="190" spans="12:13" ht="12.75" customHeight="1" thickBot="1">
      <c r="L190" s="357">
        <v>190</v>
      </c>
      <c r="M190" s="852" t="s">
        <v>2826</v>
      </c>
    </row>
    <row r="191" spans="12:13" ht="12.75" customHeight="1" thickBot="1">
      <c r="L191" s="357">
        <v>191</v>
      </c>
      <c r="M191" s="852" t="s">
        <v>2827</v>
      </c>
    </row>
    <row r="192" spans="12:13" ht="12.75" customHeight="1" thickBot="1">
      <c r="L192" s="357">
        <v>192</v>
      </c>
      <c r="M192" s="852" t="s">
        <v>2828</v>
      </c>
    </row>
    <row r="193" spans="12:13" ht="12.75" customHeight="1" thickBot="1">
      <c r="L193" s="357">
        <v>193</v>
      </c>
      <c r="M193" s="852" t="s">
        <v>2829</v>
      </c>
    </row>
    <row r="194" spans="12:13" ht="12.75" customHeight="1" thickBot="1">
      <c r="L194" s="357">
        <v>194</v>
      </c>
      <c r="M194" s="852" t="s">
        <v>2830</v>
      </c>
    </row>
    <row r="195" spans="12:13" ht="12.75" customHeight="1" thickBot="1">
      <c r="L195" s="357">
        <v>195</v>
      </c>
      <c r="M195" s="852" t="s">
        <v>2831</v>
      </c>
    </row>
    <row r="196" spans="12:13" ht="12.75" customHeight="1" thickBot="1">
      <c r="L196" s="357">
        <v>196</v>
      </c>
      <c r="M196" s="852" t="s">
        <v>2832</v>
      </c>
    </row>
    <row r="197" spans="12:13" ht="12.75" customHeight="1" thickBot="1">
      <c r="L197" s="357">
        <v>197</v>
      </c>
      <c r="M197" s="852" t="s">
        <v>2833</v>
      </c>
    </row>
    <row r="198" spans="12:13" ht="12.75" customHeight="1" thickBot="1">
      <c r="L198" s="357">
        <v>198</v>
      </c>
      <c r="M198" s="852" t="s">
        <v>2834</v>
      </c>
    </row>
    <row r="199" spans="12:13" ht="12.75" customHeight="1" thickBot="1">
      <c r="L199" s="357">
        <v>199</v>
      </c>
      <c r="M199" s="852" t="s">
        <v>2835</v>
      </c>
    </row>
    <row r="200" spans="12:13" ht="12.75" customHeight="1" thickBot="1">
      <c r="L200" s="357">
        <v>200</v>
      </c>
      <c r="M200" s="852" t="s">
        <v>2836</v>
      </c>
    </row>
    <row r="201" spans="12:13" ht="12.75" customHeight="1" thickBot="1">
      <c r="L201" s="357">
        <v>201</v>
      </c>
      <c r="M201" s="852" t="s">
        <v>2837</v>
      </c>
    </row>
    <row r="202" spans="12:13" ht="12.75" customHeight="1" thickBot="1">
      <c r="L202" s="357">
        <v>202</v>
      </c>
      <c r="M202" s="852" t="s">
        <v>2838</v>
      </c>
    </row>
    <row r="203" spans="12:13" ht="12.75" customHeight="1" thickBot="1">
      <c r="L203" s="357">
        <v>203</v>
      </c>
      <c r="M203" s="852" t="s">
        <v>2839</v>
      </c>
    </row>
    <row r="204" spans="12:13" ht="12.75" customHeight="1" thickBot="1">
      <c r="L204" s="357">
        <v>204</v>
      </c>
      <c r="M204" s="852" t="s">
        <v>2840</v>
      </c>
    </row>
    <row r="205" spans="12:13" ht="12.75" customHeight="1" thickBot="1">
      <c r="L205" s="357">
        <v>205</v>
      </c>
      <c r="M205" s="852" t="s">
        <v>2841</v>
      </c>
    </row>
    <row r="206" spans="12:13" ht="12.75" customHeight="1" thickBot="1">
      <c r="L206" s="357">
        <v>206</v>
      </c>
      <c r="M206" s="852" t="s">
        <v>2842</v>
      </c>
    </row>
    <row r="207" spans="12:13" ht="12.75" customHeight="1" thickBot="1">
      <c r="L207" s="357">
        <v>207</v>
      </c>
      <c r="M207" s="852" t="s">
        <v>2843</v>
      </c>
    </row>
    <row r="208" spans="12:13" ht="12.75" customHeight="1" thickBot="1">
      <c r="L208" s="357">
        <v>208</v>
      </c>
      <c r="M208" s="852" t="s">
        <v>2844</v>
      </c>
    </row>
    <row r="209" spans="12:13" ht="12.75" customHeight="1" thickBot="1">
      <c r="L209" s="357">
        <v>209</v>
      </c>
      <c r="M209" s="852" t="s">
        <v>2845</v>
      </c>
    </row>
    <row r="210" spans="12:13" ht="12.75" customHeight="1" thickBot="1">
      <c r="L210" s="357">
        <v>210</v>
      </c>
      <c r="M210" s="852" t="s">
        <v>2846</v>
      </c>
    </row>
    <row r="211" spans="12:13" ht="12.75" customHeight="1" thickBot="1">
      <c r="L211" s="357">
        <v>211</v>
      </c>
      <c r="M211" s="852" t="s">
        <v>2847</v>
      </c>
    </row>
    <row r="212" spans="12:13" ht="12.75" customHeight="1" thickBot="1">
      <c r="L212" s="357">
        <v>212</v>
      </c>
      <c r="M212" s="852" t="s">
        <v>2848</v>
      </c>
    </row>
    <row r="213" spans="12:13" ht="12.75" customHeight="1" thickBot="1">
      <c r="L213" s="357">
        <v>213</v>
      </c>
      <c r="M213" s="852" t="s">
        <v>2849</v>
      </c>
    </row>
    <row r="214" spans="12:13" ht="12.75" customHeight="1" thickBot="1">
      <c r="L214" s="357">
        <v>214</v>
      </c>
      <c r="M214" s="852" t="s">
        <v>2850</v>
      </c>
    </row>
    <row r="215" spans="12:13" ht="12.75" customHeight="1" thickBot="1">
      <c r="L215" s="357">
        <v>215</v>
      </c>
      <c r="M215" s="852" t="s">
        <v>2851</v>
      </c>
    </row>
    <row r="216" spans="12:13" ht="12.75" customHeight="1" thickBot="1">
      <c r="L216" s="357">
        <v>216</v>
      </c>
      <c r="M216" s="852" t="s">
        <v>2852</v>
      </c>
    </row>
    <row r="217" spans="12:13" ht="12.75" customHeight="1" thickBot="1">
      <c r="L217" s="357">
        <v>217</v>
      </c>
      <c r="M217" s="852" t="s">
        <v>2853</v>
      </c>
    </row>
    <row r="218" spans="12:13" ht="12.75" customHeight="1" thickBot="1">
      <c r="L218" s="357">
        <v>218</v>
      </c>
      <c r="M218" s="852" t="s">
        <v>2854</v>
      </c>
    </row>
    <row r="219" spans="12:13" ht="12.75" customHeight="1" thickBot="1">
      <c r="L219" s="357">
        <v>219</v>
      </c>
      <c r="M219" s="852" t="s">
        <v>2855</v>
      </c>
    </row>
    <row r="220" spans="12:13" ht="12.75" customHeight="1" thickBot="1">
      <c r="L220" s="357">
        <v>220</v>
      </c>
      <c r="M220" s="852" t="s">
        <v>2856</v>
      </c>
    </row>
    <row r="221" spans="12:13" ht="12.75" customHeight="1" thickBot="1">
      <c r="L221" s="357">
        <v>221</v>
      </c>
      <c r="M221" s="852" t="s">
        <v>2857</v>
      </c>
    </row>
    <row r="222" spans="12:13" ht="12.75" customHeight="1" thickBot="1">
      <c r="L222" s="357">
        <v>222</v>
      </c>
      <c r="M222" s="852" t="s">
        <v>2858</v>
      </c>
    </row>
    <row r="223" spans="12:13" ht="12.75" customHeight="1" thickBot="1">
      <c r="L223" s="357">
        <v>223</v>
      </c>
      <c r="M223" s="852" t="s">
        <v>2859</v>
      </c>
    </row>
    <row r="224" spans="12:13" ht="12.75" customHeight="1" thickBot="1">
      <c r="L224" s="357">
        <v>224</v>
      </c>
      <c r="M224" s="852" t="s">
        <v>2860</v>
      </c>
    </row>
    <row r="225" spans="12:13" ht="12.75" customHeight="1" thickBot="1">
      <c r="L225" s="357">
        <v>225</v>
      </c>
      <c r="M225" s="852" t="s">
        <v>2861</v>
      </c>
    </row>
    <row r="226" spans="12:13" ht="12.75" customHeight="1" thickBot="1">
      <c r="L226" s="357">
        <v>226</v>
      </c>
      <c r="M226" s="852" t="s">
        <v>2862</v>
      </c>
    </row>
    <row r="227" spans="12:13" ht="12.75" customHeight="1" thickBot="1">
      <c r="L227" s="357">
        <v>227</v>
      </c>
      <c r="M227" s="852" t="s">
        <v>2863</v>
      </c>
    </row>
    <row r="228" spans="12:13" ht="12.75" customHeight="1" thickBot="1">
      <c r="L228" s="357">
        <v>228</v>
      </c>
      <c r="M228" s="852" t="s">
        <v>2864</v>
      </c>
    </row>
    <row r="229" spans="12:13" ht="12.75" customHeight="1" thickBot="1">
      <c r="L229" s="357">
        <v>229</v>
      </c>
      <c r="M229" s="852" t="s">
        <v>2865</v>
      </c>
    </row>
    <row r="230" spans="12:13" ht="12.75" customHeight="1" thickBot="1">
      <c r="L230" s="357">
        <v>230</v>
      </c>
      <c r="M230" s="852" t="s">
        <v>2866</v>
      </c>
    </row>
    <row r="231" spans="12:13" ht="12.75" customHeight="1" thickBot="1">
      <c r="L231" s="357">
        <v>231</v>
      </c>
      <c r="M231" s="852" t="s">
        <v>2867</v>
      </c>
    </row>
    <row r="232" spans="12:13" ht="12.75" customHeight="1" thickBot="1">
      <c r="L232" s="357">
        <v>232</v>
      </c>
      <c r="M232" s="852" t="s">
        <v>2868</v>
      </c>
    </row>
    <row r="233" spans="12:13" ht="12.75" customHeight="1" thickBot="1">
      <c r="L233" s="357">
        <v>233</v>
      </c>
      <c r="M233" s="852" t="s">
        <v>2869</v>
      </c>
    </row>
    <row r="234" spans="12:13" ht="12.75" customHeight="1" thickBot="1">
      <c r="L234" s="357">
        <v>234</v>
      </c>
      <c r="M234" s="852" t="s">
        <v>2870</v>
      </c>
    </row>
    <row r="235" spans="12:13" ht="12.75" customHeight="1" thickBot="1">
      <c r="L235" s="357">
        <v>235</v>
      </c>
      <c r="M235" s="852" t="s">
        <v>2871</v>
      </c>
    </row>
    <row r="236" spans="12:13" ht="12.75" customHeight="1" thickBot="1">
      <c r="L236" s="357">
        <v>236</v>
      </c>
      <c r="M236" s="852" t="s">
        <v>2872</v>
      </c>
    </row>
    <row r="237" spans="12:13" ht="12.75" customHeight="1" thickBot="1">
      <c r="L237" s="357">
        <v>237</v>
      </c>
      <c r="M237" s="852" t="s">
        <v>2873</v>
      </c>
    </row>
    <row r="238" spans="12:13" ht="12.75" customHeight="1" thickBot="1">
      <c r="L238" s="357">
        <v>238</v>
      </c>
      <c r="M238" s="852" t="s">
        <v>2874</v>
      </c>
    </row>
    <row r="239" spans="12:13" ht="12.75" customHeight="1" thickBot="1">
      <c r="L239" s="357">
        <v>239</v>
      </c>
      <c r="M239" s="852" t="s">
        <v>2875</v>
      </c>
    </row>
    <row r="240" spans="12:13" ht="12.75" customHeight="1" thickBot="1">
      <c r="L240" s="357">
        <v>240</v>
      </c>
      <c r="M240" s="852" t="s">
        <v>2876</v>
      </c>
    </row>
    <row r="241" spans="12:13" ht="12.75" customHeight="1" thickBot="1">
      <c r="L241" s="357">
        <v>241</v>
      </c>
      <c r="M241" s="852" t="s">
        <v>2877</v>
      </c>
    </row>
    <row r="242" spans="12:13" ht="12.75" customHeight="1" thickBot="1">
      <c r="L242" s="357">
        <v>242</v>
      </c>
      <c r="M242" s="852" t="s">
        <v>2878</v>
      </c>
    </row>
    <row r="243" spans="12:13" ht="12.75" customHeight="1" thickBot="1">
      <c r="L243" s="357">
        <v>243</v>
      </c>
      <c r="M243" s="852" t="s">
        <v>2879</v>
      </c>
    </row>
    <row r="244" spans="12:13" ht="12.75" customHeight="1" thickBot="1">
      <c r="L244" s="357">
        <v>244</v>
      </c>
      <c r="M244" s="852" t="s">
        <v>2880</v>
      </c>
    </row>
    <row r="245" spans="12:13" ht="12.75" customHeight="1" thickBot="1">
      <c r="L245" s="357">
        <v>245</v>
      </c>
      <c r="M245" s="852" t="s">
        <v>2881</v>
      </c>
    </row>
    <row r="246" spans="12:13" ht="12.75" customHeight="1" thickBot="1">
      <c r="L246" s="357">
        <v>246</v>
      </c>
      <c r="M246" s="852" t="s">
        <v>2882</v>
      </c>
    </row>
    <row r="247" spans="12:13" ht="12.75" customHeight="1" thickBot="1">
      <c r="L247" s="357">
        <v>247</v>
      </c>
      <c r="M247" s="852" t="s">
        <v>2883</v>
      </c>
    </row>
    <row r="248" spans="12:13" ht="12.75" customHeight="1" thickBot="1">
      <c r="L248" s="357">
        <v>248</v>
      </c>
      <c r="M248" s="852" t="s">
        <v>2884</v>
      </c>
    </row>
    <row r="249" spans="12:13" ht="12.75" customHeight="1" thickBot="1">
      <c r="L249" s="357">
        <v>249</v>
      </c>
      <c r="M249" s="852" t="s">
        <v>2885</v>
      </c>
    </row>
    <row r="250" spans="12:13" ht="12.75" customHeight="1" thickBot="1">
      <c r="L250" s="357">
        <v>250</v>
      </c>
      <c r="M250" s="852" t="s">
        <v>2886</v>
      </c>
    </row>
    <row r="251" spans="12:13" ht="12.75" customHeight="1" thickBot="1">
      <c r="L251" s="357">
        <v>251</v>
      </c>
      <c r="M251" s="852" t="s">
        <v>2887</v>
      </c>
    </row>
    <row r="252" spans="12:13" ht="12.75" customHeight="1" thickBot="1">
      <c r="L252" s="357">
        <v>252</v>
      </c>
      <c r="M252" s="852" t="s">
        <v>2888</v>
      </c>
    </row>
    <row r="253" spans="12:13" ht="12.75" customHeight="1" thickBot="1">
      <c r="L253" s="357">
        <v>253</v>
      </c>
      <c r="M253" s="852" t="s">
        <v>2889</v>
      </c>
    </row>
    <row r="254" spans="12:13" ht="12.75" customHeight="1" thickBot="1">
      <c r="L254" s="357">
        <v>254</v>
      </c>
      <c r="M254" s="852" t="s">
        <v>2890</v>
      </c>
    </row>
    <row r="255" spans="12:13" ht="12.75" customHeight="1" thickBot="1">
      <c r="L255" s="357">
        <v>255</v>
      </c>
      <c r="M255" s="852" t="s">
        <v>2891</v>
      </c>
    </row>
    <row r="256" spans="12:13" ht="12.75" customHeight="1" thickBot="1">
      <c r="L256" s="357">
        <v>256</v>
      </c>
      <c r="M256" s="852" t="s">
        <v>2892</v>
      </c>
    </row>
    <row r="257" spans="12:13" ht="12.75" customHeight="1" thickBot="1">
      <c r="L257" s="357">
        <v>257</v>
      </c>
      <c r="M257" s="852" t="s">
        <v>2893</v>
      </c>
    </row>
    <row r="258" spans="12:13" ht="12.75" customHeight="1" thickBot="1">
      <c r="L258" s="357">
        <v>258</v>
      </c>
      <c r="M258" s="852" t="s">
        <v>2894</v>
      </c>
    </row>
    <row r="259" spans="12:13" ht="12.75" customHeight="1" thickBot="1">
      <c r="L259" s="357">
        <v>259</v>
      </c>
      <c r="M259" s="852" t="s">
        <v>2895</v>
      </c>
    </row>
    <row r="260" spans="12:13" ht="12.75" customHeight="1" thickBot="1">
      <c r="L260" s="357">
        <v>260</v>
      </c>
      <c r="M260" s="852" t="s">
        <v>2896</v>
      </c>
    </row>
    <row r="261" spans="12:13" ht="12.75" customHeight="1" thickBot="1">
      <c r="L261" s="357">
        <v>261</v>
      </c>
      <c r="M261" s="852" t="s">
        <v>2897</v>
      </c>
    </row>
    <row r="262" spans="12:13" ht="12.75" customHeight="1" thickBot="1">
      <c r="L262" s="357">
        <v>262</v>
      </c>
      <c r="M262" s="852" t="s">
        <v>2898</v>
      </c>
    </row>
    <row r="263" spans="12:13" ht="12.75" customHeight="1" thickBot="1">
      <c r="L263" s="357">
        <v>263</v>
      </c>
      <c r="M263" s="852" t="s">
        <v>2899</v>
      </c>
    </row>
    <row r="264" spans="12:13" ht="12.75" customHeight="1" thickBot="1">
      <c r="L264" s="357">
        <v>264</v>
      </c>
      <c r="M264" s="852" t="s">
        <v>2900</v>
      </c>
    </row>
    <row r="265" spans="12:13" ht="12.75" customHeight="1" thickBot="1">
      <c r="L265" s="357">
        <v>265</v>
      </c>
      <c r="M265" s="852" t="s">
        <v>2901</v>
      </c>
    </row>
    <row r="266" spans="12:13" ht="12.75" customHeight="1" thickBot="1">
      <c r="L266" s="357">
        <v>266</v>
      </c>
      <c r="M266" s="852" t="s">
        <v>2902</v>
      </c>
    </row>
    <row r="267" spans="12:13" ht="12.75" customHeight="1" thickBot="1">
      <c r="L267" s="357">
        <v>267</v>
      </c>
      <c r="M267" s="852" t="s">
        <v>2903</v>
      </c>
    </row>
    <row r="268" spans="12:13" ht="12.75" customHeight="1" thickBot="1">
      <c r="L268" s="357">
        <v>268</v>
      </c>
      <c r="M268" s="852" t="s">
        <v>2904</v>
      </c>
    </row>
    <row r="269" spans="12:13" ht="12.75" customHeight="1" thickBot="1">
      <c r="L269" s="357">
        <v>269</v>
      </c>
      <c r="M269" s="852" t="s">
        <v>2905</v>
      </c>
    </row>
    <row r="270" spans="12:13" ht="12.75" customHeight="1" thickBot="1">
      <c r="L270" s="357">
        <v>270</v>
      </c>
      <c r="M270" s="852" t="s">
        <v>2906</v>
      </c>
    </row>
    <row r="271" spans="12:13" ht="12.75" customHeight="1" thickBot="1">
      <c r="L271" s="357">
        <v>271</v>
      </c>
      <c r="M271" s="852" t="s">
        <v>2907</v>
      </c>
    </row>
    <row r="272" spans="12:13" ht="12.75" customHeight="1" thickBot="1">
      <c r="L272" s="357">
        <v>272</v>
      </c>
      <c r="M272" s="852" t="s">
        <v>2908</v>
      </c>
    </row>
    <row r="273" spans="12:13" ht="12.75" customHeight="1" thickBot="1">
      <c r="L273" s="357">
        <v>273</v>
      </c>
      <c r="M273" s="852" t="s">
        <v>2909</v>
      </c>
    </row>
    <row r="274" spans="12:13" ht="12.75" customHeight="1" thickBot="1">
      <c r="L274" s="357">
        <v>274</v>
      </c>
      <c r="M274" s="852" t="s">
        <v>2910</v>
      </c>
    </row>
    <row r="275" spans="12:13" ht="12.75" customHeight="1" thickBot="1">
      <c r="L275" s="357">
        <v>275</v>
      </c>
      <c r="M275" s="852" t="s">
        <v>2911</v>
      </c>
    </row>
    <row r="276" spans="12:13" ht="12.75" customHeight="1" thickBot="1">
      <c r="L276" s="357">
        <v>276</v>
      </c>
      <c r="M276" s="852" t="s">
        <v>2912</v>
      </c>
    </row>
    <row r="277" spans="12:13" ht="12.75" customHeight="1" thickBot="1">
      <c r="L277" s="357">
        <v>277</v>
      </c>
      <c r="M277" s="852" t="s">
        <v>2913</v>
      </c>
    </row>
    <row r="278" spans="12:13" ht="12.75" customHeight="1" thickBot="1">
      <c r="L278" s="357">
        <v>278</v>
      </c>
      <c r="M278" s="852" t="s">
        <v>2914</v>
      </c>
    </row>
    <row r="279" spans="12:13" ht="12.75" customHeight="1" thickBot="1">
      <c r="L279" s="357">
        <v>279</v>
      </c>
      <c r="M279" s="852" t="s">
        <v>2915</v>
      </c>
    </row>
    <row r="280" spans="12:13" ht="12.75" customHeight="1" thickBot="1">
      <c r="L280" s="357">
        <v>280</v>
      </c>
      <c r="M280" s="852" t="s">
        <v>2916</v>
      </c>
    </row>
    <row r="281" spans="12:13" ht="12.75" customHeight="1" thickBot="1">
      <c r="L281" s="357">
        <v>281</v>
      </c>
      <c r="M281" s="852" t="s">
        <v>2917</v>
      </c>
    </row>
    <row r="282" spans="12:13" ht="12.75" customHeight="1" thickBot="1">
      <c r="L282" s="357">
        <v>282</v>
      </c>
      <c r="M282" s="852" t="s">
        <v>2918</v>
      </c>
    </row>
    <row r="283" spans="12:13" ht="12.75" customHeight="1" thickBot="1">
      <c r="L283" s="357">
        <v>283</v>
      </c>
      <c r="M283" s="852" t="s">
        <v>2919</v>
      </c>
    </row>
    <row r="284" spans="12:13" ht="12.75" customHeight="1" thickBot="1">
      <c r="L284" s="357">
        <v>284</v>
      </c>
      <c r="M284" s="852" t="s">
        <v>2920</v>
      </c>
    </row>
    <row r="285" spans="12:13" ht="12.75" customHeight="1" thickBot="1">
      <c r="L285" s="357">
        <v>285</v>
      </c>
      <c r="M285" s="852" t="s">
        <v>2921</v>
      </c>
    </row>
    <row r="286" spans="12:13" ht="12.75" customHeight="1" thickBot="1">
      <c r="L286" s="357">
        <v>286</v>
      </c>
      <c r="M286" s="852" t="s">
        <v>2922</v>
      </c>
    </row>
    <row r="287" spans="12:13" ht="12.75" customHeight="1" thickBot="1">
      <c r="L287" s="357">
        <v>287</v>
      </c>
      <c r="M287" s="852" t="s">
        <v>2923</v>
      </c>
    </row>
    <row r="288" spans="12:13" ht="12.75" customHeight="1" thickBot="1">
      <c r="L288" s="357">
        <v>288</v>
      </c>
      <c r="M288" s="852" t="s">
        <v>2924</v>
      </c>
    </row>
    <row r="289" spans="12:13" ht="12.75" customHeight="1" thickBot="1">
      <c r="L289" s="357">
        <v>289</v>
      </c>
      <c r="M289" s="852" t="s">
        <v>2925</v>
      </c>
    </row>
    <row r="290" spans="12:13" ht="12.75" customHeight="1" thickBot="1">
      <c r="L290" s="357">
        <v>290</v>
      </c>
      <c r="M290" s="852" t="s">
        <v>2926</v>
      </c>
    </row>
    <row r="291" spans="12:13" ht="12.75" customHeight="1" thickBot="1">
      <c r="L291" s="357">
        <v>291</v>
      </c>
      <c r="M291" s="852" t="s">
        <v>2927</v>
      </c>
    </row>
    <row r="292" spans="12:13" ht="12.75" customHeight="1" thickBot="1">
      <c r="L292" s="357">
        <v>292</v>
      </c>
      <c r="M292" s="852" t="s">
        <v>2928</v>
      </c>
    </row>
    <row r="293" spans="12:13" ht="12.75" customHeight="1" thickBot="1">
      <c r="L293" s="357">
        <v>293</v>
      </c>
      <c r="M293" s="852" t="s">
        <v>2929</v>
      </c>
    </row>
    <row r="294" spans="12:13" ht="12.75" customHeight="1" thickBot="1">
      <c r="L294" s="357">
        <v>294</v>
      </c>
      <c r="M294" s="852" t="s">
        <v>2930</v>
      </c>
    </row>
    <row r="295" spans="12:13" ht="12.75" customHeight="1" thickBot="1">
      <c r="L295" s="357">
        <v>295</v>
      </c>
      <c r="M295" s="852" t="s">
        <v>2931</v>
      </c>
    </row>
    <row r="296" spans="12:13" ht="12.75" customHeight="1" thickBot="1">
      <c r="L296" s="357">
        <v>296</v>
      </c>
      <c r="M296" s="852" t="s">
        <v>2932</v>
      </c>
    </row>
    <row r="297" spans="12:13" ht="12.75" customHeight="1" thickBot="1">
      <c r="L297" s="357">
        <v>297</v>
      </c>
      <c r="M297" s="852" t="s">
        <v>2933</v>
      </c>
    </row>
    <row r="298" spans="12:13" ht="12.75" customHeight="1" thickBot="1">
      <c r="L298" s="357">
        <v>298</v>
      </c>
      <c r="M298" s="852" t="s">
        <v>2934</v>
      </c>
    </row>
    <row r="299" spans="12:13" ht="12.75" customHeight="1" thickBot="1">
      <c r="L299" s="357">
        <v>299</v>
      </c>
      <c r="M299" s="852" t="s">
        <v>2935</v>
      </c>
    </row>
    <row r="300" spans="12:13" ht="12.75" customHeight="1" thickBot="1">
      <c r="L300" s="357">
        <v>300</v>
      </c>
      <c r="M300" s="852" t="s">
        <v>2936</v>
      </c>
    </row>
    <row r="301" spans="12:13" ht="12.75" customHeight="1" thickBot="1">
      <c r="L301" s="357">
        <v>301</v>
      </c>
      <c r="M301" s="852" t="s">
        <v>2937</v>
      </c>
    </row>
    <row r="302" spans="12:13" ht="12.75" customHeight="1" thickBot="1">
      <c r="L302" s="357">
        <v>302</v>
      </c>
      <c r="M302" s="852" t="s">
        <v>2938</v>
      </c>
    </row>
    <row r="303" spans="12:13" ht="12.75" customHeight="1" thickBot="1">
      <c r="L303" s="357">
        <v>303</v>
      </c>
      <c r="M303" s="852" t="s">
        <v>2939</v>
      </c>
    </row>
    <row r="304" spans="12:13" ht="12.75" customHeight="1" thickBot="1">
      <c r="L304" s="357">
        <v>304</v>
      </c>
      <c r="M304" s="852" t="s">
        <v>2940</v>
      </c>
    </row>
    <row r="305" spans="12:13" ht="12.75" customHeight="1" thickBot="1">
      <c r="L305" s="357">
        <v>305</v>
      </c>
      <c r="M305" s="852" t="s">
        <v>2941</v>
      </c>
    </row>
    <row r="306" spans="12:13" ht="12.75" customHeight="1" thickBot="1">
      <c r="L306" s="357">
        <v>306</v>
      </c>
      <c r="M306" s="852" t="s">
        <v>2942</v>
      </c>
    </row>
    <row r="307" spans="12:13" ht="12.75" customHeight="1" thickBot="1">
      <c r="L307" s="357">
        <v>307</v>
      </c>
      <c r="M307" s="852" t="s">
        <v>2943</v>
      </c>
    </row>
    <row r="308" spans="12:13" ht="12.75" customHeight="1" thickBot="1">
      <c r="L308" s="357">
        <v>308</v>
      </c>
      <c r="M308" s="852" t="s">
        <v>2944</v>
      </c>
    </row>
    <row r="309" spans="12:13" ht="12.75" customHeight="1" thickBot="1">
      <c r="L309" s="357">
        <v>309</v>
      </c>
      <c r="M309" s="852" t="s">
        <v>2945</v>
      </c>
    </row>
    <row r="310" spans="12:13" ht="12.75" customHeight="1" thickBot="1">
      <c r="L310" s="357">
        <v>310</v>
      </c>
      <c r="M310" s="852" t="s">
        <v>2946</v>
      </c>
    </row>
    <row r="311" spans="12:13" ht="12.75" customHeight="1" thickBot="1">
      <c r="L311" s="357">
        <v>311</v>
      </c>
      <c r="M311" s="852" t="s">
        <v>2947</v>
      </c>
    </row>
    <row r="312" spans="12:13" ht="12.75" customHeight="1" thickBot="1">
      <c r="L312" s="357">
        <v>312</v>
      </c>
      <c r="M312" s="852" t="s">
        <v>2948</v>
      </c>
    </row>
    <row r="313" spans="12:13" ht="12.75" customHeight="1" thickBot="1">
      <c r="L313" s="357">
        <v>313</v>
      </c>
      <c r="M313" s="852" t="s">
        <v>2949</v>
      </c>
    </row>
    <row r="314" spans="12:13" ht="12.75" customHeight="1" thickBot="1">
      <c r="L314" s="357">
        <v>314</v>
      </c>
      <c r="M314" s="852" t="s">
        <v>2950</v>
      </c>
    </row>
    <row r="315" spans="12:13" ht="12.75" customHeight="1" thickBot="1">
      <c r="L315" s="357">
        <v>315</v>
      </c>
      <c r="M315" s="852" t="s">
        <v>2951</v>
      </c>
    </row>
    <row r="316" spans="12:13" ht="12.75" customHeight="1" thickBot="1">
      <c r="L316" s="357">
        <v>316</v>
      </c>
      <c r="M316" s="852" t="s">
        <v>2952</v>
      </c>
    </row>
    <row r="317" spans="12:13" ht="12.75" customHeight="1" thickBot="1">
      <c r="L317" s="357">
        <v>317</v>
      </c>
      <c r="M317" s="852" t="s">
        <v>2953</v>
      </c>
    </row>
    <row r="318" spans="12:13" ht="12.75" customHeight="1" thickBot="1">
      <c r="L318" s="357">
        <v>318</v>
      </c>
      <c r="M318" s="852" t="s">
        <v>2954</v>
      </c>
    </row>
    <row r="319" spans="12:13" ht="12.75" customHeight="1" thickBot="1">
      <c r="L319" s="357">
        <v>319</v>
      </c>
      <c r="M319" s="852" t="s">
        <v>2955</v>
      </c>
    </row>
    <row r="320" spans="12:13" ht="12.75" customHeight="1" thickBot="1">
      <c r="L320" s="357">
        <v>320</v>
      </c>
      <c r="M320" s="852" t="s">
        <v>2956</v>
      </c>
    </row>
    <row r="321" spans="12:13" ht="12.75" customHeight="1" thickBot="1">
      <c r="L321" s="357">
        <v>321</v>
      </c>
      <c r="M321" s="852" t="s">
        <v>2957</v>
      </c>
    </row>
    <row r="322" spans="12:13" ht="12.75" customHeight="1" thickBot="1">
      <c r="L322" s="357">
        <v>322</v>
      </c>
      <c r="M322" s="852" t="s">
        <v>2958</v>
      </c>
    </row>
    <row r="323" spans="12:13" ht="12.75" customHeight="1" thickBot="1">
      <c r="L323" s="357">
        <v>323</v>
      </c>
      <c r="M323" s="852" t="s">
        <v>2959</v>
      </c>
    </row>
    <row r="324" spans="12:13" ht="12.75" customHeight="1" thickBot="1">
      <c r="L324" s="357">
        <v>324</v>
      </c>
      <c r="M324" s="852" t="s">
        <v>2960</v>
      </c>
    </row>
    <row r="325" spans="12:13" ht="12.75" customHeight="1" thickBot="1">
      <c r="L325" s="357">
        <v>325</v>
      </c>
      <c r="M325" s="852" t="s">
        <v>2961</v>
      </c>
    </row>
    <row r="326" spans="12:13" ht="12.75" customHeight="1" thickBot="1">
      <c r="L326" s="357">
        <v>326</v>
      </c>
      <c r="M326" s="852" t="s">
        <v>2962</v>
      </c>
    </row>
    <row r="327" spans="12:13" ht="12.75" customHeight="1" thickBot="1">
      <c r="L327" s="357">
        <v>327</v>
      </c>
      <c r="M327" s="852" t="s">
        <v>2963</v>
      </c>
    </row>
    <row r="328" spans="12:13" ht="12.75" customHeight="1" thickBot="1">
      <c r="L328" s="357">
        <v>328</v>
      </c>
      <c r="M328" s="852" t="s">
        <v>2964</v>
      </c>
    </row>
    <row r="329" spans="12:13" ht="12.75" customHeight="1" thickBot="1">
      <c r="L329" s="357">
        <v>329</v>
      </c>
      <c r="M329" s="852" t="s">
        <v>2965</v>
      </c>
    </row>
    <row r="330" spans="12:13" ht="12.75" customHeight="1" thickBot="1">
      <c r="L330" s="357">
        <v>330</v>
      </c>
      <c r="M330" s="852" t="s">
        <v>2966</v>
      </c>
    </row>
    <row r="331" spans="12:13" ht="12.75" customHeight="1" thickBot="1">
      <c r="L331" s="357">
        <v>331</v>
      </c>
      <c r="M331" s="852" t="s">
        <v>2967</v>
      </c>
    </row>
    <row r="332" spans="12:13" ht="12.75" customHeight="1" thickBot="1">
      <c r="L332" s="357">
        <v>332</v>
      </c>
      <c r="M332" s="852" t="s">
        <v>2968</v>
      </c>
    </row>
    <row r="333" spans="12:13" ht="12.75" customHeight="1" thickBot="1">
      <c r="L333" s="357">
        <v>333</v>
      </c>
      <c r="M333" s="852" t="s">
        <v>2969</v>
      </c>
    </row>
    <row r="334" spans="12:13" ht="12.75" customHeight="1" thickBot="1">
      <c r="L334" s="357">
        <v>334</v>
      </c>
      <c r="M334" s="852" t="s">
        <v>2970</v>
      </c>
    </row>
    <row r="335" spans="12:13" ht="12.75" customHeight="1" thickBot="1">
      <c r="L335" s="357">
        <v>335</v>
      </c>
      <c r="M335" s="852" t="s">
        <v>2971</v>
      </c>
    </row>
    <row r="336" spans="12:13" ht="12.75" customHeight="1" thickBot="1">
      <c r="L336" s="357">
        <v>336</v>
      </c>
      <c r="M336" s="852" t="s">
        <v>2972</v>
      </c>
    </row>
    <row r="337" spans="12:13" ht="12.75" customHeight="1" thickBot="1">
      <c r="L337" s="357">
        <v>337</v>
      </c>
      <c r="M337" s="852" t="s">
        <v>2973</v>
      </c>
    </row>
    <row r="338" spans="12:13" ht="12.75" customHeight="1" thickBot="1">
      <c r="L338" s="357">
        <v>338</v>
      </c>
      <c r="M338" s="852" t="s">
        <v>2974</v>
      </c>
    </row>
    <row r="339" spans="12:13" ht="12.75" customHeight="1" thickBot="1">
      <c r="L339" s="357">
        <v>339</v>
      </c>
      <c r="M339" s="852" t="s">
        <v>2975</v>
      </c>
    </row>
    <row r="340" spans="12:13" ht="12.75" customHeight="1" thickBot="1">
      <c r="L340" s="357">
        <v>340</v>
      </c>
      <c r="M340" s="852" t="s">
        <v>2976</v>
      </c>
    </row>
    <row r="341" spans="12:13" ht="12.75" customHeight="1" thickBot="1">
      <c r="L341" s="357">
        <v>341</v>
      </c>
      <c r="M341" s="852" t="s">
        <v>2977</v>
      </c>
    </row>
    <row r="342" spans="12:13" ht="12.75" customHeight="1" thickBot="1">
      <c r="L342" s="357">
        <v>342</v>
      </c>
      <c r="M342" s="852" t="s">
        <v>2978</v>
      </c>
    </row>
    <row r="343" spans="12:13" ht="12.75" customHeight="1" thickBot="1">
      <c r="L343" s="357">
        <v>343</v>
      </c>
      <c r="M343" s="852" t="s">
        <v>2979</v>
      </c>
    </row>
    <row r="344" spans="12:13" ht="12.75" customHeight="1" thickBot="1">
      <c r="L344" s="357">
        <v>344</v>
      </c>
      <c r="M344" s="852" t="s">
        <v>2980</v>
      </c>
    </row>
    <row r="345" spans="12:13" ht="12.75" customHeight="1" thickBot="1">
      <c r="L345" s="357">
        <v>345</v>
      </c>
      <c r="M345" s="852" t="s">
        <v>2981</v>
      </c>
    </row>
    <row r="346" spans="12:13" ht="12.75" customHeight="1" thickBot="1">
      <c r="L346" s="357">
        <v>346</v>
      </c>
      <c r="M346" s="852" t="s">
        <v>2982</v>
      </c>
    </row>
    <row r="347" spans="12:13" ht="12.75" customHeight="1" thickBot="1">
      <c r="L347" s="357">
        <v>347</v>
      </c>
      <c r="M347" s="852" t="s">
        <v>2983</v>
      </c>
    </row>
    <row r="348" spans="12:13" ht="12.75" customHeight="1" thickBot="1">
      <c r="L348" s="357">
        <v>348</v>
      </c>
      <c r="M348" s="852" t="s">
        <v>2984</v>
      </c>
    </row>
    <row r="349" spans="12:13" ht="12.75" customHeight="1" thickBot="1">
      <c r="L349" s="357">
        <v>349</v>
      </c>
      <c r="M349" s="852" t="s">
        <v>2985</v>
      </c>
    </row>
    <row r="350" spans="12:13" ht="12.75" customHeight="1" thickBot="1">
      <c r="L350" s="357">
        <v>350</v>
      </c>
      <c r="M350" s="852" t="s">
        <v>2986</v>
      </c>
    </row>
    <row r="351" spans="12:13" ht="12.75" customHeight="1" thickBot="1">
      <c r="L351" s="357">
        <v>351</v>
      </c>
      <c r="M351" s="852" t="s">
        <v>2987</v>
      </c>
    </row>
    <row r="352" spans="12:13" ht="12.75" customHeight="1" thickBot="1">
      <c r="L352" s="357">
        <v>352</v>
      </c>
      <c r="M352" s="852" t="s">
        <v>2988</v>
      </c>
    </row>
    <row r="353" spans="12:13" ht="12.75" customHeight="1" thickBot="1">
      <c r="L353" s="357">
        <v>353</v>
      </c>
      <c r="M353" s="852" t="s">
        <v>2989</v>
      </c>
    </row>
    <row r="354" spans="12:13" ht="12.75" customHeight="1" thickBot="1">
      <c r="L354" s="357">
        <v>354</v>
      </c>
      <c r="M354" s="852" t="s">
        <v>2990</v>
      </c>
    </row>
    <row r="355" spans="12:13" ht="12.75" customHeight="1" thickBot="1">
      <c r="L355" s="357">
        <v>355</v>
      </c>
      <c r="M355" s="852" t="s">
        <v>2991</v>
      </c>
    </row>
    <row r="356" spans="12:13" ht="12.75" customHeight="1" thickBot="1">
      <c r="L356" s="357">
        <v>356</v>
      </c>
      <c r="M356" s="852" t="s">
        <v>2992</v>
      </c>
    </row>
    <row r="357" spans="12:13" ht="12.75" customHeight="1" thickBot="1">
      <c r="L357" s="357">
        <v>357</v>
      </c>
      <c r="M357" s="852" t="s">
        <v>2993</v>
      </c>
    </row>
    <row r="358" spans="12:13" ht="12.75" customHeight="1" thickBot="1">
      <c r="L358" s="357">
        <v>358</v>
      </c>
      <c r="M358" s="852" t="s">
        <v>2994</v>
      </c>
    </row>
    <row r="359" spans="12:13" ht="12.75" customHeight="1" thickBot="1">
      <c r="L359" s="357">
        <v>359</v>
      </c>
      <c r="M359" s="852" t="s">
        <v>2995</v>
      </c>
    </row>
    <row r="360" spans="12:13" ht="12.75" customHeight="1" thickBot="1">
      <c r="L360" s="357">
        <v>360</v>
      </c>
      <c r="M360" s="852" t="s">
        <v>2996</v>
      </c>
    </row>
    <row r="361" spans="12:13" ht="12.75" customHeight="1" thickBot="1">
      <c r="L361" s="357">
        <v>361</v>
      </c>
      <c r="M361" s="852" t="s">
        <v>2997</v>
      </c>
    </row>
    <row r="362" spans="12:13" ht="12.75" customHeight="1" thickBot="1">
      <c r="L362" s="357">
        <v>362</v>
      </c>
      <c r="M362" s="852" t="s">
        <v>2998</v>
      </c>
    </row>
    <row r="363" spans="12:13" ht="12.75" customHeight="1" thickBot="1">
      <c r="L363" s="357">
        <v>363</v>
      </c>
      <c r="M363" s="852" t="s">
        <v>2999</v>
      </c>
    </row>
    <row r="364" spans="12:13" ht="12.75" customHeight="1" thickBot="1">
      <c r="L364" s="357">
        <v>364</v>
      </c>
      <c r="M364" s="852" t="s">
        <v>3000</v>
      </c>
    </row>
    <row r="365" spans="12:13" ht="12.75" customHeight="1" thickBot="1">
      <c r="L365" s="357">
        <v>365</v>
      </c>
      <c r="M365" s="852" t="s">
        <v>3001</v>
      </c>
    </row>
    <row r="366" spans="12:13" ht="12.75" customHeight="1" thickBot="1">
      <c r="L366" s="357">
        <v>366</v>
      </c>
      <c r="M366" s="852" t="s">
        <v>3002</v>
      </c>
    </row>
    <row r="367" spans="12:13" ht="12.75" customHeight="1" thickBot="1">
      <c r="L367" s="357">
        <v>367</v>
      </c>
      <c r="M367" s="852" t="s">
        <v>3003</v>
      </c>
    </row>
    <row r="368" spans="12:13" ht="12.75" customHeight="1" thickBot="1">
      <c r="L368" s="357">
        <v>368</v>
      </c>
      <c r="M368" s="852" t="s">
        <v>3004</v>
      </c>
    </row>
    <row r="369" spans="12:13" ht="12.75" customHeight="1" thickBot="1">
      <c r="L369" s="357">
        <v>369</v>
      </c>
      <c r="M369" s="852" t="s">
        <v>3005</v>
      </c>
    </row>
    <row r="370" spans="12:13" ht="12.75" customHeight="1" thickBot="1">
      <c r="L370" s="357">
        <v>370</v>
      </c>
      <c r="M370" s="852" t="s">
        <v>3006</v>
      </c>
    </row>
    <row r="371" spans="12:13" ht="12.75" customHeight="1" thickBot="1">
      <c r="L371" s="357">
        <v>371</v>
      </c>
      <c r="M371" s="852" t="s">
        <v>3007</v>
      </c>
    </row>
    <row r="372" spans="12:13" ht="12.75" customHeight="1" thickBot="1">
      <c r="L372" s="357">
        <v>372</v>
      </c>
      <c r="M372" s="852" t="s">
        <v>3008</v>
      </c>
    </row>
    <row r="373" spans="12:13" ht="12.75" customHeight="1" thickBot="1">
      <c r="L373" s="357">
        <v>373</v>
      </c>
      <c r="M373" s="852" t="s">
        <v>3009</v>
      </c>
    </row>
    <row r="374" spans="12:13" ht="12.75" customHeight="1" thickBot="1">
      <c r="L374" s="357">
        <v>374</v>
      </c>
      <c r="M374" s="852" t="s">
        <v>3010</v>
      </c>
    </row>
    <row r="375" spans="12:13" ht="12.75" customHeight="1" thickBot="1">
      <c r="L375" s="357">
        <v>375</v>
      </c>
      <c r="M375" s="852" t="s">
        <v>3011</v>
      </c>
    </row>
    <row r="376" spans="12:13" ht="12.75" customHeight="1" thickBot="1">
      <c r="L376" s="357">
        <v>376</v>
      </c>
      <c r="M376" s="852" t="s">
        <v>3012</v>
      </c>
    </row>
    <row r="377" spans="12:13" ht="12.75" customHeight="1" thickBot="1">
      <c r="L377" s="357">
        <v>377</v>
      </c>
      <c r="M377" s="852" t="s">
        <v>3013</v>
      </c>
    </row>
    <row r="378" spans="12:13" ht="12.75" customHeight="1" thickBot="1">
      <c r="L378" s="357">
        <v>378</v>
      </c>
      <c r="M378" s="852" t="s">
        <v>3014</v>
      </c>
    </row>
    <row r="379" spans="12:13" ht="12.75" customHeight="1" thickBot="1">
      <c r="L379" s="357">
        <v>379</v>
      </c>
      <c r="M379" s="852" t="s">
        <v>3015</v>
      </c>
    </row>
    <row r="380" spans="12:13" ht="12.75" customHeight="1" thickBot="1">
      <c r="L380" s="357">
        <v>380</v>
      </c>
      <c r="M380" s="852" t="s">
        <v>3016</v>
      </c>
    </row>
    <row r="381" spans="12:13" ht="12.75" customHeight="1" thickBot="1">
      <c r="L381" s="357">
        <v>381</v>
      </c>
      <c r="M381" s="852" t="s">
        <v>3017</v>
      </c>
    </row>
    <row r="382" spans="12:13" ht="12.75" customHeight="1" thickBot="1">
      <c r="L382" s="357">
        <v>382</v>
      </c>
      <c r="M382" s="852" t="s">
        <v>3018</v>
      </c>
    </row>
    <row r="383" spans="12:13" ht="12.75" customHeight="1" thickBot="1">
      <c r="L383" s="357">
        <v>383</v>
      </c>
      <c r="M383" s="852" t="s">
        <v>3019</v>
      </c>
    </row>
    <row r="384" spans="12:13" ht="12.75" customHeight="1" thickBot="1">
      <c r="L384" s="357">
        <v>384</v>
      </c>
      <c r="M384" s="852" t="s">
        <v>3020</v>
      </c>
    </row>
    <row r="385" spans="12:13" ht="12.75" customHeight="1" thickBot="1">
      <c r="L385" s="357">
        <v>385</v>
      </c>
      <c r="M385" s="852" t="s">
        <v>3021</v>
      </c>
    </row>
    <row r="386" spans="12:13" ht="12.75" customHeight="1" thickBot="1">
      <c r="L386" s="357">
        <v>386</v>
      </c>
      <c r="M386" s="852" t="s">
        <v>3022</v>
      </c>
    </row>
    <row r="387" spans="12:13" ht="12.75" customHeight="1" thickBot="1">
      <c r="L387" s="357">
        <v>387</v>
      </c>
      <c r="M387" s="852" t="s">
        <v>3023</v>
      </c>
    </row>
    <row r="388" spans="12:13" ht="12.75" customHeight="1" thickBot="1">
      <c r="L388" s="357">
        <v>388</v>
      </c>
      <c r="M388" s="852" t="s">
        <v>3024</v>
      </c>
    </row>
    <row r="389" spans="12:13" ht="12.75" customHeight="1" thickBot="1">
      <c r="L389" s="357">
        <v>389</v>
      </c>
      <c r="M389" s="852" t="s">
        <v>3025</v>
      </c>
    </row>
    <row r="390" spans="12:13" ht="12.75" customHeight="1" thickBot="1">
      <c r="L390" s="357">
        <v>390</v>
      </c>
      <c r="M390" s="852" t="s">
        <v>3026</v>
      </c>
    </row>
    <row r="391" spans="12:13" ht="12.75" customHeight="1" thickBot="1">
      <c r="L391" s="357">
        <v>391</v>
      </c>
      <c r="M391" s="852" t="s">
        <v>3027</v>
      </c>
    </row>
    <row r="392" spans="12:13" ht="12.75" customHeight="1" thickBot="1">
      <c r="L392" s="357">
        <v>392</v>
      </c>
      <c r="M392" s="852" t="s">
        <v>3028</v>
      </c>
    </row>
    <row r="393" spans="12:13" ht="12.75" customHeight="1" thickBot="1">
      <c r="L393" s="357">
        <v>393</v>
      </c>
      <c r="M393" s="852" t="s">
        <v>3029</v>
      </c>
    </row>
    <row r="394" spans="12:13" ht="12.75" customHeight="1" thickBot="1">
      <c r="L394" s="357">
        <v>394</v>
      </c>
      <c r="M394" s="852" t="s">
        <v>3030</v>
      </c>
    </row>
    <row r="395" spans="12:13" ht="12.75" customHeight="1" thickBot="1">
      <c r="L395" s="357">
        <v>395</v>
      </c>
      <c r="M395" s="852" t="s">
        <v>3031</v>
      </c>
    </row>
    <row r="396" spans="12:13" ht="12.75" customHeight="1" thickBot="1">
      <c r="L396" s="357">
        <v>396</v>
      </c>
      <c r="M396" s="852" t="s">
        <v>3032</v>
      </c>
    </row>
    <row r="397" spans="12:13" ht="12.75" customHeight="1" thickBot="1">
      <c r="L397" s="357">
        <v>397</v>
      </c>
      <c r="M397" s="852" t="s">
        <v>3033</v>
      </c>
    </row>
    <row r="398" spans="12:13" ht="12.75" customHeight="1" thickBot="1">
      <c r="L398" s="357">
        <v>398</v>
      </c>
      <c r="M398" s="852" t="s">
        <v>3034</v>
      </c>
    </row>
    <row r="399" spans="12:13" ht="12.75" customHeight="1" thickBot="1">
      <c r="L399" s="357">
        <v>399</v>
      </c>
      <c r="M399" s="852" t="s">
        <v>3035</v>
      </c>
    </row>
    <row r="400" spans="12:13" ht="12.75" customHeight="1" thickBot="1">
      <c r="L400" s="357">
        <v>400</v>
      </c>
      <c r="M400" s="852" t="s">
        <v>3036</v>
      </c>
    </row>
    <row r="401" spans="12:13" ht="12.75" customHeight="1" thickBot="1">
      <c r="L401" s="357">
        <v>401</v>
      </c>
      <c r="M401" s="852" t="s">
        <v>3037</v>
      </c>
    </row>
    <row r="402" spans="12:13" ht="12.75" customHeight="1" thickBot="1">
      <c r="L402" s="357">
        <v>402</v>
      </c>
      <c r="M402" s="852" t="s">
        <v>3038</v>
      </c>
    </row>
    <row r="403" spans="12:13" ht="12.75" customHeight="1" thickBot="1">
      <c r="L403" s="357">
        <v>403</v>
      </c>
      <c r="M403" s="852" t="s">
        <v>3039</v>
      </c>
    </row>
    <row r="404" spans="12:13" ht="12.75" customHeight="1" thickBot="1">
      <c r="L404" s="357">
        <v>404</v>
      </c>
      <c r="M404" s="852" t="s">
        <v>3040</v>
      </c>
    </row>
    <row r="405" spans="12:13" ht="12.75" customHeight="1" thickBot="1">
      <c r="L405" s="357">
        <v>405</v>
      </c>
      <c r="M405" s="852" t="s">
        <v>3041</v>
      </c>
    </row>
    <row r="406" spans="12:13" ht="12.75" customHeight="1" thickBot="1">
      <c r="L406" s="357">
        <v>406</v>
      </c>
      <c r="M406" s="852" t="s">
        <v>3042</v>
      </c>
    </row>
    <row r="407" spans="12:13" ht="12.75" customHeight="1" thickBot="1">
      <c r="L407" s="357">
        <v>407</v>
      </c>
      <c r="M407" s="852" t="s">
        <v>3043</v>
      </c>
    </row>
    <row r="408" spans="12:13" ht="12.75" customHeight="1" thickBot="1">
      <c r="L408" s="357">
        <v>408</v>
      </c>
      <c r="M408" s="852" t="s">
        <v>3044</v>
      </c>
    </row>
    <row r="409" spans="12:13" ht="12.75" customHeight="1" thickBot="1">
      <c r="L409" s="357">
        <v>409</v>
      </c>
      <c r="M409" s="852" t="s">
        <v>3045</v>
      </c>
    </row>
    <row r="410" spans="12:13" ht="12.75" customHeight="1" thickBot="1">
      <c r="L410" s="357">
        <v>410</v>
      </c>
      <c r="M410" s="852" t="s">
        <v>3046</v>
      </c>
    </row>
    <row r="411" spans="12:13" ht="12.75" customHeight="1" thickBot="1">
      <c r="L411" s="357">
        <v>411</v>
      </c>
      <c r="M411" s="852" t="s">
        <v>3047</v>
      </c>
    </row>
    <row r="412" spans="12:13" ht="12.75" customHeight="1" thickBot="1">
      <c r="L412" s="357">
        <v>412</v>
      </c>
      <c r="M412" s="852" t="s">
        <v>3048</v>
      </c>
    </row>
    <row r="413" spans="12:13" ht="12.75" customHeight="1" thickBot="1">
      <c r="L413" s="357">
        <v>413</v>
      </c>
      <c r="M413" s="852" t="s">
        <v>3049</v>
      </c>
    </row>
    <row r="414" spans="12:13" ht="12.75" customHeight="1" thickBot="1">
      <c r="L414" s="357">
        <v>414</v>
      </c>
      <c r="M414" s="852" t="s">
        <v>3050</v>
      </c>
    </row>
    <row r="415" spans="12:13" ht="12.75" customHeight="1" thickBot="1">
      <c r="L415" s="357">
        <v>415</v>
      </c>
      <c r="M415" s="852" t="s">
        <v>3051</v>
      </c>
    </row>
    <row r="416" spans="12:13" ht="12.75" customHeight="1" thickBot="1">
      <c r="L416" s="357">
        <v>416</v>
      </c>
      <c r="M416" s="852" t="s">
        <v>3052</v>
      </c>
    </row>
    <row r="417" spans="12:13" ht="12.75" customHeight="1" thickBot="1">
      <c r="L417" s="357">
        <v>417</v>
      </c>
      <c r="M417" s="852" t="s">
        <v>3053</v>
      </c>
    </row>
    <row r="418" spans="12:13" ht="12.75" customHeight="1" thickBot="1">
      <c r="L418" s="357">
        <v>418</v>
      </c>
      <c r="M418" s="852" t="s">
        <v>3054</v>
      </c>
    </row>
    <row r="419" spans="12:13" ht="12.75" customHeight="1" thickBot="1">
      <c r="L419" s="357">
        <v>419</v>
      </c>
      <c r="M419" s="852" t="s">
        <v>3055</v>
      </c>
    </row>
    <row r="420" spans="12:13" ht="12.75" customHeight="1" thickBot="1">
      <c r="L420" s="357">
        <v>420</v>
      </c>
      <c r="M420" s="852" t="s">
        <v>3056</v>
      </c>
    </row>
    <row r="421" spans="12:13" ht="12.75" customHeight="1" thickBot="1">
      <c r="L421" s="357">
        <v>421</v>
      </c>
      <c r="M421" s="852" t="s">
        <v>3057</v>
      </c>
    </row>
    <row r="422" spans="12:13" ht="12.75" customHeight="1" thickBot="1">
      <c r="L422" s="357">
        <v>422</v>
      </c>
      <c r="M422" s="852" t="s">
        <v>3058</v>
      </c>
    </row>
    <row r="423" spans="12:13" ht="12.75" customHeight="1" thickBot="1">
      <c r="L423" s="357">
        <v>423</v>
      </c>
      <c r="M423" s="852" t="s">
        <v>3059</v>
      </c>
    </row>
    <row r="424" spans="12:13" ht="12.75" customHeight="1" thickBot="1">
      <c r="L424" s="357">
        <v>424</v>
      </c>
      <c r="M424" s="852" t="s">
        <v>3060</v>
      </c>
    </row>
    <row r="425" spans="12:13" ht="12.75" customHeight="1" thickBot="1">
      <c r="L425" s="357">
        <v>425</v>
      </c>
      <c r="M425" s="852" t="s">
        <v>3061</v>
      </c>
    </row>
    <row r="426" spans="12:13" ht="12.75" customHeight="1" thickBot="1">
      <c r="L426" s="357">
        <v>426</v>
      </c>
      <c r="M426" s="852" t="s">
        <v>3062</v>
      </c>
    </row>
    <row r="427" spans="12:13" ht="12.75" customHeight="1" thickBot="1">
      <c r="L427" s="357">
        <v>427</v>
      </c>
      <c r="M427" s="852" t="s">
        <v>3063</v>
      </c>
    </row>
    <row r="428" spans="12:13" ht="12.75" customHeight="1" thickBot="1">
      <c r="L428" s="357">
        <v>428</v>
      </c>
      <c r="M428" s="852" t="s">
        <v>3064</v>
      </c>
    </row>
    <row r="429" spans="12:13" ht="12.75" customHeight="1" thickBot="1">
      <c r="L429" s="357">
        <v>429</v>
      </c>
      <c r="M429" s="852" t="s">
        <v>3065</v>
      </c>
    </row>
    <row r="430" spans="12:13" ht="12.75" customHeight="1" thickBot="1">
      <c r="L430" s="357">
        <v>430</v>
      </c>
      <c r="M430" s="852" t="s">
        <v>3066</v>
      </c>
    </row>
    <row r="431" spans="12:13" ht="12.75" customHeight="1" thickBot="1">
      <c r="L431" s="357">
        <v>431</v>
      </c>
      <c r="M431" s="852" t="s">
        <v>3067</v>
      </c>
    </row>
    <row r="432" spans="12:13" ht="12.75" customHeight="1" thickBot="1">
      <c r="L432" s="357">
        <v>432</v>
      </c>
      <c r="M432" s="852" t="s">
        <v>3068</v>
      </c>
    </row>
    <row r="433" spans="12:13" ht="12.75" customHeight="1">
      <c r="L433" s="357">
        <v>433</v>
      </c>
      <c r="M433" s="853" t="s">
        <v>3069</v>
      </c>
    </row>
    <row r="434" spans="12:13" ht="12.75" customHeight="1" thickBot="1">
      <c r="L434" s="357">
        <v>434</v>
      </c>
      <c r="M434" s="852" t="s">
        <v>3070</v>
      </c>
    </row>
    <row r="435" spans="12:13" ht="12.75" customHeight="1">
      <c r="L435" s="357">
        <v>435</v>
      </c>
      <c r="M435" s="853" t="s">
        <v>3071</v>
      </c>
    </row>
    <row r="436" spans="12:13" ht="12.75" customHeight="1" thickBot="1">
      <c r="L436" s="357">
        <v>436</v>
      </c>
      <c r="M436" s="852" t="s">
        <v>3072</v>
      </c>
    </row>
    <row r="437" spans="12:13" ht="12.75" customHeight="1" thickBot="1">
      <c r="L437" s="357">
        <v>437</v>
      </c>
      <c r="M437" s="852" t="s">
        <v>3073</v>
      </c>
    </row>
    <row r="438" spans="12:13" ht="12.75" customHeight="1" thickBot="1">
      <c r="L438" s="357">
        <v>438</v>
      </c>
      <c r="M438" s="852" t="s">
        <v>3074</v>
      </c>
    </row>
    <row r="439" spans="12:13" ht="12.75" customHeight="1" thickBot="1">
      <c r="L439" s="357">
        <v>439</v>
      </c>
      <c r="M439" s="852" t="s">
        <v>3075</v>
      </c>
    </row>
    <row r="440" spans="12:13" ht="12.75" customHeight="1" thickBot="1">
      <c r="L440" s="357">
        <v>440</v>
      </c>
      <c r="M440" s="852" t="s">
        <v>3076</v>
      </c>
    </row>
    <row r="441" spans="12:13" ht="12.75" customHeight="1" thickBot="1">
      <c r="L441" s="357">
        <v>441</v>
      </c>
      <c r="M441" s="852" t="s">
        <v>3077</v>
      </c>
    </row>
    <row r="442" spans="12:13" ht="12.75" customHeight="1" thickBot="1">
      <c r="L442" s="357">
        <v>442</v>
      </c>
      <c r="M442" s="852" t="s">
        <v>3078</v>
      </c>
    </row>
    <row r="443" spans="12:13" ht="12.75" customHeight="1" thickBot="1">
      <c r="L443" s="357">
        <v>443</v>
      </c>
      <c r="M443" s="852" t="s">
        <v>3079</v>
      </c>
    </row>
    <row r="444" spans="12:13" ht="12.75" customHeight="1" thickBot="1">
      <c r="L444" s="357">
        <v>444</v>
      </c>
      <c r="M444" s="852" t="s">
        <v>3080</v>
      </c>
    </row>
    <row r="445" spans="12:13" ht="12.75" customHeight="1" thickBot="1">
      <c r="L445" s="357">
        <v>445</v>
      </c>
      <c r="M445" s="852" t="s">
        <v>3081</v>
      </c>
    </row>
    <row r="446" spans="12:13" ht="12.75" customHeight="1" thickBot="1">
      <c r="L446" s="357">
        <v>446</v>
      </c>
      <c r="M446" s="852" t="s">
        <v>3082</v>
      </c>
    </row>
    <row r="447" spans="12:13" ht="12.75" customHeight="1" thickBot="1">
      <c r="L447" s="357">
        <v>447</v>
      </c>
      <c r="M447" s="852" t="s">
        <v>3083</v>
      </c>
    </row>
    <row r="448" spans="12:13" ht="12.75" customHeight="1" thickBot="1">
      <c r="L448" s="357">
        <v>448</v>
      </c>
      <c r="M448" s="852" t="s">
        <v>3084</v>
      </c>
    </row>
    <row r="449" spans="12:13" ht="12.75" customHeight="1">
      <c r="L449" s="357">
        <v>449</v>
      </c>
      <c r="M449" s="853" t="s">
        <v>3085</v>
      </c>
    </row>
    <row r="450" spans="12:13" ht="12.75" customHeight="1" thickBot="1">
      <c r="L450" s="357">
        <v>450</v>
      </c>
      <c r="M450" s="852" t="s">
        <v>3086</v>
      </c>
    </row>
    <row r="451" spans="12:13" ht="12.75" customHeight="1" thickBot="1">
      <c r="L451" s="357">
        <v>451</v>
      </c>
      <c r="M451" s="852" t="s">
        <v>3087</v>
      </c>
    </row>
    <row r="452" spans="12:13" ht="12.75" customHeight="1" thickBot="1">
      <c r="L452" s="357">
        <v>452</v>
      </c>
      <c r="M452" s="852" t="s">
        <v>3088</v>
      </c>
    </row>
    <row r="453" spans="12:13" ht="12.75" customHeight="1" thickBot="1">
      <c r="L453" s="357">
        <v>453</v>
      </c>
      <c r="M453" s="852" t="s">
        <v>3089</v>
      </c>
    </row>
    <row r="454" spans="12:13" ht="12.75" customHeight="1" thickBot="1">
      <c r="L454" s="357">
        <v>454</v>
      </c>
      <c r="M454" s="852" t="s">
        <v>3090</v>
      </c>
    </row>
    <row r="455" spans="12:13" ht="12.75" customHeight="1" thickBot="1">
      <c r="L455" s="357">
        <v>455</v>
      </c>
      <c r="M455" s="852" t="s">
        <v>3091</v>
      </c>
    </row>
    <row r="456" spans="12:13" ht="12.75" customHeight="1" thickBot="1">
      <c r="L456" s="357">
        <v>456</v>
      </c>
      <c r="M456" s="852" t="s">
        <v>3092</v>
      </c>
    </row>
    <row r="457" spans="12:13" ht="12.75" customHeight="1" thickBot="1">
      <c r="L457" s="357">
        <v>457</v>
      </c>
      <c r="M457" s="852" t="s">
        <v>3093</v>
      </c>
    </row>
    <row r="458" spans="12:13" ht="12.75" customHeight="1" thickBot="1">
      <c r="L458" s="357">
        <v>458</v>
      </c>
      <c r="M458" s="852" t="s">
        <v>3094</v>
      </c>
    </row>
    <row r="459" spans="12:13" ht="12.75" customHeight="1" thickBot="1">
      <c r="L459" s="357">
        <v>459</v>
      </c>
      <c r="M459" s="852" t="s">
        <v>3095</v>
      </c>
    </row>
    <row r="460" spans="12:13" ht="12.75" customHeight="1" thickBot="1">
      <c r="L460" s="357">
        <v>460</v>
      </c>
      <c r="M460" s="852" t="s">
        <v>3096</v>
      </c>
    </row>
    <row r="461" spans="12:13" ht="12.75" customHeight="1" thickBot="1">
      <c r="L461" s="357">
        <v>461</v>
      </c>
      <c r="M461" s="852" t="s">
        <v>3097</v>
      </c>
    </row>
    <row r="462" spans="12:13" ht="12.75" customHeight="1" thickBot="1">
      <c r="L462" s="357">
        <v>462</v>
      </c>
      <c r="M462" s="852" t="s">
        <v>3098</v>
      </c>
    </row>
    <row r="463" spans="12:13" ht="12.75" customHeight="1" thickBot="1">
      <c r="L463" s="357">
        <v>463</v>
      </c>
      <c r="M463" s="852" t="s">
        <v>3099</v>
      </c>
    </row>
    <row r="464" spans="12:13" ht="12.75" customHeight="1" thickBot="1">
      <c r="L464" s="357">
        <v>464</v>
      </c>
      <c r="M464" s="852" t="s">
        <v>3100</v>
      </c>
    </row>
    <row r="465" spans="12:13" ht="12.75" customHeight="1" thickBot="1">
      <c r="L465" s="357">
        <v>465</v>
      </c>
      <c r="M465" s="852" t="s">
        <v>3101</v>
      </c>
    </row>
    <row r="466" spans="12:13" ht="12.75" customHeight="1" thickBot="1">
      <c r="L466" s="357">
        <v>466</v>
      </c>
      <c r="M466" s="852" t="s">
        <v>3102</v>
      </c>
    </row>
    <row r="467" spans="12:13" ht="12.75" customHeight="1" thickBot="1">
      <c r="L467" s="357">
        <v>467</v>
      </c>
      <c r="M467" s="852" t="s">
        <v>3103</v>
      </c>
    </row>
    <row r="468" spans="12:13" ht="12.75" customHeight="1" thickBot="1">
      <c r="L468" s="357">
        <v>468</v>
      </c>
      <c r="M468" s="852" t="s">
        <v>3104</v>
      </c>
    </row>
    <row r="469" spans="12:13" ht="12.75" customHeight="1" thickBot="1">
      <c r="L469" s="357">
        <v>469</v>
      </c>
      <c r="M469" s="852" t="s">
        <v>3105</v>
      </c>
    </row>
    <row r="470" spans="12:13" ht="12.75" customHeight="1" thickBot="1">
      <c r="L470" s="357">
        <v>470</v>
      </c>
      <c r="M470" s="852" t="s">
        <v>3106</v>
      </c>
    </row>
    <row r="471" spans="12:13" ht="12.75" customHeight="1" thickBot="1">
      <c r="L471" s="357">
        <v>471</v>
      </c>
      <c r="M471" s="852" t="s">
        <v>3107</v>
      </c>
    </row>
    <row r="472" spans="12:13" ht="12.75" customHeight="1" thickBot="1">
      <c r="L472" s="357">
        <v>472</v>
      </c>
      <c r="M472" s="852" t="s">
        <v>3108</v>
      </c>
    </row>
    <row r="473" spans="12:13" ht="12.75" customHeight="1" thickBot="1">
      <c r="L473" s="357">
        <v>473</v>
      </c>
      <c r="M473" s="852" t="s">
        <v>3109</v>
      </c>
    </row>
    <row r="474" spans="12:13" ht="12.75" customHeight="1" thickBot="1">
      <c r="L474" s="357">
        <v>474</v>
      </c>
      <c r="M474" s="852" t="s">
        <v>3110</v>
      </c>
    </row>
    <row r="475" spans="12:13" ht="12.75" customHeight="1" thickBot="1">
      <c r="L475" s="357">
        <v>475</v>
      </c>
      <c r="M475" s="852" t="s">
        <v>3111</v>
      </c>
    </row>
    <row r="476" spans="12:13" ht="12.75" customHeight="1" thickBot="1">
      <c r="L476" s="357">
        <v>476</v>
      </c>
      <c r="M476" s="852" t="s">
        <v>3112</v>
      </c>
    </row>
    <row r="477" spans="12:13" ht="12.75" customHeight="1" thickBot="1">
      <c r="L477" s="357">
        <v>477</v>
      </c>
      <c r="M477" s="852" t="s">
        <v>3113</v>
      </c>
    </row>
    <row r="478" spans="12:13" ht="12.75" customHeight="1" thickBot="1">
      <c r="L478" s="357">
        <v>478</v>
      </c>
      <c r="M478" s="852" t="s">
        <v>3114</v>
      </c>
    </row>
    <row r="479" spans="12:13" ht="12.75" customHeight="1" thickBot="1">
      <c r="L479" s="357">
        <v>479</v>
      </c>
      <c r="M479" s="852" t="s">
        <v>3115</v>
      </c>
    </row>
    <row r="480" spans="12:13" ht="12.75" customHeight="1" thickBot="1">
      <c r="L480" s="357">
        <v>480</v>
      </c>
      <c r="M480" s="852" t="s">
        <v>3116</v>
      </c>
    </row>
    <row r="481" spans="12:13" ht="12.75" customHeight="1" thickBot="1">
      <c r="L481" s="357">
        <v>481</v>
      </c>
      <c r="M481" s="852" t="s">
        <v>3117</v>
      </c>
    </row>
    <row r="482" spans="12:13" ht="12.75" customHeight="1" thickBot="1">
      <c r="L482" s="357">
        <v>482</v>
      </c>
      <c r="M482" s="852" t="s">
        <v>3118</v>
      </c>
    </row>
    <row r="483" spans="12:13" ht="12.75" customHeight="1" thickBot="1">
      <c r="L483" s="357">
        <v>483</v>
      </c>
      <c r="M483" s="852" t="s">
        <v>3119</v>
      </c>
    </row>
    <row r="484" spans="12:13" ht="12.75" customHeight="1" thickBot="1">
      <c r="L484" s="357">
        <v>484</v>
      </c>
      <c r="M484" s="852" t="s">
        <v>3120</v>
      </c>
    </row>
    <row r="485" spans="12:13" ht="12.75" customHeight="1" thickBot="1">
      <c r="L485" s="357">
        <v>485</v>
      </c>
      <c r="M485" s="852" t="s">
        <v>3121</v>
      </c>
    </row>
    <row r="486" spans="12:13" ht="12.75" customHeight="1" thickBot="1">
      <c r="L486" s="357">
        <v>486</v>
      </c>
      <c r="M486" s="852" t="s">
        <v>3122</v>
      </c>
    </row>
    <row r="487" spans="12:13" ht="12.75" customHeight="1" thickBot="1">
      <c r="L487" s="357">
        <v>487</v>
      </c>
      <c r="M487" s="852" t="s">
        <v>3123</v>
      </c>
    </row>
    <row r="488" spans="12:13" ht="12.75" customHeight="1" thickBot="1">
      <c r="L488" s="357">
        <v>488</v>
      </c>
      <c r="M488" s="852" t="s">
        <v>3124</v>
      </c>
    </row>
    <row r="489" spans="12:13" ht="12.75" customHeight="1" thickBot="1">
      <c r="L489" s="357">
        <v>489</v>
      </c>
      <c r="M489" s="852" t="s">
        <v>3125</v>
      </c>
    </row>
    <row r="490" spans="12:13" ht="12.75" customHeight="1" thickBot="1">
      <c r="L490" s="357">
        <v>490</v>
      </c>
      <c r="M490" s="852" t="s">
        <v>3126</v>
      </c>
    </row>
    <row r="491" spans="12:13" ht="12.75" customHeight="1" thickBot="1">
      <c r="L491" s="357">
        <v>491</v>
      </c>
      <c r="M491" s="852" t="s">
        <v>3127</v>
      </c>
    </row>
    <row r="492" spans="12:13" ht="12.75" customHeight="1" thickBot="1">
      <c r="L492" s="357">
        <v>492</v>
      </c>
      <c r="M492" s="852" t="s">
        <v>3128</v>
      </c>
    </row>
    <row r="493" spans="12:13" ht="12.75" customHeight="1" thickBot="1">
      <c r="L493" s="357">
        <v>493</v>
      </c>
      <c r="M493" s="852" t="s">
        <v>3129</v>
      </c>
    </row>
    <row r="494" spans="12:13" ht="12.75" customHeight="1" thickBot="1">
      <c r="L494" s="357">
        <v>494</v>
      </c>
      <c r="M494" s="852" t="s">
        <v>3130</v>
      </c>
    </row>
    <row r="495" spans="12:13" ht="12.75" customHeight="1" thickBot="1">
      <c r="L495" s="357">
        <v>495</v>
      </c>
      <c r="M495" s="852" t="s">
        <v>3131</v>
      </c>
    </row>
    <row r="496" spans="12:13" ht="12.75" customHeight="1" thickBot="1">
      <c r="L496" s="357">
        <v>496</v>
      </c>
      <c r="M496" s="852" t="s">
        <v>3132</v>
      </c>
    </row>
    <row r="497" spans="12:13" ht="12.75" customHeight="1" thickBot="1">
      <c r="L497" s="357">
        <v>497</v>
      </c>
      <c r="M497" s="852" t="s">
        <v>3133</v>
      </c>
    </row>
    <row r="498" spans="12:13" ht="12.75" customHeight="1" thickBot="1">
      <c r="L498" s="357">
        <v>498</v>
      </c>
      <c r="M498" s="852" t="s">
        <v>3134</v>
      </c>
    </row>
    <row r="499" spans="12:13" ht="12.75" customHeight="1" thickBot="1">
      <c r="L499" s="357">
        <v>499</v>
      </c>
      <c r="M499" s="852" t="s">
        <v>3135</v>
      </c>
    </row>
    <row r="500" spans="12:13" ht="12.75" customHeight="1" thickBot="1">
      <c r="L500" s="357">
        <v>500</v>
      </c>
      <c r="M500" s="852" t="s">
        <v>3136</v>
      </c>
    </row>
    <row r="501" spans="12:13" ht="12.75" customHeight="1" thickBot="1">
      <c r="L501" s="357">
        <v>501</v>
      </c>
      <c r="M501" s="852" t="s">
        <v>3137</v>
      </c>
    </row>
    <row r="502" spans="12:13" ht="12.75" customHeight="1" thickBot="1">
      <c r="L502" s="357">
        <v>502</v>
      </c>
      <c r="M502" s="852" t="s">
        <v>3138</v>
      </c>
    </row>
    <row r="503" spans="12:13" ht="12.75" customHeight="1" thickBot="1">
      <c r="L503" s="357">
        <v>503</v>
      </c>
      <c r="M503" s="852" t="s">
        <v>3139</v>
      </c>
    </row>
    <row r="504" spans="12:13" ht="12.75" customHeight="1" thickBot="1">
      <c r="L504" s="357">
        <v>504</v>
      </c>
      <c r="M504" s="852" t="s">
        <v>3140</v>
      </c>
    </row>
    <row r="505" spans="12:13" ht="12.75" customHeight="1" thickBot="1">
      <c r="L505" s="357">
        <v>505</v>
      </c>
      <c r="M505" s="852" t="s">
        <v>3141</v>
      </c>
    </row>
    <row r="506" spans="12:13" ht="12.75" customHeight="1" thickBot="1">
      <c r="L506" s="357">
        <v>506</v>
      </c>
      <c r="M506" s="852" t="s">
        <v>3142</v>
      </c>
    </row>
    <row r="507" spans="12:13" ht="12.75" customHeight="1" thickBot="1">
      <c r="L507" s="357">
        <v>507</v>
      </c>
      <c r="M507" s="852" t="s">
        <v>3143</v>
      </c>
    </row>
    <row r="508" spans="12:13" ht="12.75" customHeight="1" thickBot="1">
      <c r="L508" s="357">
        <v>508</v>
      </c>
      <c r="M508" s="852" t="s">
        <v>3144</v>
      </c>
    </row>
    <row r="509" spans="12:13" ht="12.75" customHeight="1" thickBot="1">
      <c r="L509" s="357">
        <v>509</v>
      </c>
      <c r="M509" s="852" t="s">
        <v>3145</v>
      </c>
    </row>
    <row r="510" spans="12:13" ht="12.75" customHeight="1" thickBot="1">
      <c r="L510" s="357">
        <v>510</v>
      </c>
      <c r="M510" s="852" t="s">
        <v>3146</v>
      </c>
    </row>
    <row r="511" spans="12:13" ht="12.75" customHeight="1" thickBot="1">
      <c r="L511" s="357">
        <v>511</v>
      </c>
      <c r="M511" s="852" t="s">
        <v>3147</v>
      </c>
    </row>
    <row r="512" spans="12:13" ht="12.75" customHeight="1" thickBot="1">
      <c r="L512" s="357">
        <v>512</v>
      </c>
      <c r="M512" s="852" t="s">
        <v>3148</v>
      </c>
    </row>
    <row r="513" spans="12:13" ht="12.75" customHeight="1" thickBot="1">
      <c r="L513" s="357">
        <v>513</v>
      </c>
      <c r="M513" s="852" t="s">
        <v>3149</v>
      </c>
    </row>
    <row r="514" spans="12:13" ht="12.75" customHeight="1" thickBot="1">
      <c r="L514" s="357">
        <v>514</v>
      </c>
      <c r="M514" s="852" t="s">
        <v>3150</v>
      </c>
    </row>
    <row r="515" spans="12:13" ht="12.75" customHeight="1" thickBot="1">
      <c r="L515" s="357">
        <v>515</v>
      </c>
      <c r="M515" s="852" t="s">
        <v>3151</v>
      </c>
    </row>
    <row r="516" spans="12:13" ht="12.75" customHeight="1" thickBot="1">
      <c r="L516" s="357">
        <v>516</v>
      </c>
      <c r="M516" s="852" t="s">
        <v>3152</v>
      </c>
    </row>
    <row r="517" spans="12:13" ht="12.75" customHeight="1" thickBot="1">
      <c r="L517" s="357">
        <v>517</v>
      </c>
      <c r="M517" s="852" t="s">
        <v>3153</v>
      </c>
    </row>
    <row r="518" spans="12:13" ht="12.75" customHeight="1" thickBot="1">
      <c r="L518" s="357">
        <v>518</v>
      </c>
      <c r="M518" s="852" t="s">
        <v>3154</v>
      </c>
    </row>
    <row r="519" spans="12:13" ht="12.75" customHeight="1" thickBot="1">
      <c r="L519" s="357">
        <v>519</v>
      </c>
      <c r="M519" s="852" t="s">
        <v>3155</v>
      </c>
    </row>
    <row r="520" spans="12:13" ht="12.75" customHeight="1" thickBot="1">
      <c r="L520" s="357">
        <v>520</v>
      </c>
      <c r="M520" s="852" t="s">
        <v>3156</v>
      </c>
    </row>
    <row r="521" spans="12:13" ht="12.75" customHeight="1" thickBot="1">
      <c r="L521" s="357">
        <v>521</v>
      </c>
      <c r="M521" s="852" t="s">
        <v>3157</v>
      </c>
    </row>
    <row r="522" spans="12:13" ht="12.75" customHeight="1" thickBot="1">
      <c r="L522" s="357">
        <v>522</v>
      </c>
      <c r="M522" s="852" t="s">
        <v>3158</v>
      </c>
    </row>
    <row r="523" spans="12:13" ht="12.75" customHeight="1" thickBot="1">
      <c r="L523" s="357">
        <v>523</v>
      </c>
      <c r="M523" s="852" t="s">
        <v>3159</v>
      </c>
    </row>
    <row r="524" spans="12:13" ht="12.75" customHeight="1" thickBot="1">
      <c r="L524" s="357">
        <v>524</v>
      </c>
      <c r="M524" s="852" t="s">
        <v>3160</v>
      </c>
    </row>
    <row r="525" spans="12:13" ht="12.75" customHeight="1" thickBot="1">
      <c r="L525" s="357">
        <v>525</v>
      </c>
      <c r="M525" s="852" t="s">
        <v>3161</v>
      </c>
    </row>
    <row r="526" spans="12:13" ht="12.75" customHeight="1" thickBot="1">
      <c r="L526" s="357">
        <v>526</v>
      </c>
      <c r="M526" s="852" t="s">
        <v>3162</v>
      </c>
    </row>
    <row r="527" spans="12:13" ht="12.75" customHeight="1" thickBot="1">
      <c r="L527" s="357">
        <v>527</v>
      </c>
      <c r="M527" s="852" t="s">
        <v>3163</v>
      </c>
    </row>
    <row r="528" spans="12:13" ht="12.75" customHeight="1" thickBot="1">
      <c r="L528" s="357">
        <v>528</v>
      </c>
      <c r="M528" s="852" t="s">
        <v>3164</v>
      </c>
    </row>
    <row r="529" spans="12:13" ht="12.75" customHeight="1" thickBot="1">
      <c r="L529" s="357">
        <v>529</v>
      </c>
      <c r="M529" s="852" t="s">
        <v>3165</v>
      </c>
    </row>
    <row r="530" spans="12:13" ht="12.75" customHeight="1" thickBot="1">
      <c r="L530" s="357">
        <v>530</v>
      </c>
      <c r="M530" s="852" t="s">
        <v>3166</v>
      </c>
    </row>
    <row r="531" spans="12:13" ht="12.75" customHeight="1" thickBot="1">
      <c r="L531" s="357">
        <v>531</v>
      </c>
      <c r="M531" s="852" t="s">
        <v>3167</v>
      </c>
    </row>
    <row r="532" spans="12:13" ht="12.75" customHeight="1" thickBot="1">
      <c r="L532" s="357">
        <v>532</v>
      </c>
      <c r="M532" s="852" t="s">
        <v>3168</v>
      </c>
    </row>
    <row r="533" spans="12:13" ht="12.75" customHeight="1" thickBot="1">
      <c r="L533" s="357">
        <v>533</v>
      </c>
      <c r="M533" s="852" t="s">
        <v>3169</v>
      </c>
    </row>
    <row r="534" spans="12:13" ht="12.75" customHeight="1" thickBot="1">
      <c r="L534" s="357">
        <v>534</v>
      </c>
      <c r="M534" s="852" t="s">
        <v>3170</v>
      </c>
    </row>
    <row r="535" spans="12:13" ht="12.75" customHeight="1" thickBot="1">
      <c r="L535" s="357">
        <v>535</v>
      </c>
      <c r="M535" s="852" t="s">
        <v>3171</v>
      </c>
    </row>
    <row r="536" spans="12:13" ht="12.75" customHeight="1" thickBot="1">
      <c r="L536" s="357">
        <v>536</v>
      </c>
      <c r="M536" s="852" t="s">
        <v>3172</v>
      </c>
    </row>
    <row r="537" spans="12:13" ht="12.75" customHeight="1" thickBot="1">
      <c r="L537" s="357">
        <v>537</v>
      </c>
      <c r="M537" s="852" t="s">
        <v>3173</v>
      </c>
    </row>
    <row r="538" spans="12:13" ht="12.75" customHeight="1" thickBot="1">
      <c r="L538" s="357">
        <v>538</v>
      </c>
      <c r="M538" s="852" t="s">
        <v>3174</v>
      </c>
    </row>
    <row r="539" spans="12:13" ht="12.75" customHeight="1" thickBot="1">
      <c r="L539" s="357">
        <v>539</v>
      </c>
      <c r="M539" s="852" t="s">
        <v>3175</v>
      </c>
    </row>
    <row r="540" spans="12:13" ht="12.75" customHeight="1" thickBot="1">
      <c r="L540" s="357">
        <v>540</v>
      </c>
      <c r="M540" s="852" t="s">
        <v>3176</v>
      </c>
    </row>
    <row r="541" spans="12:13" ht="12.75" customHeight="1" thickBot="1">
      <c r="L541" s="357">
        <v>541</v>
      </c>
      <c r="M541" s="852" t="s">
        <v>3177</v>
      </c>
    </row>
    <row r="542" spans="12:13" ht="12.75" customHeight="1" thickBot="1">
      <c r="L542" s="357">
        <v>542</v>
      </c>
      <c r="M542" s="852" t="s">
        <v>3178</v>
      </c>
    </row>
    <row r="543" spans="12:13" ht="12.75" customHeight="1" thickBot="1">
      <c r="L543" s="357">
        <v>543</v>
      </c>
      <c r="M543" s="852" t="s">
        <v>3179</v>
      </c>
    </row>
    <row r="544" spans="12:13" ht="12.75" customHeight="1" thickBot="1">
      <c r="L544" s="357">
        <v>544</v>
      </c>
      <c r="M544" s="852" t="s">
        <v>3180</v>
      </c>
    </row>
    <row r="545" spans="12:13" ht="12.75" customHeight="1" thickBot="1">
      <c r="L545" s="357">
        <v>545</v>
      </c>
      <c r="M545" s="852" t="s">
        <v>3181</v>
      </c>
    </row>
    <row r="546" spans="12:13" ht="12.75" customHeight="1" thickBot="1">
      <c r="L546" s="357">
        <v>546</v>
      </c>
      <c r="M546" s="852" t="s">
        <v>3182</v>
      </c>
    </row>
    <row r="547" spans="12:13" ht="12.75" customHeight="1" thickBot="1">
      <c r="L547" s="357">
        <v>547</v>
      </c>
      <c r="M547" s="852" t="s">
        <v>3183</v>
      </c>
    </row>
    <row r="548" spans="12:13" ht="12.75" customHeight="1" thickBot="1">
      <c r="L548" s="357">
        <v>548</v>
      </c>
      <c r="M548" s="852" t="s">
        <v>3184</v>
      </c>
    </row>
    <row r="549" spans="12:13" ht="12.75" customHeight="1" thickBot="1">
      <c r="L549" s="357">
        <v>549</v>
      </c>
      <c r="M549" s="852" t="s">
        <v>3185</v>
      </c>
    </row>
    <row r="550" spans="12:13" ht="12.75" customHeight="1" thickBot="1">
      <c r="L550" s="357">
        <v>550</v>
      </c>
      <c r="M550" s="852" t="s">
        <v>3186</v>
      </c>
    </row>
    <row r="551" spans="12:13" ht="12.75" customHeight="1" thickBot="1">
      <c r="L551" s="357">
        <v>551</v>
      </c>
      <c r="M551" s="852" t="s">
        <v>3187</v>
      </c>
    </row>
    <row r="552" spans="12:13" ht="12.75" customHeight="1" thickBot="1">
      <c r="L552" s="357">
        <v>552</v>
      </c>
      <c r="M552" s="852" t="s">
        <v>3188</v>
      </c>
    </row>
    <row r="553" spans="12:13" ht="12.75" customHeight="1" thickBot="1">
      <c r="L553" s="357">
        <v>553</v>
      </c>
      <c r="M553" s="852" t="s">
        <v>3189</v>
      </c>
    </row>
    <row r="554" spans="12:13" ht="12.75" customHeight="1" thickBot="1">
      <c r="L554" s="357">
        <v>554</v>
      </c>
      <c r="M554" s="852" t="s">
        <v>3190</v>
      </c>
    </row>
    <row r="555" spans="12:13" ht="12.75" customHeight="1" thickBot="1">
      <c r="L555" s="357">
        <v>555</v>
      </c>
      <c r="M555" s="852" t="s">
        <v>3191</v>
      </c>
    </row>
    <row r="556" spans="12:13" ht="12.75" customHeight="1" thickBot="1">
      <c r="L556" s="357">
        <v>556</v>
      </c>
      <c r="M556" s="852" t="s">
        <v>3192</v>
      </c>
    </row>
    <row r="557" spans="12:13" ht="12.75" customHeight="1" thickBot="1">
      <c r="L557" s="357">
        <v>557</v>
      </c>
      <c r="M557" s="852" t="s">
        <v>3193</v>
      </c>
    </row>
    <row r="558" spans="12:13" ht="12.75" customHeight="1" thickBot="1">
      <c r="L558" s="357">
        <v>558</v>
      </c>
      <c r="M558" s="852" t="s">
        <v>3194</v>
      </c>
    </row>
    <row r="559" spans="12:13" ht="12.75" customHeight="1" thickBot="1">
      <c r="L559" s="357">
        <v>559</v>
      </c>
      <c r="M559" s="852" t="s">
        <v>3195</v>
      </c>
    </row>
    <row r="560" spans="12:13" ht="12.75" customHeight="1" thickBot="1">
      <c r="L560" s="357">
        <v>560</v>
      </c>
      <c r="M560" s="852" t="s">
        <v>3196</v>
      </c>
    </row>
    <row r="561" spans="12:13" ht="12.75" customHeight="1" thickBot="1">
      <c r="L561" s="357">
        <v>561</v>
      </c>
      <c r="M561" s="852" t="s">
        <v>3197</v>
      </c>
    </row>
    <row r="562" spans="12:13" ht="12.75" customHeight="1" thickBot="1">
      <c r="L562" s="357">
        <v>562</v>
      </c>
      <c r="M562" s="852" t="s">
        <v>3198</v>
      </c>
    </row>
    <row r="563" spans="12:13" ht="12.75" customHeight="1" thickBot="1">
      <c r="L563" s="357">
        <v>563</v>
      </c>
      <c r="M563" s="852" t="s">
        <v>3199</v>
      </c>
    </row>
    <row r="564" spans="12:13" ht="12.75" customHeight="1" thickBot="1">
      <c r="L564" s="357">
        <v>564</v>
      </c>
      <c r="M564" s="852" t="s">
        <v>3200</v>
      </c>
    </row>
    <row r="565" spans="12:13" ht="12.75" customHeight="1">
      <c r="L565" s="357">
        <v>565</v>
      </c>
      <c r="M565" s="853" t="s">
        <v>3201</v>
      </c>
    </row>
    <row r="566" spans="12:13" ht="12.75" customHeight="1" thickBot="1">
      <c r="L566" s="357">
        <v>566</v>
      </c>
      <c r="M566" s="852" t="s">
        <v>3202</v>
      </c>
    </row>
    <row r="567" spans="12:13" ht="12.75" customHeight="1" thickBot="1">
      <c r="L567" s="357">
        <v>567</v>
      </c>
      <c r="M567" s="852" t="s">
        <v>3203</v>
      </c>
    </row>
    <row r="568" spans="12:13" ht="12.75" customHeight="1" thickBot="1">
      <c r="L568" s="357">
        <v>568</v>
      </c>
      <c r="M568" s="852" t="s">
        <v>3204</v>
      </c>
    </row>
    <row r="569" spans="12:13" ht="12.75" customHeight="1" thickBot="1">
      <c r="L569" s="357">
        <v>569</v>
      </c>
      <c r="M569" s="852" t="s">
        <v>3205</v>
      </c>
    </row>
    <row r="570" spans="12:13" ht="12.75" customHeight="1" thickBot="1">
      <c r="L570" s="357">
        <v>570</v>
      </c>
      <c r="M570" s="852" t="s">
        <v>3206</v>
      </c>
    </row>
    <row r="571" spans="12:13" ht="12.75" customHeight="1" thickBot="1">
      <c r="L571" s="357">
        <v>571</v>
      </c>
      <c r="M571" s="852" t="s">
        <v>3207</v>
      </c>
    </row>
    <row r="572" spans="12:13" ht="12.75" customHeight="1" thickBot="1">
      <c r="L572" s="357">
        <v>572</v>
      </c>
      <c r="M572" s="852" t="s">
        <v>3208</v>
      </c>
    </row>
    <row r="573" spans="12:13" ht="12.75" customHeight="1" thickBot="1">
      <c r="L573" s="357">
        <v>573</v>
      </c>
      <c r="M573" s="852" t="s">
        <v>3209</v>
      </c>
    </row>
    <row r="574" spans="12:13" ht="12.75" customHeight="1" thickBot="1">
      <c r="L574" s="357">
        <v>574</v>
      </c>
      <c r="M574" s="852" t="s">
        <v>3210</v>
      </c>
    </row>
    <row r="575" spans="12:13" ht="12.75" customHeight="1" thickBot="1">
      <c r="L575" s="357">
        <v>575</v>
      </c>
      <c r="M575" s="852" t="s">
        <v>3211</v>
      </c>
    </row>
    <row r="576" spans="12:13" ht="12.75" customHeight="1" thickBot="1">
      <c r="L576" s="357">
        <v>576</v>
      </c>
      <c r="M576" s="852" t="s">
        <v>3212</v>
      </c>
    </row>
    <row r="577" spans="12:13" ht="12.75" customHeight="1" thickBot="1">
      <c r="L577" s="357">
        <v>577</v>
      </c>
      <c r="M577" s="852" t="s">
        <v>3213</v>
      </c>
    </row>
    <row r="578" spans="12:13" ht="12.75" customHeight="1" thickBot="1">
      <c r="L578" s="357">
        <v>578</v>
      </c>
      <c r="M578" s="852" t="s">
        <v>3214</v>
      </c>
    </row>
    <row r="579" spans="12:13" ht="12.75" customHeight="1" thickBot="1">
      <c r="L579" s="357">
        <v>579</v>
      </c>
      <c r="M579" s="852" t="s">
        <v>3215</v>
      </c>
    </row>
    <row r="580" spans="12:13" ht="12.75" customHeight="1" thickBot="1">
      <c r="L580" s="357">
        <v>580</v>
      </c>
      <c r="M580" s="852" t="s">
        <v>3216</v>
      </c>
    </row>
    <row r="581" spans="12:13" ht="12.75" customHeight="1" thickBot="1">
      <c r="L581" s="357">
        <v>581</v>
      </c>
      <c r="M581" s="852" t="s">
        <v>3217</v>
      </c>
    </row>
    <row r="582" spans="12:13" ht="12.75" customHeight="1" thickBot="1">
      <c r="L582" s="357">
        <v>582</v>
      </c>
      <c r="M582" s="852" t="s">
        <v>3218</v>
      </c>
    </row>
    <row r="583" spans="12:13" ht="12.75" customHeight="1" thickBot="1">
      <c r="L583" s="357">
        <v>583</v>
      </c>
      <c r="M583" s="852" t="s">
        <v>3219</v>
      </c>
    </row>
    <row r="584" spans="12:13" ht="12.75" customHeight="1" thickBot="1">
      <c r="L584" s="357">
        <v>584</v>
      </c>
      <c r="M584" s="852" t="s">
        <v>3220</v>
      </c>
    </row>
    <row r="585" spans="12:13" ht="12.75" customHeight="1" thickBot="1">
      <c r="L585" s="357">
        <v>585</v>
      </c>
      <c r="M585" s="852" t="s">
        <v>3221</v>
      </c>
    </row>
    <row r="586" spans="12:13" ht="12.75" customHeight="1" thickBot="1">
      <c r="L586" s="357">
        <v>586</v>
      </c>
      <c r="M586" s="852" t="s">
        <v>3222</v>
      </c>
    </row>
    <row r="587" spans="12:13" ht="12.75" customHeight="1" thickBot="1">
      <c r="L587" s="357">
        <v>587</v>
      </c>
      <c r="M587" s="852" t="s">
        <v>3223</v>
      </c>
    </row>
    <row r="588" spans="12:13" ht="12.75" customHeight="1" thickBot="1">
      <c r="L588" s="357">
        <v>588</v>
      </c>
      <c r="M588" s="852" t="s">
        <v>3224</v>
      </c>
    </row>
    <row r="589" spans="12:13" ht="12.75" customHeight="1" thickBot="1">
      <c r="L589" s="357">
        <v>589</v>
      </c>
      <c r="M589" s="852" t="s">
        <v>3225</v>
      </c>
    </row>
    <row r="590" spans="12:13" ht="12.75" customHeight="1" thickBot="1">
      <c r="L590" s="357">
        <v>590</v>
      </c>
      <c r="M590" s="852" t="s">
        <v>3226</v>
      </c>
    </row>
    <row r="591" spans="12:13" ht="12.75" customHeight="1" thickBot="1">
      <c r="L591" s="357">
        <v>591</v>
      </c>
      <c r="M591" s="852" t="s">
        <v>3227</v>
      </c>
    </row>
    <row r="592" spans="12:13" ht="12.75" customHeight="1" thickBot="1">
      <c r="L592" s="357">
        <v>592</v>
      </c>
      <c r="M592" s="852" t="s">
        <v>3228</v>
      </c>
    </row>
    <row r="593" spans="12:13" ht="12.75" customHeight="1" thickBot="1">
      <c r="L593" s="357">
        <v>593</v>
      </c>
      <c r="M593" s="852" t="s">
        <v>3229</v>
      </c>
    </row>
    <row r="594" spans="12:13" ht="12.75" customHeight="1" thickBot="1">
      <c r="L594" s="357">
        <v>594</v>
      </c>
      <c r="M594" s="852" t="s">
        <v>3230</v>
      </c>
    </row>
    <row r="595" spans="12:13" ht="12.75" customHeight="1" thickBot="1">
      <c r="L595" s="357">
        <v>595</v>
      </c>
      <c r="M595" s="852" t="s">
        <v>3231</v>
      </c>
    </row>
    <row r="596" spans="12:13" ht="12.75" customHeight="1" thickBot="1">
      <c r="L596" s="357">
        <v>596</v>
      </c>
      <c r="M596" s="852" t="s">
        <v>3232</v>
      </c>
    </row>
    <row r="597" spans="12:13" ht="12.75" customHeight="1" thickBot="1">
      <c r="L597" s="357">
        <v>597</v>
      </c>
      <c r="M597" s="852" t="s">
        <v>3233</v>
      </c>
    </row>
    <row r="598" spans="12:13" ht="12.75" customHeight="1" thickBot="1">
      <c r="L598" s="357">
        <v>598</v>
      </c>
      <c r="M598" s="852" t="s">
        <v>3234</v>
      </c>
    </row>
    <row r="599" spans="12:13" ht="12.75" customHeight="1" thickBot="1">
      <c r="L599" s="357">
        <v>599</v>
      </c>
      <c r="M599" s="852" t="s">
        <v>3235</v>
      </c>
    </row>
    <row r="600" spans="12:13" ht="12.75" customHeight="1" thickBot="1">
      <c r="L600" s="357">
        <v>600</v>
      </c>
      <c r="M600" s="852" t="s">
        <v>3236</v>
      </c>
    </row>
    <row r="601" spans="12:13" ht="12.75" customHeight="1" thickBot="1">
      <c r="L601" s="357">
        <v>601</v>
      </c>
      <c r="M601" s="852" t="s">
        <v>3237</v>
      </c>
    </row>
    <row r="602" spans="12:13" ht="12.75" customHeight="1" thickBot="1">
      <c r="L602" s="357">
        <v>602</v>
      </c>
      <c r="M602" s="852" t="s">
        <v>3238</v>
      </c>
    </row>
    <row r="603" spans="12:13" ht="12.75" customHeight="1" thickBot="1">
      <c r="L603" s="357">
        <v>603</v>
      </c>
      <c r="M603" s="852" t="s">
        <v>3239</v>
      </c>
    </row>
    <row r="604" spans="12:13" ht="12.75" customHeight="1" thickBot="1">
      <c r="L604" s="357">
        <v>604</v>
      </c>
      <c r="M604" s="852" t="s">
        <v>3240</v>
      </c>
    </row>
    <row r="605" spans="12:13" ht="12.75" customHeight="1" thickBot="1">
      <c r="L605" s="357">
        <v>605</v>
      </c>
      <c r="M605" s="852" t="s">
        <v>3241</v>
      </c>
    </row>
    <row r="606" spans="12:13" ht="12.75" customHeight="1" thickBot="1">
      <c r="L606" s="357">
        <v>606</v>
      </c>
      <c r="M606" s="852" t="s">
        <v>3242</v>
      </c>
    </row>
    <row r="607" spans="12:13" ht="12.75" customHeight="1" thickBot="1">
      <c r="L607" s="357">
        <v>607</v>
      </c>
      <c r="M607" s="852" t="s">
        <v>3243</v>
      </c>
    </row>
    <row r="608" spans="12:13" ht="12.75" customHeight="1" thickBot="1">
      <c r="L608" s="357">
        <v>608</v>
      </c>
      <c r="M608" s="852" t="s">
        <v>3244</v>
      </c>
    </row>
    <row r="609" spans="12:13" ht="12.75" customHeight="1" thickBot="1">
      <c r="L609" s="357">
        <v>609</v>
      </c>
      <c r="M609" s="852" t="s">
        <v>3245</v>
      </c>
    </row>
    <row r="610" spans="12:13" ht="12.75" customHeight="1" thickBot="1">
      <c r="L610" s="357">
        <v>610</v>
      </c>
      <c r="M610" s="852" t="s">
        <v>3246</v>
      </c>
    </row>
    <row r="611" spans="12:13" ht="12.75" customHeight="1" thickBot="1">
      <c r="L611" s="357">
        <v>611</v>
      </c>
      <c r="M611" s="852" t="s">
        <v>3247</v>
      </c>
    </row>
    <row r="612" spans="12:13" ht="12.75" customHeight="1" thickBot="1">
      <c r="L612" s="357">
        <v>612</v>
      </c>
      <c r="M612" s="852" t="s">
        <v>3248</v>
      </c>
    </row>
    <row r="613" spans="12:13" ht="12.75" customHeight="1" thickBot="1">
      <c r="L613" s="357">
        <v>613</v>
      </c>
      <c r="M613" s="852" t="s">
        <v>3249</v>
      </c>
    </row>
    <row r="614" spans="12:13" ht="12.75" customHeight="1" thickBot="1">
      <c r="L614" s="357">
        <v>614</v>
      </c>
      <c r="M614" s="852" t="s">
        <v>3250</v>
      </c>
    </row>
    <row r="615" spans="12:13" ht="12.75" customHeight="1" thickBot="1">
      <c r="L615" s="357">
        <v>615</v>
      </c>
      <c r="M615" s="852" t="s">
        <v>3251</v>
      </c>
    </row>
    <row r="616" spans="12:13" ht="12.75" customHeight="1" thickBot="1">
      <c r="L616" s="357">
        <v>616</v>
      </c>
      <c r="M616" s="852" t="s">
        <v>3252</v>
      </c>
    </row>
    <row r="617" spans="12:13" ht="12.75" customHeight="1" thickBot="1">
      <c r="L617" s="357">
        <v>617</v>
      </c>
      <c r="M617" s="852" t="s">
        <v>3253</v>
      </c>
    </row>
    <row r="618" spans="12:13" ht="12.75" customHeight="1" thickBot="1">
      <c r="L618" s="357">
        <v>618</v>
      </c>
      <c r="M618" s="852" t="s">
        <v>3254</v>
      </c>
    </row>
    <row r="619" spans="12:13" ht="12.75" customHeight="1" thickBot="1">
      <c r="L619" s="357">
        <v>619</v>
      </c>
      <c r="M619" s="852" t="s">
        <v>3255</v>
      </c>
    </row>
    <row r="620" spans="12:13" ht="12.75" customHeight="1" thickBot="1">
      <c r="L620" s="357">
        <v>620</v>
      </c>
      <c r="M620" s="852" t="s">
        <v>3256</v>
      </c>
    </row>
    <row r="621" spans="12:13" ht="12.75" customHeight="1" thickBot="1">
      <c r="L621" s="357">
        <v>621</v>
      </c>
      <c r="M621" s="852" t="s">
        <v>3257</v>
      </c>
    </row>
    <row r="622" spans="12:13" ht="12.75" customHeight="1" thickBot="1">
      <c r="L622" s="357">
        <v>622</v>
      </c>
      <c r="M622" s="852" t="s">
        <v>3258</v>
      </c>
    </row>
    <row r="623" spans="12:13" ht="12.75" customHeight="1" thickBot="1">
      <c r="L623" s="357">
        <v>623</v>
      </c>
      <c r="M623" s="852" t="s">
        <v>3259</v>
      </c>
    </row>
    <row r="624" spans="12:13" ht="12.75" customHeight="1" thickBot="1">
      <c r="L624" s="357">
        <v>624</v>
      </c>
      <c r="M624" s="852" t="s">
        <v>3260</v>
      </c>
    </row>
    <row r="625" spans="12:13" ht="12.75" customHeight="1" thickBot="1">
      <c r="L625" s="357">
        <v>625</v>
      </c>
      <c r="M625" s="852" t="s">
        <v>3261</v>
      </c>
    </row>
    <row r="626" spans="12:13" ht="12.75" customHeight="1" thickBot="1">
      <c r="L626" s="357">
        <v>626</v>
      </c>
      <c r="M626" s="852" t="s">
        <v>3262</v>
      </c>
    </row>
    <row r="627" spans="12:13" ht="12.75" customHeight="1" thickBot="1">
      <c r="L627" s="357">
        <v>627</v>
      </c>
      <c r="M627" s="852" t="s">
        <v>3263</v>
      </c>
    </row>
    <row r="628" spans="12:13" ht="12.75" customHeight="1" thickBot="1">
      <c r="L628" s="357">
        <v>628</v>
      </c>
      <c r="M628" s="852" t="s">
        <v>3264</v>
      </c>
    </row>
    <row r="629" spans="12:13" ht="12.75" customHeight="1" thickBot="1">
      <c r="L629" s="357">
        <v>629</v>
      </c>
      <c r="M629" s="852" t="s">
        <v>3265</v>
      </c>
    </row>
    <row r="630" spans="12:13" ht="12.75" customHeight="1" thickBot="1">
      <c r="L630" s="357">
        <v>630</v>
      </c>
      <c r="M630" s="852" t="s">
        <v>3266</v>
      </c>
    </row>
    <row r="631" spans="12:13" ht="12.75" customHeight="1" thickBot="1">
      <c r="L631" s="357">
        <v>631</v>
      </c>
      <c r="M631" s="852" t="s">
        <v>3267</v>
      </c>
    </row>
    <row r="632" spans="12:13" ht="12.75" customHeight="1" thickBot="1">
      <c r="L632" s="357">
        <v>632</v>
      </c>
      <c r="M632" s="852" t="s">
        <v>3268</v>
      </c>
    </row>
    <row r="633" spans="12:13" ht="12.75" customHeight="1" thickBot="1">
      <c r="L633" s="357">
        <v>633</v>
      </c>
      <c r="M633" s="852" t="s">
        <v>3269</v>
      </c>
    </row>
    <row r="634" spans="12:13" ht="12.75" customHeight="1" thickBot="1">
      <c r="L634" s="357">
        <v>634</v>
      </c>
      <c r="M634" s="852" t="s">
        <v>3270</v>
      </c>
    </row>
    <row r="635" spans="12:13" ht="12.75" customHeight="1" thickBot="1">
      <c r="L635" s="357">
        <v>635</v>
      </c>
      <c r="M635" s="852" t="s">
        <v>3271</v>
      </c>
    </row>
    <row r="636" spans="12:13" ht="12.75" customHeight="1" thickBot="1">
      <c r="L636" s="357">
        <v>636</v>
      </c>
      <c r="M636" s="852" t="s">
        <v>3272</v>
      </c>
    </row>
    <row r="637" spans="12:13" ht="12.75" customHeight="1" thickBot="1">
      <c r="L637" s="357">
        <v>637</v>
      </c>
      <c r="M637" s="852" t="s">
        <v>3273</v>
      </c>
    </row>
    <row r="638" spans="12:13" ht="12.75" customHeight="1" thickBot="1">
      <c r="L638" s="357">
        <v>638</v>
      </c>
      <c r="M638" s="852" t="s">
        <v>3274</v>
      </c>
    </row>
    <row r="639" spans="12:13" ht="12.75" customHeight="1" thickBot="1">
      <c r="L639" s="357">
        <v>639</v>
      </c>
      <c r="M639" s="852" t="s">
        <v>3275</v>
      </c>
    </row>
    <row r="640" spans="12:13" ht="12.75" customHeight="1" thickBot="1">
      <c r="L640" s="357">
        <v>640</v>
      </c>
      <c r="M640" s="852" t="s">
        <v>3276</v>
      </c>
    </row>
    <row r="641" spans="12:13" ht="12.75" customHeight="1" thickBot="1">
      <c r="L641" s="357">
        <v>641</v>
      </c>
      <c r="M641" s="852" t="s">
        <v>3277</v>
      </c>
    </row>
    <row r="642" spans="12:13" ht="12.75" customHeight="1" thickBot="1">
      <c r="L642" s="357">
        <v>642</v>
      </c>
      <c r="M642" s="852" t="s">
        <v>3278</v>
      </c>
    </row>
    <row r="643" spans="12:13" ht="12.75" customHeight="1" thickBot="1">
      <c r="L643" s="357">
        <v>643</v>
      </c>
      <c r="M643" s="852" t="s">
        <v>3279</v>
      </c>
    </row>
    <row r="644" spans="12:13" ht="12.75" customHeight="1" thickBot="1">
      <c r="L644" s="357">
        <v>644</v>
      </c>
      <c r="M644" s="852" t="s">
        <v>3280</v>
      </c>
    </row>
    <row r="645" spans="12:13" ht="12.75" customHeight="1" thickBot="1">
      <c r="L645" s="357">
        <v>645</v>
      </c>
      <c r="M645" s="852" t="s">
        <v>3281</v>
      </c>
    </row>
    <row r="646" spans="12:13" ht="12.75" customHeight="1" thickBot="1">
      <c r="L646" s="357">
        <v>646</v>
      </c>
      <c r="M646" s="852" t="s">
        <v>3282</v>
      </c>
    </row>
    <row r="647" spans="12:13" ht="12.75" customHeight="1" thickBot="1">
      <c r="L647" s="357">
        <v>647</v>
      </c>
      <c r="M647" s="852" t="s">
        <v>3283</v>
      </c>
    </row>
    <row r="648" spans="12:13" ht="12.75" customHeight="1" thickBot="1">
      <c r="L648" s="357">
        <v>648</v>
      </c>
      <c r="M648" s="852" t="s">
        <v>3284</v>
      </c>
    </row>
    <row r="649" spans="12:13" ht="12.75" customHeight="1" thickBot="1">
      <c r="L649" s="357">
        <v>649</v>
      </c>
      <c r="M649" s="852" t="s">
        <v>3285</v>
      </c>
    </row>
    <row r="650" spans="12:13" ht="12.75" customHeight="1" thickBot="1">
      <c r="L650" s="357">
        <v>650</v>
      </c>
      <c r="M650" s="852" t="s">
        <v>3286</v>
      </c>
    </row>
    <row r="651" spans="12:13" ht="12.75" customHeight="1" thickBot="1">
      <c r="L651" s="357">
        <v>651</v>
      </c>
      <c r="M651" s="852" t="s">
        <v>3287</v>
      </c>
    </row>
    <row r="652" spans="12:13" ht="12.75" customHeight="1" thickBot="1">
      <c r="L652" s="357">
        <v>652</v>
      </c>
      <c r="M652" s="852" t="s">
        <v>3288</v>
      </c>
    </row>
    <row r="653" spans="12:13" ht="12.75" customHeight="1" thickBot="1">
      <c r="L653" s="357">
        <v>653</v>
      </c>
      <c r="M653" s="852" t="s">
        <v>3289</v>
      </c>
    </row>
    <row r="654" spans="12:13" ht="12.75" customHeight="1" thickBot="1">
      <c r="L654" s="357">
        <v>654</v>
      </c>
      <c r="M654" s="852" t="s">
        <v>3290</v>
      </c>
    </row>
    <row r="655" spans="12:13" ht="12.75" customHeight="1" thickBot="1">
      <c r="L655" s="357">
        <v>655</v>
      </c>
      <c r="M655" s="852" t="s">
        <v>3291</v>
      </c>
    </row>
    <row r="656" spans="12:13" ht="12.75" customHeight="1" thickBot="1">
      <c r="L656" s="357">
        <v>656</v>
      </c>
      <c r="M656" s="852" t="s">
        <v>3292</v>
      </c>
    </row>
    <row r="657" spans="12:13" ht="12.75" customHeight="1" thickBot="1">
      <c r="L657" s="357">
        <v>657</v>
      </c>
      <c r="M657" s="852" t="s">
        <v>3293</v>
      </c>
    </row>
    <row r="658" spans="12:13" ht="12.75" customHeight="1" thickBot="1">
      <c r="L658" s="357">
        <v>658</v>
      </c>
      <c r="M658" s="852" t="s">
        <v>3294</v>
      </c>
    </row>
    <row r="659" spans="12:13" ht="12.75" customHeight="1" thickBot="1">
      <c r="L659" s="357">
        <v>659</v>
      </c>
      <c r="M659" s="852" t="s">
        <v>3295</v>
      </c>
    </row>
    <row r="660" spans="12:13" ht="12.75" customHeight="1" thickBot="1">
      <c r="L660" s="357">
        <v>660</v>
      </c>
      <c r="M660" s="852" t="s">
        <v>3296</v>
      </c>
    </row>
    <row r="661" spans="12:13" ht="12.75" customHeight="1" thickBot="1">
      <c r="L661" s="357">
        <v>661</v>
      </c>
      <c r="M661" s="852" t="s">
        <v>3297</v>
      </c>
    </row>
    <row r="662" spans="12:13" ht="12.75" customHeight="1" thickBot="1">
      <c r="L662" s="357">
        <v>662</v>
      </c>
      <c r="M662" s="852" t="s">
        <v>3298</v>
      </c>
    </row>
    <row r="663" spans="12:13" ht="12.75" customHeight="1" thickBot="1">
      <c r="L663" s="357">
        <v>663</v>
      </c>
      <c r="M663" s="852" t="s">
        <v>3299</v>
      </c>
    </row>
    <row r="664" spans="12:13" ht="12.75" customHeight="1" thickBot="1">
      <c r="L664" s="357">
        <v>664</v>
      </c>
      <c r="M664" s="852" t="s">
        <v>3300</v>
      </c>
    </row>
    <row r="665" spans="12:13" ht="12.75" customHeight="1" thickBot="1">
      <c r="L665" s="357">
        <v>665</v>
      </c>
      <c r="M665" s="852" t="s">
        <v>3301</v>
      </c>
    </row>
    <row r="666" spans="12:13" ht="12.75" customHeight="1" thickBot="1">
      <c r="L666" s="357">
        <v>666</v>
      </c>
      <c r="M666" s="852" t="s">
        <v>3302</v>
      </c>
    </row>
    <row r="667" spans="12:13" ht="12.75" customHeight="1" thickBot="1">
      <c r="L667" s="357">
        <v>667</v>
      </c>
      <c r="M667" s="852" t="s">
        <v>3303</v>
      </c>
    </row>
    <row r="668" spans="12:13" ht="12.75" customHeight="1" thickBot="1">
      <c r="L668" s="357">
        <v>668</v>
      </c>
      <c r="M668" s="852" t="s">
        <v>3304</v>
      </c>
    </row>
    <row r="669" spans="12:13" ht="12.75" customHeight="1" thickBot="1">
      <c r="L669" s="357">
        <v>669</v>
      </c>
      <c r="M669" s="852" t="s">
        <v>3305</v>
      </c>
    </row>
    <row r="670" spans="12:13" ht="12.75" customHeight="1" thickBot="1">
      <c r="L670" s="357">
        <v>670</v>
      </c>
      <c r="M670" s="852" t="s">
        <v>3306</v>
      </c>
    </row>
    <row r="671" spans="12:13" ht="12.75" customHeight="1" thickBot="1">
      <c r="L671" s="357">
        <v>671</v>
      </c>
      <c r="M671" s="852" t="s">
        <v>3307</v>
      </c>
    </row>
    <row r="672" spans="12:13" ht="12.75" customHeight="1" thickBot="1">
      <c r="L672" s="357">
        <v>672</v>
      </c>
      <c r="M672" s="852" t="s">
        <v>3308</v>
      </c>
    </row>
    <row r="673" spans="12:13" ht="12.75" customHeight="1" thickBot="1">
      <c r="L673" s="357">
        <v>673</v>
      </c>
      <c r="M673" s="852" t="s">
        <v>3309</v>
      </c>
    </row>
    <row r="674" spans="12:13" ht="12.75" customHeight="1" thickBot="1">
      <c r="L674" s="357">
        <v>674</v>
      </c>
      <c r="M674" s="852" t="s">
        <v>3310</v>
      </c>
    </row>
    <row r="675" spans="12:13" ht="12.75" customHeight="1" thickBot="1">
      <c r="L675" s="357">
        <v>675</v>
      </c>
      <c r="M675" s="852" t="s">
        <v>3311</v>
      </c>
    </row>
    <row r="676" spans="12:13" ht="12.75" customHeight="1" thickBot="1">
      <c r="L676" s="357">
        <v>676</v>
      </c>
      <c r="M676" s="852" t="s">
        <v>3312</v>
      </c>
    </row>
    <row r="677" spans="12:13" ht="12.75" customHeight="1">
      <c r="L677" s="357">
        <v>677</v>
      </c>
      <c r="M677" s="853" t="s">
        <v>3313</v>
      </c>
    </row>
    <row r="678" spans="12:13" ht="12.75" customHeight="1" thickBot="1">
      <c r="L678" s="357">
        <v>678</v>
      </c>
      <c r="M678" s="852" t="s">
        <v>3314</v>
      </c>
    </row>
    <row r="679" spans="12:13" ht="12.75" customHeight="1" thickBot="1">
      <c r="L679" s="357">
        <v>679</v>
      </c>
      <c r="M679" s="852" t="s">
        <v>3315</v>
      </c>
    </row>
    <row r="680" spans="12:13" ht="12.75" customHeight="1" thickBot="1">
      <c r="L680" s="357">
        <v>680</v>
      </c>
      <c r="M680" s="852" t="s">
        <v>3316</v>
      </c>
    </row>
    <row r="681" spans="12:13" ht="12.75" customHeight="1" thickBot="1">
      <c r="L681" s="357">
        <v>681</v>
      </c>
      <c r="M681" s="852" t="s">
        <v>3317</v>
      </c>
    </row>
    <row r="682" spans="12:13" ht="12.75" customHeight="1" thickBot="1">
      <c r="L682" s="357">
        <v>682</v>
      </c>
      <c r="M682" s="852" t="s">
        <v>3318</v>
      </c>
    </row>
    <row r="683" spans="12:13" ht="12.75" customHeight="1" thickBot="1">
      <c r="L683" s="357">
        <v>683</v>
      </c>
      <c r="M683" s="852" t="s">
        <v>3319</v>
      </c>
    </row>
    <row r="684" spans="12:13" ht="12.75" customHeight="1" thickBot="1">
      <c r="L684" s="357">
        <v>684</v>
      </c>
      <c r="M684" s="852" t="s">
        <v>3320</v>
      </c>
    </row>
    <row r="685" spans="12:13" ht="12.75" customHeight="1" thickBot="1">
      <c r="L685" s="357">
        <v>685</v>
      </c>
      <c r="M685" s="852" t="s">
        <v>3321</v>
      </c>
    </row>
    <row r="686" spans="12:13" ht="12.75" customHeight="1" thickBot="1">
      <c r="L686" s="357">
        <v>686</v>
      </c>
      <c r="M686" s="852" t="s">
        <v>3322</v>
      </c>
    </row>
    <row r="687" spans="12:13" ht="12.75" customHeight="1" thickBot="1">
      <c r="L687" s="357">
        <v>687</v>
      </c>
      <c r="M687" s="852" t="s">
        <v>3323</v>
      </c>
    </row>
    <row r="688" spans="12:13" ht="12.75" customHeight="1" thickBot="1">
      <c r="L688" s="357">
        <v>688</v>
      </c>
      <c r="M688" s="852" t="s">
        <v>3324</v>
      </c>
    </row>
    <row r="689" spans="12:13" ht="12.75" customHeight="1" thickBot="1">
      <c r="L689" s="357">
        <v>689</v>
      </c>
      <c r="M689" s="852" t="s">
        <v>3325</v>
      </c>
    </row>
    <row r="690" spans="12:13" ht="12.75" customHeight="1" thickBot="1">
      <c r="L690" s="357">
        <v>690</v>
      </c>
      <c r="M690" s="852" t="s">
        <v>3326</v>
      </c>
    </row>
    <row r="691" spans="12:13" ht="12.75" customHeight="1" thickBot="1">
      <c r="L691" s="357">
        <v>691</v>
      </c>
      <c r="M691" s="852" t="s">
        <v>3327</v>
      </c>
    </row>
    <row r="692" spans="12:13" ht="12.75" customHeight="1" thickBot="1">
      <c r="L692" s="357">
        <v>692</v>
      </c>
      <c r="M692" s="852" t="s">
        <v>3328</v>
      </c>
    </row>
    <row r="693" spans="12:13" ht="12.75" customHeight="1" thickBot="1">
      <c r="L693" s="357">
        <v>693</v>
      </c>
      <c r="M693" s="852" t="s">
        <v>3329</v>
      </c>
    </row>
    <row r="694" spans="12:13" ht="12.75" customHeight="1" thickBot="1">
      <c r="L694" s="357">
        <v>694</v>
      </c>
      <c r="M694" s="852" t="s">
        <v>3330</v>
      </c>
    </row>
    <row r="695" spans="12:13" ht="12.75" customHeight="1" thickBot="1">
      <c r="L695" s="357">
        <v>695</v>
      </c>
      <c r="M695" s="852" t="s">
        <v>3331</v>
      </c>
    </row>
    <row r="696" spans="12:13" ht="12.75" customHeight="1" thickBot="1">
      <c r="L696" s="357">
        <v>696</v>
      </c>
      <c r="M696" s="852" t="s">
        <v>3332</v>
      </c>
    </row>
    <row r="697" spans="12:13" ht="12.75" customHeight="1" thickBot="1">
      <c r="L697" s="357">
        <v>697</v>
      </c>
      <c r="M697" s="852" t="s">
        <v>3333</v>
      </c>
    </row>
    <row r="698" spans="12:13" ht="12.75" customHeight="1" thickBot="1">
      <c r="L698" s="357">
        <v>698</v>
      </c>
      <c r="M698" s="852" t="s">
        <v>3334</v>
      </c>
    </row>
    <row r="699" spans="12:13" ht="12.75" customHeight="1" thickBot="1">
      <c r="L699" s="357">
        <v>699</v>
      </c>
      <c r="M699" s="852" t="s">
        <v>3335</v>
      </c>
    </row>
    <row r="700" spans="12:13" ht="12.75" customHeight="1" thickBot="1">
      <c r="L700" s="357">
        <v>700</v>
      </c>
      <c r="M700" s="852" t="s">
        <v>3336</v>
      </c>
    </row>
    <row r="701" spans="12:13" ht="12.75" customHeight="1" thickBot="1">
      <c r="L701" s="357">
        <v>701</v>
      </c>
      <c r="M701" s="852" t="s">
        <v>3337</v>
      </c>
    </row>
    <row r="702" spans="12:13" ht="12.75" customHeight="1" thickBot="1">
      <c r="L702" s="357">
        <v>702</v>
      </c>
      <c r="M702" s="852" t="s">
        <v>3338</v>
      </c>
    </row>
    <row r="703" spans="12:13" ht="12.75" customHeight="1" thickBot="1">
      <c r="L703" s="357">
        <v>703</v>
      </c>
      <c r="M703" s="852" t="s">
        <v>3339</v>
      </c>
    </row>
    <row r="704" spans="12:13" ht="12.75" customHeight="1" thickBot="1">
      <c r="L704" s="357">
        <v>704</v>
      </c>
      <c r="M704" s="852" t="s">
        <v>3340</v>
      </c>
    </row>
    <row r="705" spans="12:13" ht="12.75" customHeight="1" thickBot="1">
      <c r="L705" s="357">
        <v>705</v>
      </c>
      <c r="M705" s="852" t="s">
        <v>3341</v>
      </c>
    </row>
    <row r="706" spans="12:13" ht="12.75" customHeight="1" thickBot="1">
      <c r="L706" s="357">
        <v>706</v>
      </c>
      <c r="M706" s="852" t="s">
        <v>3342</v>
      </c>
    </row>
    <row r="707" spans="12:13" ht="12.75" customHeight="1" thickBot="1">
      <c r="L707" s="357">
        <v>707</v>
      </c>
      <c r="M707" s="852" t="s">
        <v>3343</v>
      </c>
    </row>
    <row r="708" spans="12:13" ht="12.75" customHeight="1" thickBot="1">
      <c r="L708" s="357">
        <v>708</v>
      </c>
      <c r="M708" s="852" t="s">
        <v>3344</v>
      </c>
    </row>
    <row r="709" spans="12:13" ht="12.75" customHeight="1" thickBot="1">
      <c r="L709" s="357">
        <v>709</v>
      </c>
      <c r="M709" s="852" t="s">
        <v>3345</v>
      </c>
    </row>
    <row r="710" spans="12:13" ht="12.75" customHeight="1" thickBot="1">
      <c r="L710" s="357">
        <v>710</v>
      </c>
      <c r="M710" s="852" t="s">
        <v>3346</v>
      </c>
    </row>
    <row r="711" spans="12:13" ht="12.75" customHeight="1" thickBot="1">
      <c r="L711" s="357">
        <v>711</v>
      </c>
      <c r="M711" s="852" t="s">
        <v>3347</v>
      </c>
    </row>
    <row r="712" spans="12:13" ht="12.75" customHeight="1" thickBot="1">
      <c r="L712" s="357">
        <v>712</v>
      </c>
      <c r="M712" s="852" t="s">
        <v>3348</v>
      </c>
    </row>
    <row r="713" spans="12:13" ht="12.75" customHeight="1">
      <c r="L713" s="357">
        <v>713</v>
      </c>
      <c r="M713" s="853" t="s">
        <v>3349</v>
      </c>
    </row>
    <row r="714" spans="12:13" ht="12.75" customHeight="1" thickBot="1">
      <c r="L714" s="357">
        <v>714</v>
      </c>
      <c r="M714" s="852" t="s">
        <v>3350</v>
      </c>
    </row>
    <row r="715" spans="12:13" ht="12.75" customHeight="1" thickBot="1">
      <c r="L715" s="357">
        <v>715</v>
      </c>
      <c r="M715" s="852" t="s">
        <v>3351</v>
      </c>
    </row>
    <row r="716" spans="12:13" ht="12.75" customHeight="1" thickBot="1">
      <c r="L716" s="357">
        <v>716</v>
      </c>
      <c r="M716" s="852" t="s">
        <v>3352</v>
      </c>
    </row>
    <row r="717" spans="12:13" ht="12.75" customHeight="1" thickBot="1">
      <c r="L717" s="357">
        <v>717</v>
      </c>
      <c r="M717" s="852" t="s">
        <v>3353</v>
      </c>
    </row>
    <row r="718" spans="12:13" ht="12.75" customHeight="1">
      <c r="L718" s="357">
        <v>718</v>
      </c>
      <c r="M718" s="853" t="s">
        <v>3354</v>
      </c>
    </row>
    <row r="719" spans="12:13" ht="12.75" customHeight="1" thickBot="1">
      <c r="L719" s="357">
        <v>719</v>
      </c>
      <c r="M719" s="852" t="s">
        <v>3355</v>
      </c>
    </row>
    <row r="720" spans="12:13" ht="12.75" customHeight="1" thickBot="1">
      <c r="L720" s="357">
        <v>720</v>
      </c>
      <c r="M720" s="852" t="s">
        <v>3356</v>
      </c>
    </row>
    <row r="721" spans="12:13" ht="12.75" customHeight="1" thickBot="1">
      <c r="L721" s="357">
        <v>721</v>
      </c>
      <c r="M721" s="852" t="s">
        <v>3357</v>
      </c>
    </row>
    <row r="722" spans="12:13" ht="12.75" customHeight="1" thickBot="1">
      <c r="L722" s="357">
        <v>722</v>
      </c>
      <c r="M722" s="852" t="s">
        <v>3358</v>
      </c>
    </row>
    <row r="723" spans="12:13" ht="12.75" customHeight="1" thickBot="1">
      <c r="L723" s="357">
        <v>723</v>
      </c>
      <c r="M723" s="852" t="s">
        <v>3359</v>
      </c>
    </row>
    <row r="724" spans="12:13" ht="12.75" customHeight="1" thickBot="1">
      <c r="L724" s="357">
        <v>724</v>
      </c>
      <c r="M724" s="852" t="s">
        <v>3360</v>
      </c>
    </row>
    <row r="725" spans="12:13" ht="12.75" customHeight="1" thickBot="1">
      <c r="L725" s="357">
        <v>725</v>
      </c>
      <c r="M725" s="852" t="s">
        <v>3361</v>
      </c>
    </row>
    <row r="726" spans="12:13" ht="12.75" customHeight="1" thickBot="1">
      <c r="L726" s="357">
        <v>726</v>
      </c>
      <c r="M726" s="852" t="s">
        <v>3362</v>
      </c>
    </row>
    <row r="727" spans="12:13" ht="12.75" customHeight="1" thickBot="1">
      <c r="L727" s="357">
        <v>727</v>
      </c>
      <c r="M727" s="852" t="s">
        <v>3363</v>
      </c>
    </row>
    <row r="728" spans="12:13" ht="12.75" customHeight="1">
      <c r="L728" s="357">
        <v>728</v>
      </c>
      <c r="M728" s="853" t="s">
        <v>3364</v>
      </c>
    </row>
    <row r="729" spans="12:13" ht="12.75" customHeight="1" thickBot="1">
      <c r="L729" s="357">
        <v>729</v>
      </c>
      <c r="M729" s="852" t="s">
        <v>3365</v>
      </c>
    </row>
    <row r="730" spans="12:13" ht="12.75" customHeight="1" thickBot="1">
      <c r="L730" s="357">
        <v>730</v>
      </c>
      <c r="M730" s="852" t="s">
        <v>3366</v>
      </c>
    </row>
    <row r="731" spans="12:13" ht="12.75" customHeight="1" thickBot="1">
      <c r="L731" s="357">
        <v>731</v>
      </c>
      <c r="M731" s="852" t="s">
        <v>3367</v>
      </c>
    </row>
    <row r="732" spans="12:13" ht="12.75" customHeight="1" thickBot="1">
      <c r="L732" s="357">
        <v>732</v>
      </c>
      <c r="M732" s="852" t="s">
        <v>3368</v>
      </c>
    </row>
    <row r="733" spans="12:13" ht="12.75" customHeight="1" thickBot="1">
      <c r="L733" s="357">
        <v>733</v>
      </c>
      <c r="M733" s="852" t="s">
        <v>3369</v>
      </c>
    </row>
    <row r="734" spans="12:13" ht="12.75" customHeight="1" thickBot="1">
      <c r="L734" s="357">
        <v>734</v>
      </c>
      <c r="M734" s="852" t="s">
        <v>3370</v>
      </c>
    </row>
    <row r="735" spans="12:13" ht="12.75" customHeight="1" thickBot="1">
      <c r="L735" s="357">
        <v>735</v>
      </c>
      <c r="M735" s="852" t="s">
        <v>3371</v>
      </c>
    </row>
    <row r="736" spans="12:13" ht="12.75" customHeight="1" thickBot="1">
      <c r="L736" s="357">
        <v>736</v>
      </c>
      <c r="M736" s="852" t="s">
        <v>3372</v>
      </c>
    </row>
    <row r="737" spans="12:13" ht="12.75" customHeight="1" thickBot="1">
      <c r="L737" s="357">
        <v>737</v>
      </c>
      <c r="M737" s="852" t="s">
        <v>3373</v>
      </c>
    </row>
    <row r="738" spans="12:13" ht="12.75" customHeight="1" thickBot="1">
      <c r="L738" s="357">
        <v>738</v>
      </c>
      <c r="M738" s="852" t="s">
        <v>3374</v>
      </c>
    </row>
    <row r="739" spans="12:13" ht="12.75" customHeight="1" thickBot="1">
      <c r="L739" s="357">
        <v>739</v>
      </c>
      <c r="M739" s="852" t="s">
        <v>3375</v>
      </c>
    </row>
    <row r="740" spans="12:13" ht="12.75" customHeight="1" thickBot="1">
      <c r="L740" s="357">
        <v>740</v>
      </c>
      <c r="M740" s="852" t="s">
        <v>3376</v>
      </c>
    </row>
    <row r="741" spans="12:13" ht="12.75" customHeight="1" thickBot="1">
      <c r="L741" s="357">
        <v>741</v>
      </c>
      <c r="M741" s="852" t="s">
        <v>3377</v>
      </c>
    </row>
    <row r="742" spans="12:13" ht="12.75" customHeight="1" thickBot="1">
      <c r="L742" s="357">
        <v>742</v>
      </c>
      <c r="M742" s="852" t="s">
        <v>3378</v>
      </c>
    </row>
    <row r="743" spans="12:13" ht="12.75" customHeight="1" thickBot="1">
      <c r="L743" s="357">
        <v>743</v>
      </c>
      <c r="M743" s="852" t="s">
        <v>3379</v>
      </c>
    </row>
    <row r="744" spans="12:13" ht="12.75" customHeight="1" thickBot="1">
      <c r="L744" s="357">
        <v>744</v>
      </c>
      <c r="M744" s="852" t="s">
        <v>1457</v>
      </c>
    </row>
    <row r="745" spans="12:13" ht="12.75" customHeight="1" thickBot="1">
      <c r="L745" s="357">
        <v>745</v>
      </c>
      <c r="M745" s="852" t="s">
        <v>3380</v>
      </c>
    </row>
    <row r="746" spans="12:13" ht="12.75" customHeight="1" thickBot="1">
      <c r="L746" s="357">
        <v>746</v>
      </c>
      <c r="M746" s="852" t="s">
        <v>3381</v>
      </c>
    </row>
    <row r="747" spans="12:13" ht="12.75" customHeight="1" thickBot="1">
      <c r="L747" s="357">
        <v>747</v>
      </c>
      <c r="M747" s="852" t="s">
        <v>3382</v>
      </c>
    </row>
    <row r="748" spans="12:13" ht="12.75" customHeight="1" thickBot="1">
      <c r="L748" s="357">
        <v>748</v>
      </c>
      <c r="M748" s="852" t="s">
        <v>3383</v>
      </c>
    </row>
    <row r="749" spans="12:13" ht="12.75" customHeight="1" thickBot="1">
      <c r="L749" s="357">
        <v>749</v>
      </c>
      <c r="M749" s="852" t="s">
        <v>3384</v>
      </c>
    </row>
    <row r="750" spans="12:13" ht="12.75" customHeight="1" thickBot="1">
      <c r="L750" s="357">
        <v>750</v>
      </c>
      <c r="M750" s="852" t="s">
        <v>3385</v>
      </c>
    </row>
    <row r="751" spans="12:13" ht="12.75" customHeight="1" thickBot="1">
      <c r="L751" s="357">
        <v>751</v>
      </c>
      <c r="M751" s="852" t="s">
        <v>3386</v>
      </c>
    </row>
    <row r="752" spans="12:13" ht="12.75" customHeight="1" thickBot="1">
      <c r="L752" s="357">
        <v>752</v>
      </c>
      <c r="M752" s="852" t="s">
        <v>3387</v>
      </c>
    </row>
    <row r="753" spans="12:13" ht="12.75" customHeight="1" thickBot="1">
      <c r="L753" s="357">
        <v>753</v>
      </c>
      <c r="M753" s="852" t="s">
        <v>3388</v>
      </c>
    </row>
    <row r="754" spans="12:13" ht="12.75" customHeight="1">
      <c r="L754" s="357">
        <v>754</v>
      </c>
      <c r="M754" s="853" t="s">
        <v>3389</v>
      </c>
    </row>
    <row r="755" spans="12:13" ht="12.75" customHeight="1" thickBot="1">
      <c r="L755" s="357">
        <v>755</v>
      </c>
      <c r="M755" s="852" t="s">
        <v>3390</v>
      </c>
    </row>
    <row r="756" spans="12:13" ht="12.75" customHeight="1">
      <c r="L756" s="357">
        <v>756</v>
      </c>
      <c r="M756" s="853" t="s">
        <v>3391</v>
      </c>
    </row>
    <row r="757" spans="12:13" ht="12.75" customHeight="1" thickBot="1">
      <c r="L757" s="357">
        <v>757</v>
      </c>
      <c r="M757" s="852" t="s">
        <v>3392</v>
      </c>
    </row>
    <row r="758" spans="12:13" ht="12.75" customHeight="1" thickBot="1">
      <c r="L758" s="357">
        <v>758</v>
      </c>
      <c r="M758" s="852" t="s">
        <v>3393</v>
      </c>
    </row>
    <row r="759" spans="12:13" ht="12.75" customHeight="1" thickBot="1">
      <c r="L759" s="357">
        <v>759</v>
      </c>
      <c r="M759" s="852" t="s">
        <v>3394</v>
      </c>
    </row>
    <row r="760" spans="12:13" ht="12.75" customHeight="1" thickBot="1">
      <c r="L760" s="357">
        <v>760</v>
      </c>
      <c r="M760" s="852" t="s">
        <v>3395</v>
      </c>
    </row>
    <row r="761" spans="12:13" ht="12.75" customHeight="1" thickBot="1">
      <c r="L761" s="357">
        <v>761</v>
      </c>
      <c r="M761" s="852" t="s">
        <v>3396</v>
      </c>
    </row>
    <row r="762" spans="12:13" ht="12.75" customHeight="1" thickBot="1">
      <c r="L762" s="357">
        <v>762</v>
      </c>
      <c r="M762" s="852" t="s">
        <v>3397</v>
      </c>
    </row>
    <row r="763" spans="12:13" ht="12.75" customHeight="1" thickBot="1">
      <c r="L763" s="357">
        <v>763</v>
      </c>
      <c r="M763" s="852" t="s">
        <v>3398</v>
      </c>
    </row>
    <row r="764" spans="12:13" ht="12.75" customHeight="1" thickBot="1">
      <c r="L764" s="357">
        <v>764</v>
      </c>
      <c r="M764" s="852" t="s">
        <v>3399</v>
      </c>
    </row>
    <row r="765" spans="12:13" ht="12.75" customHeight="1" thickBot="1">
      <c r="L765" s="357">
        <v>765</v>
      </c>
      <c r="M765" s="852" t="s">
        <v>3400</v>
      </c>
    </row>
    <row r="766" spans="12:13" ht="12.75" customHeight="1" thickBot="1">
      <c r="L766" s="357">
        <v>766</v>
      </c>
      <c r="M766" s="852" t="s">
        <v>3401</v>
      </c>
    </row>
    <row r="767" spans="12:13" ht="12.75" customHeight="1" thickBot="1">
      <c r="L767" s="357">
        <v>767</v>
      </c>
      <c r="M767" s="852" t="s">
        <v>3402</v>
      </c>
    </row>
    <row r="768" spans="12:13" ht="12.75" customHeight="1" thickBot="1">
      <c r="L768" s="357">
        <v>768</v>
      </c>
      <c r="M768" s="852" t="s">
        <v>3403</v>
      </c>
    </row>
    <row r="769" spans="12:13" ht="12.75" customHeight="1" thickBot="1">
      <c r="L769" s="357">
        <v>769</v>
      </c>
      <c r="M769" s="852" t="s">
        <v>3404</v>
      </c>
    </row>
    <row r="770" spans="12:13" ht="12.75" customHeight="1" thickBot="1">
      <c r="L770" s="357">
        <v>770</v>
      </c>
      <c r="M770" s="852" t="s">
        <v>3405</v>
      </c>
    </row>
    <row r="771" spans="12:13" ht="12.75" customHeight="1" thickBot="1">
      <c r="L771" s="357">
        <v>771</v>
      </c>
      <c r="M771" s="852" t="s">
        <v>3406</v>
      </c>
    </row>
    <row r="772" spans="12:13" ht="12.75" customHeight="1" thickBot="1">
      <c r="L772" s="357">
        <v>772</v>
      </c>
      <c r="M772" s="852" t="s">
        <v>3407</v>
      </c>
    </row>
    <row r="773" spans="12:13" ht="12.75" customHeight="1" thickBot="1">
      <c r="L773" s="357">
        <v>773</v>
      </c>
      <c r="M773" s="852" t="s">
        <v>3408</v>
      </c>
    </row>
    <row r="774" spans="12:13" ht="12.75" customHeight="1" thickBot="1">
      <c r="L774" s="357">
        <v>774</v>
      </c>
      <c r="M774" s="852" t="s">
        <v>3409</v>
      </c>
    </row>
    <row r="775" spans="12:13" ht="12.75" customHeight="1" thickBot="1">
      <c r="L775" s="357">
        <v>775</v>
      </c>
      <c r="M775" s="852" t="s">
        <v>3410</v>
      </c>
    </row>
    <row r="776" spans="12:13" ht="12.75" customHeight="1" thickBot="1">
      <c r="L776" s="357">
        <v>776</v>
      </c>
      <c r="M776" s="852" t="s">
        <v>3411</v>
      </c>
    </row>
    <row r="777" spans="12:13" ht="12.75" customHeight="1" thickBot="1">
      <c r="L777" s="357">
        <v>777</v>
      </c>
      <c r="M777" s="852" t="s">
        <v>3412</v>
      </c>
    </row>
    <row r="778" spans="12:13" ht="12.75" customHeight="1" thickBot="1">
      <c r="L778" s="357">
        <v>778</v>
      </c>
      <c r="M778" s="852" t="s">
        <v>3413</v>
      </c>
    </row>
    <row r="779" spans="12:13" ht="12.75" customHeight="1" thickBot="1">
      <c r="L779" s="357">
        <v>779</v>
      </c>
      <c r="M779" s="852" t="s">
        <v>3414</v>
      </c>
    </row>
    <row r="780" spans="12:13" ht="12.75" customHeight="1" thickBot="1">
      <c r="L780" s="357">
        <v>780</v>
      </c>
      <c r="M780" s="852" t="s">
        <v>3415</v>
      </c>
    </row>
    <row r="781" spans="12:13" ht="12.75" customHeight="1" thickBot="1">
      <c r="L781" s="357">
        <v>781</v>
      </c>
      <c r="M781" s="852" t="s">
        <v>3416</v>
      </c>
    </row>
    <row r="782" spans="12:13" ht="12.75" customHeight="1" thickBot="1">
      <c r="L782" s="357">
        <v>782</v>
      </c>
      <c r="M782" s="852" t="s">
        <v>3417</v>
      </c>
    </row>
    <row r="783" spans="12:13" ht="12.75" customHeight="1" thickBot="1">
      <c r="L783" s="357">
        <v>783</v>
      </c>
      <c r="M783" s="852" t="s">
        <v>3418</v>
      </c>
    </row>
    <row r="784" spans="12:13" ht="12.75" customHeight="1" thickBot="1">
      <c r="L784" s="357">
        <v>784</v>
      </c>
      <c r="M784" s="852" t="s">
        <v>3419</v>
      </c>
    </row>
    <row r="785" spans="12:13" ht="12.75" customHeight="1" thickBot="1">
      <c r="L785" s="357">
        <v>785</v>
      </c>
      <c r="M785" s="852" t="s">
        <v>3420</v>
      </c>
    </row>
    <row r="786" spans="12:13" ht="12.75" customHeight="1" thickBot="1">
      <c r="L786" s="357">
        <v>786</v>
      </c>
      <c r="M786" s="852" t="s">
        <v>3421</v>
      </c>
    </row>
    <row r="787" spans="12:13" ht="12.75" customHeight="1">
      <c r="L787" s="357">
        <v>787</v>
      </c>
      <c r="M787" s="853" t="s">
        <v>3422</v>
      </c>
    </row>
    <row r="788" spans="12:13" ht="12.75" customHeight="1" thickBot="1">
      <c r="L788" s="357">
        <v>788</v>
      </c>
      <c r="M788" s="852" t="s">
        <v>3423</v>
      </c>
    </row>
    <row r="789" spans="12:13" ht="12.75" customHeight="1" thickBot="1">
      <c r="L789" s="357">
        <v>789</v>
      </c>
      <c r="M789" s="852" t="s">
        <v>3424</v>
      </c>
    </row>
    <row r="790" spans="12:13" ht="12.75" customHeight="1" thickBot="1">
      <c r="L790" s="357">
        <v>790</v>
      </c>
      <c r="M790" s="852" t="s">
        <v>3425</v>
      </c>
    </row>
    <row r="791" spans="12:13" ht="12.75" customHeight="1" thickBot="1">
      <c r="L791" s="357">
        <v>791</v>
      </c>
      <c r="M791" s="852" t="s">
        <v>3426</v>
      </c>
    </row>
    <row r="792" spans="12:13" ht="12.75" customHeight="1" thickBot="1">
      <c r="L792" s="357">
        <v>792</v>
      </c>
      <c r="M792" s="852" t="s">
        <v>3427</v>
      </c>
    </row>
    <row r="793" spans="12:13" ht="12.75" customHeight="1" thickBot="1">
      <c r="L793" s="357">
        <v>793</v>
      </c>
      <c r="M793" s="852" t="s">
        <v>3428</v>
      </c>
    </row>
    <row r="794" spans="12:13" ht="12.75" customHeight="1">
      <c r="L794" s="357">
        <v>794</v>
      </c>
      <c r="M794" s="853" t="s">
        <v>3429</v>
      </c>
    </row>
    <row r="795" spans="12:13" ht="12.75" customHeight="1" thickBot="1">
      <c r="L795" s="357">
        <v>795</v>
      </c>
      <c r="M795" s="852" t="s">
        <v>3430</v>
      </c>
    </row>
    <row r="796" spans="12:13" ht="12.75" customHeight="1" thickBot="1">
      <c r="L796" s="357">
        <v>796</v>
      </c>
      <c r="M796" s="852" t="s">
        <v>3431</v>
      </c>
    </row>
    <row r="797" spans="12:13" ht="12.75" customHeight="1" thickBot="1">
      <c r="L797" s="357">
        <v>797</v>
      </c>
      <c r="M797" s="852" t="s">
        <v>3432</v>
      </c>
    </row>
    <row r="798" spans="12:13" ht="12.75" customHeight="1" thickBot="1">
      <c r="L798" s="357">
        <v>798</v>
      </c>
      <c r="M798" s="852" t="s">
        <v>3433</v>
      </c>
    </row>
    <row r="799" spans="12:13" ht="12.75" customHeight="1" thickBot="1">
      <c r="L799" s="357">
        <v>799</v>
      </c>
      <c r="M799" s="852" t="s">
        <v>3434</v>
      </c>
    </row>
    <row r="800" spans="12:13" ht="12.75" customHeight="1" thickBot="1">
      <c r="L800" s="357">
        <v>800</v>
      </c>
      <c r="M800" s="852" t="s">
        <v>3435</v>
      </c>
    </row>
    <row r="801" spans="12:13" ht="12.75" customHeight="1" thickBot="1">
      <c r="L801" s="357">
        <v>801</v>
      </c>
      <c r="M801" s="852" t="s">
        <v>3436</v>
      </c>
    </row>
    <row r="802" spans="12:13" ht="12.75" customHeight="1" thickBot="1">
      <c r="L802" s="357">
        <v>802</v>
      </c>
      <c r="M802" s="852" t="s">
        <v>3437</v>
      </c>
    </row>
    <row r="803" spans="12:13" ht="12.75" customHeight="1" thickBot="1">
      <c r="L803" s="357">
        <v>803</v>
      </c>
      <c r="M803" s="852" t="s">
        <v>3438</v>
      </c>
    </row>
    <row r="804" spans="12:13" ht="12.75" customHeight="1" thickBot="1">
      <c r="L804" s="357">
        <v>804</v>
      </c>
      <c r="M804" s="852" t="s">
        <v>3439</v>
      </c>
    </row>
    <row r="805" spans="12:13" ht="12.75" customHeight="1" thickBot="1">
      <c r="L805" s="357">
        <v>805</v>
      </c>
      <c r="M805" s="852" t="s">
        <v>3440</v>
      </c>
    </row>
    <row r="806" spans="12:13" ht="12.75" customHeight="1" thickBot="1">
      <c r="L806" s="357">
        <v>806</v>
      </c>
      <c r="M806" s="852" t="s">
        <v>3441</v>
      </c>
    </row>
    <row r="807" spans="12:13" ht="12.75" customHeight="1" thickBot="1">
      <c r="L807" s="357">
        <v>807</v>
      </c>
      <c r="M807" s="852" t="s">
        <v>3442</v>
      </c>
    </row>
    <row r="808" spans="12:13" ht="12.75" customHeight="1" thickBot="1">
      <c r="L808" s="357">
        <v>808</v>
      </c>
      <c r="M808" s="852" t="s">
        <v>3443</v>
      </c>
    </row>
    <row r="809" spans="12:13" ht="12.75" customHeight="1" thickBot="1">
      <c r="L809" s="357">
        <v>809</v>
      </c>
      <c r="M809" s="852" t="s">
        <v>3444</v>
      </c>
    </row>
    <row r="810" spans="12:13" ht="12.75" customHeight="1" thickBot="1">
      <c r="L810" s="357">
        <v>810</v>
      </c>
      <c r="M810" s="852" t="s">
        <v>3445</v>
      </c>
    </row>
    <row r="811" spans="12:13" ht="12.75" customHeight="1" thickBot="1">
      <c r="L811" s="357">
        <v>811</v>
      </c>
      <c r="M811" s="852" t="s">
        <v>3446</v>
      </c>
    </row>
    <row r="812" spans="12:13" ht="12.75" customHeight="1" thickBot="1">
      <c r="L812" s="357">
        <v>812</v>
      </c>
      <c r="M812" s="852" t="s">
        <v>3447</v>
      </c>
    </row>
    <row r="813" spans="12:13" ht="12.75" customHeight="1" thickBot="1">
      <c r="L813" s="357">
        <v>813</v>
      </c>
      <c r="M813" s="852" t="s">
        <v>3448</v>
      </c>
    </row>
    <row r="814" spans="12:13" ht="12.75" customHeight="1" thickBot="1">
      <c r="L814" s="357">
        <v>814</v>
      </c>
      <c r="M814" s="852" t="s">
        <v>3449</v>
      </c>
    </row>
    <row r="815" spans="12:13" ht="12.75" customHeight="1" thickBot="1">
      <c r="L815" s="357">
        <v>815</v>
      </c>
      <c r="M815" s="852" t="s">
        <v>3450</v>
      </c>
    </row>
    <row r="816" spans="12:13" ht="12.75" customHeight="1" thickBot="1">
      <c r="L816" s="357">
        <v>816</v>
      </c>
      <c r="M816" s="852" t="s">
        <v>3451</v>
      </c>
    </row>
    <row r="817" spans="12:13" ht="12.75" customHeight="1" thickBot="1">
      <c r="L817" s="357">
        <v>817</v>
      </c>
      <c r="M817" s="852" t="s">
        <v>3452</v>
      </c>
    </row>
    <row r="818" spans="12:13" ht="12.75" customHeight="1" thickBot="1">
      <c r="L818" s="357">
        <v>818</v>
      </c>
      <c r="M818" s="852" t="s">
        <v>3453</v>
      </c>
    </row>
    <row r="819" spans="12:13" ht="12.75" customHeight="1" thickBot="1">
      <c r="L819" s="357">
        <v>819</v>
      </c>
      <c r="M819" s="852" t="s">
        <v>3454</v>
      </c>
    </row>
    <row r="820" spans="12:13" ht="12.75" customHeight="1" thickBot="1">
      <c r="L820" s="357">
        <v>820</v>
      </c>
      <c r="M820" s="852" t="s">
        <v>3455</v>
      </c>
    </row>
    <row r="821" spans="12:13" ht="12.75" customHeight="1" thickBot="1">
      <c r="L821" s="357">
        <v>821</v>
      </c>
      <c r="M821" s="852" t="s">
        <v>3456</v>
      </c>
    </row>
    <row r="822" spans="12:13" ht="12.75" customHeight="1" thickBot="1">
      <c r="L822" s="357">
        <v>822</v>
      </c>
      <c r="M822" s="852" t="s">
        <v>3457</v>
      </c>
    </row>
    <row r="823" spans="12:13" ht="12.75" customHeight="1" thickBot="1">
      <c r="L823" s="357">
        <v>823</v>
      </c>
      <c r="M823" s="852" t="s">
        <v>3458</v>
      </c>
    </row>
    <row r="824" spans="12:13" ht="12.75" customHeight="1" thickBot="1">
      <c r="L824" s="357">
        <v>824</v>
      </c>
      <c r="M824" s="852" t="s">
        <v>3459</v>
      </c>
    </row>
    <row r="825" spans="12:13" ht="12.75" customHeight="1" thickBot="1">
      <c r="L825" s="357">
        <v>825</v>
      </c>
      <c r="M825" s="852" t="s">
        <v>3460</v>
      </c>
    </row>
    <row r="826" spans="12:13" ht="12.75" customHeight="1" thickBot="1">
      <c r="L826" s="357">
        <v>826</v>
      </c>
      <c r="M826" s="852" t="s">
        <v>3461</v>
      </c>
    </row>
    <row r="827" spans="12:13" ht="12.75" customHeight="1" thickBot="1">
      <c r="L827" s="357">
        <v>827</v>
      </c>
      <c r="M827" s="852" t="s">
        <v>3462</v>
      </c>
    </row>
    <row r="828" spans="12:13" ht="12.75" customHeight="1" thickBot="1">
      <c r="L828" s="357">
        <v>828</v>
      </c>
      <c r="M828" s="852" t="s">
        <v>3463</v>
      </c>
    </row>
    <row r="829" spans="12:13" ht="12.75" customHeight="1" thickBot="1">
      <c r="L829" s="357">
        <v>829</v>
      </c>
      <c r="M829" s="852" t="s">
        <v>3464</v>
      </c>
    </row>
    <row r="830" spans="12:13" ht="12.75" customHeight="1" thickBot="1">
      <c r="L830" s="357">
        <v>830</v>
      </c>
      <c r="M830" s="852" t="s">
        <v>3465</v>
      </c>
    </row>
    <row r="831" spans="12:13" ht="12.75" customHeight="1" thickBot="1">
      <c r="L831" s="357">
        <v>831</v>
      </c>
      <c r="M831" s="852" t="s">
        <v>3466</v>
      </c>
    </row>
    <row r="832" spans="12:13" ht="12.75" customHeight="1" thickBot="1">
      <c r="L832" s="357">
        <v>832</v>
      </c>
      <c r="M832" s="852" t="s">
        <v>3467</v>
      </c>
    </row>
    <row r="833" spans="12:13" ht="12.75" customHeight="1" thickBot="1">
      <c r="L833" s="357">
        <v>833</v>
      </c>
      <c r="M833" s="852" t="s">
        <v>3468</v>
      </c>
    </row>
    <row r="834" spans="12:13" ht="12.75" customHeight="1" thickBot="1">
      <c r="L834" s="357">
        <v>834</v>
      </c>
      <c r="M834" s="852" t="s">
        <v>3469</v>
      </c>
    </row>
    <row r="835" spans="12:13" ht="12.75" customHeight="1" thickBot="1">
      <c r="L835" s="357">
        <v>835</v>
      </c>
      <c r="M835" s="852" t="s">
        <v>3470</v>
      </c>
    </row>
    <row r="836" spans="12:13" ht="12.75" customHeight="1" thickBot="1">
      <c r="L836" s="357">
        <v>836</v>
      </c>
      <c r="M836" s="852" t="s">
        <v>3471</v>
      </c>
    </row>
    <row r="837" spans="12:13" ht="12.75" customHeight="1" thickBot="1">
      <c r="L837" s="357">
        <v>837</v>
      </c>
      <c r="M837" s="852" t="s">
        <v>3472</v>
      </c>
    </row>
    <row r="838" spans="12:13" ht="12.75" customHeight="1" thickBot="1">
      <c r="L838" s="357">
        <v>838</v>
      </c>
      <c r="M838" s="852" t="s">
        <v>3473</v>
      </c>
    </row>
    <row r="839" spans="12:13" ht="12.75" customHeight="1" thickBot="1">
      <c r="L839" s="357">
        <v>839</v>
      </c>
      <c r="M839" s="852" t="s">
        <v>3474</v>
      </c>
    </row>
    <row r="840" spans="12:13" ht="12.75" customHeight="1" thickBot="1">
      <c r="L840" s="357">
        <v>840</v>
      </c>
      <c r="M840" s="852" t="s">
        <v>3475</v>
      </c>
    </row>
    <row r="841" spans="12:13" ht="12.75" customHeight="1" thickBot="1">
      <c r="L841" s="357">
        <v>841</v>
      </c>
      <c r="M841" s="852" t="s">
        <v>3476</v>
      </c>
    </row>
    <row r="842" spans="12:13" ht="12.75" customHeight="1" thickBot="1">
      <c r="L842" s="357">
        <v>842</v>
      </c>
      <c r="M842" s="852" t="s">
        <v>3477</v>
      </c>
    </row>
    <row r="843" spans="12:13" ht="12.75" customHeight="1" thickBot="1">
      <c r="L843" s="357">
        <v>843</v>
      </c>
      <c r="M843" s="852" t="s">
        <v>3478</v>
      </c>
    </row>
    <row r="844" spans="12:13" ht="12.75" customHeight="1" thickBot="1">
      <c r="L844" s="357">
        <v>844</v>
      </c>
      <c r="M844" s="852" t="s">
        <v>3479</v>
      </c>
    </row>
    <row r="845" spans="12:13" ht="12.75" customHeight="1" thickBot="1">
      <c r="L845" s="357">
        <v>845</v>
      </c>
      <c r="M845" s="852" t="s">
        <v>3480</v>
      </c>
    </row>
    <row r="846" spans="12:13" ht="12.75" customHeight="1" thickBot="1">
      <c r="L846" s="357">
        <v>846</v>
      </c>
      <c r="M846" s="852" t="s">
        <v>3481</v>
      </c>
    </row>
    <row r="847" spans="12:13" ht="12.75" customHeight="1" thickBot="1">
      <c r="L847" s="357">
        <v>847</v>
      </c>
      <c r="M847" s="852" t="s">
        <v>3482</v>
      </c>
    </row>
    <row r="848" spans="12:13" ht="12.75" customHeight="1" thickBot="1">
      <c r="L848" s="357">
        <v>848</v>
      </c>
      <c r="M848" s="852" t="s">
        <v>3483</v>
      </c>
    </row>
    <row r="849" spans="12:13" ht="12.75" customHeight="1" thickBot="1">
      <c r="L849" s="357">
        <v>849</v>
      </c>
      <c r="M849" s="852" t="s">
        <v>3484</v>
      </c>
    </row>
    <row r="850" spans="12:13" ht="12.75" customHeight="1" thickBot="1">
      <c r="L850" s="357">
        <v>850</v>
      </c>
      <c r="M850" s="852" t="s">
        <v>3485</v>
      </c>
    </row>
    <row r="851" spans="12:13" ht="12.75" customHeight="1" thickBot="1">
      <c r="L851" s="357">
        <v>851</v>
      </c>
      <c r="M851" s="852" t="s">
        <v>3486</v>
      </c>
    </row>
    <row r="852" spans="12:13" ht="12.75" customHeight="1" thickBot="1">
      <c r="L852" s="357">
        <v>852</v>
      </c>
      <c r="M852" s="852" t="s">
        <v>3487</v>
      </c>
    </row>
    <row r="853" spans="12:13" ht="12.75" customHeight="1" thickBot="1">
      <c r="L853" s="357">
        <v>853</v>
      </c>
      <c r="M853" s="852" t="s">
        <v>3488</v>
      </c>
    </row>
    <row r="854" spans="12:13" ht="12.75" customHeight="1" thickBot="1">
      <c r="L854" s="357">
        <v>854</v>
      </c>
      <c r="M854" s="852" t="s">
        <v>575</v>
      </c>
    </row>
    <row r="855" spans="12:13" ht="12.75" customHeight="1" thickBot="1">
      <c r="L855" s="357">
        <v>855</v>
      </c>
      <c r="M855" s="852" t="s">
        <v>3489</v>
      </c>
    </row>
    <row r="856" spans="12:13" ht="12.75" customHeight="1" thickBot="1">
      <c r="L856" s="357">
        <v>856</v>
      </c>
      <c r="M856" s="852" t="s">
        <v>3490</v>
      </c>
    </row>
    <row r="857" spans="12:13" ht="12.75" customHeight="1" thickBot="1">
      <c r="L857" s="357">
        <v>857</v>
      </c>
      <c r="M857" s="852" t="s">
        <v>3491</v>
      </c>
    </row>
    <row r="858" spans="12:13" ht="12.75" customHeight="1" thickBot="1">
      <c r="L858" s="357">
        <v>858</v>
      </c>
      <c r="M858" s="852" t="s">
        <v>3492</v>
      </c>
    </row>
    <row r="859" spans="12:13" ht="12.75" customHeight="1" thickBot="1">
      <c r="L859" s="357">
        <v>859</v>
      </c>
      <c r="M859" s="852" t="s">
        <v>3493</v>
      </c>
    </row>
    <row r="860" spans="12:13" ht="12.75" customHeight="1" thickBot="1">
      <c r="L860" s="357">
        <v>860</v>
      </c>
      <c r="M860" s="852" t="s">
        <v>3494</v>
      </c>
    </row>
    <row r="861" spans="12:13" ht="12.75" customHeight="1" thickBot="1">
      <c r="L861" s="357">
        <v>861</v>
      </c>
      <c r="M861" s="852" t="s">
        <v>3495</v>
      </c>
    </row>
    <row r="862" spans="12:13" ht="12.75" customHeight="1" thickBot="1">
      <c r="L862" s="357">
        <v>862</v>
      </c>
      <c r="M862" s="852" t="s">
        <v>3496</v>
      </c>
    </row>
    <row r="863" spans="12:13" ht="12.75" customHeight="1" thickBot="1">
      <c r="L863" s="357">
        <v>863</v>
      </c>
      <c r="M863" s="852" t="s">
        <v>3497</v>
      </c>
    </row>
    <row r="864" spans="12:13" ht="12.75" customHeight="1" thickBot="1">
      <c r="L864" s="357">
        <v>864</v>
      </c>
      <c r="M864" s="852" t="s">
        <v>3498</v>
      </c>
    </row>
    <row r="865" spans="12:13" ht="12.75" customHeight="1" thickBot="1">
      <c r="L865" s="357">
        <v>865</v>
      </c>
      <c r="M865" s="852" t="s">
        <v>3499</v>
      </c>
    </row>
    <row r="866" spans="12:13" ht="12.75" customHeight="1" thickBot="1">
      <c r="L866" s="357">
        <v>866</v>
      </c>
      <c r="M866" s="852" t="s">
        <v>3500</v>
      </c>
    </row>
    <row r="867" spans="12:13" ht="12.75" customHeight="1" thickBot="1">
      <c r="L867" s="357">
        <v>867</v>
      </c>
      <c r="M867" s="852" t="s">
        <v>3501</v>
      </c>
    </row>
    <row r="868" spans="12:13" ht="12.75" customHeight="1" thickBot="1">
      <c r="L868" s="357">
        <v>868</v>
      </c>
      <c r="M868" s="852" t="s">
        <v>3502</v>
      </c>
    </row>
    <row r="869" spans="12:13" ht="12.75" customHeight="1" thickBot="1">
      <c r="L869" s="357">
        <v>869</v>
      </c>
      <c r="M869" s="852" t="s">
        <v>3503</v>
      </c>
    </row>
    <row r="870" spans="12:13" ht="12.75" customHeight="1" thickBot="1">
      <c r="L870" s="357">
        <v>870</v>
      </c>
      <c r="M870" s="852" t="s">
        <v>3504</v>
      </c>
    </row>
    <row r="871" spans="12:13" ht="12.75" customHeight="1" thickBot="1">
      <c r="L871" s="357">
        <v>871</v>
      </c>
      <c r="M871" s="852" t="s">
        <v>3505</v>
      </c>
    </row>
    <row r="872" spans="12:13" ht="12.75" customHeight="1">
      <c r="L872" s="357">
        <v>872</v>
      </c>
      <c r="M872" s="853" t="s">
        <v>3506</v>
      </c>
    </row>
    <row r="873" spans="12:13" ht="12.75" customHeight="1" thickBot="1">
      <c r="L873" s="357">
        <v>873</v>
      </c>
      <c r="M873" s="852" t="s">
        <v>3507</v>
      </c>
    </row>
    <row r="874" spans="12:13" ht="12.75" customHeight="1" thickBot="1">
      <c r="L874" s="357">
        <v>874</v>
      </c>
      <c r="M874" s="852" t="s">
        <v>3508</v>
      </c>
    </row>
    <row r="875" spans="12:13" ht="12.75" customHeight="1" thickBot="1">
      <c r="L875" s="357">
        <v>875</v>
      </c>
      <c r="M875" s="852" t="s">
        <v>3509</v>
      </c>
    </row>
    <row r="876" spans="12:13" ht="12.75" customHeight="1" thickBot="1">
      <c r="L876" s="357">
        <v>876</v>
      </c>
      <c r="M876" s="852" t="s">
        <v>3510</v>
      </c>
    </row>
    <row r="877" spans="12:13" ht="12.75" customHeight="1" thickBot="1">
      <c r="L877" s="357">
        <v>877</v>
      </c>
      <c r="M877" s="852" t="s">
        <v>3511</v>
      </c>
    </row>
    <row r="878" spans="12:13" ht="12.75" customHeight="1" thickBot="1">
      <c r="L878" s="357">
        <v>878</v>
      </c>
      <c r="M878" s="852" t="s">
        <v>3512</v>
      </c>
    </row>
    <row r="879" spans="12:13" ht="12.75" customHeight="1" thickBot="1">
      <c r="L879" s="357">
        <v>879</v>
      </c>
      <c r="M879" s="852" t="s">
        <v>3513</v>
      </c>
    </row>
    <row r="880" spans="12:13" ht="12.75" customHeight="1" thickBot="1">
      <c r="L880" s="357">
        <v>880</v>
      </c>
      <c r="M880" s="852" t="s">
        <v>3514</v>
      </c>
    </row>
    <row r="881" spans="12:13" ht="12.75" customHeight="1" thickBot="1">
      <c r="L881" s="357">
        <v>881</v>
      </c>
      <c r="M881" s="852" t="s">
        <v>3515</v>
      </c>
    </row>
    <row r="882" spans="12:13" ht="12.75" customHeight="1" thickBot="1">
      <c r="L882" s="357">
        <v>882</v>
      </c>
      <c r="M882" s="852" t="s">
        <v>3516</v>
      </c>
    </row>
    <row r="883" spans="12:13" ht="12.75" customHeight="1" thickBot="1">
      <c r="L883" s="357">
        <v>883</v>
      </c>
      <c r="M883" s="852" t="s">
        <v>3517</v>
      </c>
    </row>
    <row r="884" spans="12:13" ht="12.75" customHeight="1" thickBot="1">
      <c r="L884" s="357">
        <v>884</v>
      </c>
      <c r="M884" s="852" t="s">
        <v>3518</v>
      </c>
    </row>
    <row r="885" spans="12:13" ht="12.75" customHeight="1" thickBot="1">
      <c r="L885" s="357">
        <v>885</v>
      </c>
      <c r="M885" s="852" t="s">
        <v>3519</v>
      </c>
    </row>
    <row r="886" spans="12:13" ht="12.75" customHeight="1" thickBot="1">
      <c r="L886" s="357">
        <v>886</v>
      </c>
      <c r="M886" s="852" t="s">
        <v>3520</v>
      </c>
    </row>
    <row r="887" spans="12:13" ht="12.75" customHeight="1" thickBot="1">
      <c r="L887" s="357">
        <v>887</v>
      </c>
      <c r="M887" s="852" t="s">
        <v>3521</v>
      </c>
    </row>
    <row r="888" spans="12:13" ht="12.75" customHeight="1" thickBot="1">
      <c r="L888" s="357">
        <v>888</v>
      </c>
      <c r="M888" s="852" t="s">
        <v>3522</v>
      </c>
    </row>
    <row r="889" spans="12:13" ht="12.75" customHeight="1" thickBot="1">
      <c r="L889" s="357">
        <v>889</v>
      </c>
      <c r="M889" s="852" t="s">
        <v>3523</v>
      </c>
    </row>
    <row r="890" spans="12:13" ht="12.75" customHeight="1" thickBot="1">
      <c r="L890" s="357">
        <v>890</v>
      </c>
      <c r="M890" s="852" t="s">
        <v>3524</v>
      </c>
    </row>
    <row r="891" spans="12:13" ht="12.75" customHeight="1" thickBot="1">
      <c r="L891" s="357">
        <v>891</v>
      </c>
      <c r="M891" s="852" t="s">
        <v>3525</v>
      </c>
    </row>
    <row r="892" spans="12:13" ht="12.75" customHeight="1" thickBot="1">
      <c r="L892" s="357">
        <v>892</v>
      </c>
      <c r="M892" s="852" t="s">
        <v>3526</v>
      </c>
    </row>
    <row r="893" spans="12:13" ht="12.75" customHeight="1" thickBot="1">
      <c r="L893" s="357">
        <v>893</v>
      </c>
      <c r="M893" s="852" t="s">
        <v>3527</v>
      </c>
    </row>
    <row r="894" spans="12:13" ht="12.75" customHeight="1" thickBot="1">
      <c r="L894" s="357">
        <v>894</v>
      </c>
      <c r="M894" s="852" t="s">
        <v>3528</v>
      </c>
    </row>
    <row r="895" spans="12:13" ht="12.75" customHeight="1" thickBot="1">
      <c r="L895" s="357">
        <v>895</v>
      </c>
      <c r="M895" s="852" t="s">
        <v>3529</v>
      </c>
    </row>
    <row r="896" spans="12:13" ht="12.75" customHeight="1" thickBot="1">
      <c r="L896" s="357">
        <v>896</v>
      </c>
      <c r="M896" s="852" t="s">
        <v>3530</v>
      </c>
    </row>
    <row r="897" spans="12:13" ht="12.75" customHeight="1" thickBot="1">
      <c r="L897" s="357">
        <v>897</v>
      </c>
      <c r="M897" s="852" t="s">
        <v>3531</v>
      </c>
    </row>
    <row r="898" spans="12:13" ht="12.75" customHeight="1" thickBot="1">
      <c r="L898" s="357">
        <v>898</v>
      </c>
      <c r="M898" s="852" t="s">
        <v>3532</v>
      </c>
    </row>
    <row r="899" spans="12:13" ht="12.75" customHeight="1" thickBot="1">
      <c r="L899" s="357">
        <v>899</v>
      </c>
      <c r="M899" s="852" t="s">
        <v>3533</v>
      </c>
    </row>
    <row r="900" spans="12:13" ht="12.75" customHeight="1" thickBot="1">
      <c r="L900" s="357">
        <v>900</v>
      </c>
      <c r="M900" s="852" t="s">
        <v>3534</v>
      </c>
    </row>
    <row r="901" spans="12:13" ht="12.75" customHeight="1" thickBot="1">
      <c r="L901" s="357">
        <v>901</v>
      </c>
      <c r="M901" s="852" t="s">
        <v>3535</v>
      </c>
    </row>
    <row r="902" spans="12:13" ht="12.75" customHeight="1" thickBot="1">
      <c r="L902" s="357">
        <v>902</v>
      </c>
      <c r="M902" s="852" t="s">
        <v>3536</v>
      </c>
    </row>
    <row r="903" spans="12:13" ht="12.75" customHeight="1" thickBot="1">
      <c r="L903" s="357">
        <v>903</v>
      </c>
      <c r="M903" s="852" t="s">
        <v>3537</v>
      </c>
    </row>
    <row r="904" spans="12:13" ht="12.75" customHeight="1" thickBot="1">
      <c r="L904" s="357">
        <v>904</v>
      </c>
      <c r="M904" s="852" t="s">
        <v>3538</v>
      </c>
    </row>
    <row r="905" spans="12:13" ht="12.75" customHeight="1" thickBot="1">
      <c r="L905" s="357">
        <v>905</v>
      </c>
      <c r="M905" s="852" t="s">
        <v>3539</v>
      </c>
    </row>
    <row r="906" spans="12:13" ht="12.75" customHeight="1" thickBot="1">
      <c r="L906" s="357">
        <v>906</v>
      </c>
      <c r="M906" s="852" t="s">
        <v>3540</v>
      </c>
    </row>
    <row r="907" spans="12:13" ht="12.75" customHeight="1" thickBot="1">
      <c r="L907" s="357">
        <v>907</v>
      </c>
      <c r="M907" s="852" t="s">
        <v>3541</v>
      </c>
    </row>
    <row r="908" spans="12:13" ht="12.75" customHeight="1" thickBot="1">
      <c r="L908" s="357">
        <v>908</v>
      </c>
      <c r="M908" s="852" t="s">
        <v>3542</v>
      </c>
    </row>
    <row r="909" spans="12:13" ht="12.75" customHeight="1" thickBot="1">
      <c r="L909" s="357">
        <v>909</v>
      </c>
      <c r="M909" s="852" t="s">
        <v>3543</v>
      </c>
    </row>
    <row r="910" spans="12:13" ht="12.75" customHeight="1" thickBot="1">
      <c r="L910" s="357">
        <v>910</v>
      </c>
      <c r="M910" s="852" t="s">
        <v>3544</v>
      </c>
    </row>
    <row r="911" spans="12:13" ht="12.75" customHeight="1" thickBot="1">
      <c r="L911" s="357">
        <v>911</v>
      </c>
      <c r="M911" s="852" t="s">
        <v>3545</v>
      </c>
    </row>
    <row r="912" spans="12:13" ht="12.75" customHeight="1" thickBot="1">
      <c r="L912" s="357">
        <v>912</v>
      </c>
      <c r="M912" s="852" t="s">
        <v>3546</v>
      </c>
    </row>
    <row r="913" spans="12:13" ht="12.75" customHeight="1" thickBot="1">
      <c r="L913" s="357">
        <v>913</v>
      </c>
      <c r="M913" s="852" t="s">
        <v>3547</v>
      </c>
    </row>
    <row r="914" spans="12:13" ht="12.75" customHeight="1" thickBot="1">
      <c r="L914" s="357">
        <v>914</v>
      </c>
      <c r="M914" s="852" t="s">
        <v>3548</v>
      </c>
    </row>
    <row r="915" spans="12:13" ht="12.75" customHeight="1" thickBot="1">
      <c r="L915" s="357">
        <v>915</v>
      </c>
      <c r="M915" s="852" t="s">
        <v>3549</v>
      </c>
    </row>
    <row r="916" spans="12:13" ht="12.75" customHeight="1" thickBot="1">
      <c r="L916" s="357">
        <v>916</v>
      </c>
      <c r="M916" s="852" t="s">
        <v>3550</v>
      </c>
    </row>
    <row r="917" spans="12:13" ht="12.75" customHeight="1" thickBot="1">
      <c r="L917" s="357">
        <v>917</v>
      </c>
      <c r="M917" s="852" t="s">
        <v>3551</v>
      </c>
    </row>
    <row r="918" spans="12:13" ht="12.75" customHeight="1">
      <c r="L918" s="357">
        <v>918</v>
      </c>
      <c r="M918" s="853" t="s">
        <v>3552</v>
      </c>
    </row>
    <row r="919" spans="12:13" ht="12.75" customHeight="1" thickBot="1">
      <c r="L919" s="357">
        <v>919</v>
      </c>
      <c r="M919" s="852" t="s">
        <v>3553</v>
      </c>
    </row>
    <row r="920" spans="12:13" ht="12.75" customHeight="1" thickBot="1">
      <c r="L920" s="357">
        <v>920</v>
      </c>
      <c r="M920" s="852" t="s">
        <v>3554</v>
      </c>
    </row>
    <row r="921" spans="12:13" ht="12.75" customHeight="1" thickBot="1">
      <c r="L921" s="357">
        <v>921</v>
      </c>
      <c r="M921" s="852" t="s">
        <v>3555</v>
      </c>
    </row>
    <row r="922" spans="12:13" ht="12.75" customHeight="1" thickBot="1">
      <c r="L922" s="357">
        <v>922</v>
      </c>
      <c r="M922" s="852" t="s">
        <v>3556</v>
      </c>
    </row>
    <row r="923" spans="12:13" ht="12.75" customHeight="1" thickBot="1">
      <c r="L923" s="357">
        <v>923</v>
      </c>
      <c r="M923" s="852" t="s">
        <v>3557</v>
      </c>
    </row>
    <row r="924" spans="12:13" ht="12.75" customHeight="1" thickBot="1">
      <c r="L924" s="357">
        <v>924</v>
      </c>
      <c r="M924" s="852" t="s">
        <v>3558</v>
      </c>
    </row>
    <row r="925" spans="12:13" ht="12.75" customHeight="1" thickBot="1">
      <c r="L925" s="357">
        <v>925</v>
      </c>
      <c r="M925" s="852" t="s">
        <v>3559</v>
      </c>
    </row>
    <row r="926" spans="12:13" ht="12.75" customHeight="1" thickBot="1">
      <c r="L926" s="357">
        <v>926</v>
      </c>
      <c r="M926" s="852" t="s">
        <v>3560</v>
      </c>
    </row>
    <row r="927" spans="12:13" ht="12.75" customHeight="1" thickBot="1">
      <c r="L927" s="357">
        <v>927</v>
      </c>
      <c r="M927" s="852" t="s">
        <v>3561</v>
      </c>
    </row>
    <row r="928" spans="12:13" ht="12.75" customHeight="1" thickBot="1">
      <c r="L928" s="357">
        <v>928</v>
      </c>
      <c r="M928" s="852" t="s">
        <v>3562</v>
      </c>
    </row>
    <row r="929" spans="12:13" ht="12.75" customHeight="1" thickBot="1">
      <c r="L929" s="357">
        <v>929</v>
      </c>
      <c r="M929" s="852" t="s">
        <v>3563</v>
      </c>
    </row>
    <row r="930" spans="12:13" ht="12.75" customHeight="1" thickBot="1">
      <c r="L930" s="357">
        <v>930</v>
      </c>
      <c r="M930" s="852" t="s">
        <v>3564</v>
      </c>
    </row>
    <row r="931" spans="12:13" ht="12.75" customHeight="1" thickBot="1">
      <c r="L931" s="357">
        <v>931</v>
      </c>
      <c r="M931" s="852" t="s">
        <v>3565</v>
      </c>
    </row>
    <row r="932" spans="12:13" ht="12.75" customHeight="1" thickBot="1">
      <c r="L932" s="357">
        <v>932</v>
      </c>
      <c r="M932" s="852" t="s">
        <v>3566</v>
      </c>
    </row>
    <row r="933" spans="12:13" ht="12.75" customHeight="1" thickBot="1">
      <c r="L933" s="357">
        <v>933</v>
      </c>
      <c r="M933" s="852" t="s">
        <v>3567</v>
      </c>
    </row>
    <row r="934" spans="12:13" ht="12.75" customHeight="1" thickBot="1">
      <c r="L934" s="357">
        <v>934</v>
      </c>
      <c r="M934" s="852" t="s">
        <v>3568</v>
      </c>
    </row>
    <row r="935" spans="12:13" ht="12.75" customHeight="1" thickBot="1">
      <c r="L935" s="357">
        <v>935</v>
      </c>
      <c r="M935" s="852" t="s">
        <v>3569</v>
      </c>
    </row>
    <row r="936" spans="12:13" ht="12.75" customHeight="1" thickBot="1">
      <c r="L936" s="357">
        <v>936</v>
      </c>
      <c r="M936" s="852" t="s">
        <v>3570</v>
      </c>
    </row>
    <row r="937" spans="12:13" ht="12.75" customHeight="1" thickBot="1">
      <c r="L937" s="357">
        <v>937</v>
      </c>
      <c r="M937" s="852" t="s">
        <v>3571</v>
      </c>
    </row>
    <row r="938" spans="12:13" ht="12.75" customHeight="1" thickBot="1">
      <c r="L938" s="357">
        <v>938</v>
      </c>
      <c r="M938" s="852" t="s">
        <v>3572</v>
      </c>
    </row>
    <row r="939" spans="12:13" ht="12.75" customHeight="1" thickBot="1">
      <c r="L939" s="357">
        <v>939</v>
      </c>
      <c r="M939" s="852" t="s">
        <v>3573</v>
      </c>
    </row>
    <row r="940" spans="12:13" ht="12.75" customHeight="1" thickBot="1">
      <c r="L940" s="357">
        <v>940</v>
      </c>
      <c r="M940" s="852" t="s">
        <v>3574</v>
      </c>
    </row>
    <row r="941" spans="12:13" ht="12.75" customHeight="1" thickBot="1">
      <c r="L941" s="357">
        <v>941</v>
      </c>
      <c r="M941" s="852" t="s">
        <v>3575</v>
      </c>
    </row>
    <row r="942" spans="12:13" ht="12.75" customHeight="1" thickBot="1">
      <c r="L942" s="357">
        <v>942</v>
      </c>
      <c r="M942" s="852" t="s">
        <v>3576</v>
      </c>
    </row>
    <row r="943" spans="12:13" ht="12.75" customHeight="1" thickBot="1">
      <c r="L943" s="357">
        <v>943</v>
      </c>
      <c r="M943" s="852" t="s">
        <v>3577</v>
      </c>
    </row>
    <row r="944" spans="12:13" ht="12.75" customHeight="1" thickBot="1">
      <c r="L944" s="357">
        <v>944</v>
      </c>
      <c r="M944" s="852" t="s">
        <v>3578</v>
      </c>
    </row>
    <row r="945" spans="12:13" ht="12.75" customHeight="1" thickBot="1">
      <c r="L945" s="357">
        <v>945</v>
      </c>
      <c r="M945" s="852" t="s">
        <v>3579</v>
      </c>
    </row>
    <row r="946" spans="12:13" ht="12.75" customHeight="1">
      <c r="L946" s="357">
        <v>946</v>
      </c>
      <c r="M946" s="853" t="s">
        <v>3580</v>
      </c>
    </row>
    <row r="947" spans="12:13" ht="12.75" customHeight="1" thickBot="1">
      <c r="L947" s="357">
        <v>947</v>
      </c>
      <c r="M947" s="852" t="s">
        <v>3581</v>
      </c>
    </row>
    <row r="948" spans="12:13" ht="12.75" customHeight="1">
      <c r="L948" s="357">
        <v>948</v>
      </c>
      <c r="M948" s="853" t="s">
        <v>3582</v>
      </c>
    </row>
    <row r="949" spans="12:13" ht="12.75" customHeight="1" thickBot="1">
      <c r="L949" s="357">
        <v>949</v>
      </c>
      <c r="M949" s="852" t="s">
        <v>3583</v>
      </c>
    </row>
    <row r="950" spans="12:13" ht="12.75" customHeight="1" thickBot="1">
      <c r="L950" s="357">
        <v>950</v>
      </c>
      <c r="M950" s="852" t="s">
        <v>3584</v>
      </c>
    </row>
    <row r="951" spans="12:13" ht="12.75" customHeight="1" thickBot="1">
      <c r="L951" s="357">
        <v>951</v>
      </c>
      <c r="M951" s="852" t="s">
        <v>3585</v>
      </c>
    </row>
    <row r="952" spans="12:13" ht="12.75" customHeight="1" thickBot="1">
      <c r="L952" s="357">
        <v>952</v>
      </c>
      <c r="M952" s="852" t="s">
        <v>3586</v>
      </c>
    </row>
    <row r="953" spans="12:13" ht="12.75" customHeight="1" thickBot="1">
      <c r="L953" s="357">
        <v>953</v>
      </c>
      <c r="M953" s="852" t="s">
        <v>3587</v>
      </c>
    </row>
    <row r="954" spans="12:13" ht="12.75" customHeight="1" thickBot="1">
      <c r="L954" s="357">
        <v>954</v>
      </c>
      <c r="M954" s="852" t="s">
        <v>3588</v>
      </c>
    </row>
    <row r="955" spans="12:13" ht="12.75" customHeight="1" thickBot="1">
      <c r="L955" s="357">
        <v>955</v>
      </c>
      <c r="M955" s="852" t="s">
        <v>3589</v>
      </c>
    </row>
    <row r="956" spans="12:13" ht="12.75" customHeight="1" thickBot="1">
      <c r="L956" s="357">
        <v>956</v>
      </c>
      <c r="M956" s="852" t="s">
        <v>3590</v>
      </c>
    </row>
    <row r="957" spans="12:13" ht="12.75" customHeight="1" thickBot="1">
      <c r="L957" s="357">
        <v>957</v>
      </c>
      <c r="M957" s="852" t="s">
        <v>3591</v>
      </c>
    </row>
    <row r="958" spans="12:13" ht="12.75" customHeight="1" thickBot="1">
      <c r="L958" s="357">
        <v>958</v>
      </c>
      <c r="M958" s="852" t="s">
        <v>3592</v>
      </c>
    </row>
    <row r="959" spans="12:13" ht="12.75" customHeight="1" thickBot="1">
      <c r="L959" s="357">
        <v>959</v>
      </c>
      <c r="M959" s="852" t="s">
        <v>3593</v>
      </c>
    </row>
    <row r="960" spans="12:13" ht="12.75" customHeight="1" thickBot="1">
      <c r="L960" s="357">
        <v>960</v>
      </c>
      <c r="M960" s="852" t="s">
        <v>663</v>
      </c>
    </row>
    <row r="961" spans="12:13" ht="12.75" customHeight="1" thickBot="1">
      <c r="L961" s="357">
        <v>961</v>
      </c>
      <c r="M961" s="852" t="s">
        <v>3594</v>
      </c>
    </row>
    <row r="962" spans="12:13" ht="12.75" customHeight="1" thickBot="1">
      <c r="L962" s="357">
        <v>962</v>
      </c>
      <c r="M962" s="852" t="s">
        <v>3595</v>
      </c>
    </row>
    <row r="963" spans="12:13" ht="12.75" customHeight="1" thickBot="1">
      <c r="L963" s="357">
        <v>963</v>
      </c>
      <c r="M963" s="852" t="s">
        <v>3596</v>
      </c>
    </row>
    <row r="964" spans="12:13" ht="12.75" customHeight="1" thickBot="1">
      <c r="L964" s="357">
        <v>964</v>
      </c>
      <c r="M964" s="852" t="s">
        <v>3597</v>
      </c>
    </row>
    <row r="965" spans="12:13" ht="12.75" customHeight="1" thickBot="1">
      <c r="L965" s="357">
        <v>965</v>
      </c>
      <c r="M965" s="852" t="s">
        <v>3598</v>
      </c>
    </row>
    <row r="966" spans="12:13" ht="12.75" customHeight="1" thickBot="1">
      <c r="L966" s="357">
        <v>966</v>
      </c>
      <c r="M966" s="852" t="s">
        <v>3599</v>
      </c>
    </row>
    <row r="967" spans="12:13" ht="12.75" customHeight="1" thickBot="1">
      <c r="L967" s="357">
        <v>967</v>
      </c>
      <c r="M967" s="852" t="s">
        <v>3600</v>
      </c>
    </row>
    <row r="968" spans="12:13" ht="12.75" customHeight="1" thickBot="1">
      <c r="L968" s="357">
        <v>968</v>
      </c>
      <c r="M968" s="852" t="s">
        <v>3601</v>
      </c>
    </row>
    <row r="969" spans="12:13" ht="12.75" customHeight="1" thickBot="1">
      <c r="L969" s="357">
        <v>969</v>
      </c>
      <c r="M969" s="852" t="s">
        <v>3602</v>
      </c>
    </row>
    <row r="970" spans="12:13" ht="12.75" customHeight="1" thickBot="1">
      <c r="L970" s="357">
        <v>970</v>
      </c>
      <c r="M970" s="852" t="s">
        <v>3603</v>
      </c>
    </row>
    <row r="971" spans="12:13" ht="12.75" customHeight="1" thickBot="1">
      <c r="L971" s="357">
        <v>971</v>
      </c>
      <c r="M971" s="852" t="s">
        <v>3604</v>
      </c>
    </row>
    <row r="972" spans="12:13" ht="12.75" customHeight="1" thickBot="1">
      <c r="L972" s="357">
        <v>972</v>
      </c>
      <c r="M972" s="852" t="s">
        <v>3605</v>
      </c>
    </row>
    <row r="973" spans="12:13" ht="12.75" customHeight="1" thickBot="1">
      <c r="L973" s="357">
        <v>973</v>
      </c>
      <c r="M973" s="852" t="s">
        <v>3606</v>
      </c>
    </row>
    <row r="974" spans="12:13" ht="12.75" customHeight="1" thickBot="1">
      <c r="L974" s="357">
        <v>974</v>
      </c>
      <c r="M974" s="852" t="s">
        <v>3607</v>
      </c>
    </row>
    <row r="975" spans="12:13" ht="12.75" customHeight="1" thickBot="1">
      <c r="L975" s="357">
        <v>975</v>
      </c>
      <c r="M975" s="852" t="s">
        <v>3608</v>
      </c>
    </row>
    <row r="976" spans="12:13" ht="12.75" customHeight="1" thickBot="1">
      <c r="L976" s="357">
        <v>976</v>
      </c>
      <c r="M976" s="852" t="s">
        <v>3609</v>
      </c>
    </row>
    <row r="977" spans="12:13" ht="12.75" customHeight="1" thickBot="1">
      <c r="L977" s="357">
        <v>977</v>
      </c>
      <c r="M977" s="852" t="s">
        <v>3610</v>
      </c>
    </row>
    <row r="978" spans="12:13" ht="12.75" customHeight="1" thickBot="1">
      <c r="L978" s="357">
        <v>978</v>
      </c>
      <c r="M978" s="852" t="s">
        <v>3611</v>
      </c>
    </row>
    <row r="979" spans="12:13" ht="12.75" customHeight="1" thickBot="1">
      <c r="L979" s="357">
        <v>979</v>
      </c>
      <c r="M979" s="852" t="s">
        <v>3612</v>
      </c>
    </row>
    <row r="980" spans="12:13" ht="12.75" customHeight="1" thickBot="1">
      <c r="L980" s="357">
        <v>980</v>
      </c>
      <c r="M980" s="852" t="s">
        <v>3613</v>
      </c>
    </row>
    <row r="981" spans="12:13" ht="12.75" customHeight="1" thickBot="1">
      <c r="L981" s="357">
        <v>981</v>
      </c>
      <c r="M981" s="852" t="s">
        <v>3614</v>
      </c>
    </row>
    <row r="982" spans="12:13" ht="12.75" customHeight="1" thickBot="1">
      <c r="L982" s="357">
        <v>982</v>
      </c>
      <c r="M982" s="852" t="s">
        <v>3615</v>
      </c>
    </row>
    <row r="983" spans="12:13" ht="12.75" customHeight="1" thickBot="1">
      <c r="L983" s="357">
        <v>983</v>
      </c>
      <c r="M983" s="852" t="s">
        <v>3616</v>
      </c>
    </row>
    <row r="984" spans="12:13" ht="12.75" customHeight="1" thickBot="1">
      <c r="L984" s="357">
        <v>984</v>
      </c>
      <c r="M984" s="852" t="s">
        <v>3617</v>
      </c>
    </row>
    <row r="985" spans="12:13" ht="12.75" customHeight="1">
      <c r="L985" s="357">
        <v>985</v>
      </c>
      <c r="M985" s="853" t="s">
        <v>3618</v>
      </c>
    </row>
    <row r="986" spans="12:13" ht="12.75" customHeight="1" thickBot="1">
      <c r="L986" s="357">
        <v>986</v>
      </c>
      <c r="M986" s="852" t="s">
        <v>3619</v>
      </c>
    </row>
    <row r="987" spans="12:13" ht="12.75" customHeight="1" thickBot="1">
      <c r="L987" s="357">
        <v>987</v>
      </c>
      <c r="M987" s="852" t="s">
        <v>3620</v>
      </c>
    </row>
    <row r="988" spans="12:13" ht="12.75" customHeight="1" thickBot="1">
      <c r="L988" s="357">
        <v>988</v>
      </c>
      <c r="M988" s="852" t="s">
        <v>3621</v>
      </c>
    </row>
    <row r="989" spans="12:13" ht="12.75" customHeight="1" thickBot="1">
      <c r="L989" s="357">
        <v>989</v>
      </c>
      <c r="M989" s="852" t="s">
        <v>3622</v>
      </c>
    </row>
    <row r="990" spans="12:13" ht="12.75" customHeight="1" thickBot="1">
      <c r="L990" s="357">
        <v>990</v>
      </c>
      <c r="M990" s="852" t="s">
        <v>3623</v>
      </c>
    </row>
    <row r="991" spans="12:13" ht="12.75" customHeight="1" thickBot="1">
      <c r="L991" s="357">
        <v>991</v>
      </c>
      <c r="M991" s="852" t="s">
        <v>3624</v>
      </c>
    </row>
    <row r="992" spans="12:13" ht="12.75" customHeight="1" thickBot="1">
      <c r="L992" s="357">
        <v>992</v>
      </c>
      <c r="M992" s="852" t="s">
        <v>3625</v>
      </c>
    </row>
    <row r="993" spans="12:13" ht="12.75" customHeight="1" thickBot="1">
      <c r="L993" s="357">
        <v>993</v>
      </c>
      <c r="M993" s="852" t="s">
        <v>3626</v>
      </c>
    </row>
    <row r="994" spans="12:13" ht="12.75" customHeight="1" thickBot="1">
      <c r="L994" s="357">
        <v>994</v>
      </c>
      <c r="M994" s="852" t="s">
        <v>3627</v>
      </c>
    </row>
    <row r="995" spans="12:13" ht="12.75" customHeight="1" thickBot="1">
      <c r="L995" s="357">
        <v>995</v>
      </c>
      <c r="M995" s="852" t="s">
        <v>3628</v>
      </c>
    </row>
    <row r="996" spans="12:13" ht="12.75" customHeight="1" thickBot="1">
      <c r="L996" s="357">
        <v>996</v>
      </c>
      <c r="M996" s="852" t="s">
        <v>3629</v>
      </c>
    </row>
    <row r="997" spans="12:13" ht="12.75" customHeight="1" thickBot="1">
      <c r="L997" s="357">
        <v>997</v>
      </c>
      <c r="M997" s="852" t="s">
        <v>3630</v>
      </c>
    </row>
    <row r="998" spans="12:13" ht="12.75" customHeight="1" thickBot="1">
      <c r="L998" s="357">
        <v>998</v>
      </c>
      <c r="M998" s="852" t="s">
        <v>3631</v>
      </c>
    </row>
    <row r="999" spans="12:13" ht="12.75" customHeight="1" thickBot="1">
      <c r="L999" s="357">
        <v>999</v>
      </c>
      <c r="M999" s="852" t="s">
        <v>3632</v>
      </c>
    </row>
    <row r="1000" spans="12:13" ht="12.75" customHeight="1" thickBot="1">
      <c r="L1000" s="357">
        <v>1000</v>
      </c>
      <c r="M1000" s="852" t="s">
        <v>3633</v>
      </c>
    </row>
    <row r="1001" spans="12:13" ht="12.75" customHeight="1" thickBot="1">
      <c r="L1001" s="357">
        <v>1001</v>
      </c>
      <c r="M1001" s="852" t="s">
        <v>3634</v>
      </c>
    </row>
    <row r="1002" spans="12:13" ht="12.75" customHeight="1" thickBot="1">
      <c r="L1002" s="357">
        <v>1002</v>
      </c>
      <c r="M1002" s="852" t="s">
        <v>3635</v>
      </c>
    </row>
    <row r="1003" spans="12:13" ht="12.75" customHeight="1" thickBot="1">
      <c r="L1003" s="357">
        <v>1003</v>
      </c>
      <c r="M1003" s="852" t="s">
        <v>3636</v>
      </c>
    </row>
    <row r="1004" spans="12:13" ht="12.75" customHeight="1" thickBot="1">
      <c r="L1004" s="357">
        <v>1004</v>
      </c>
      <c r="M1004" s="852" t="s">
        <v>3637</v>
      </c>
    </row>
    <row r="1005" spans="12:13" ht="12.75" customHeight="1" thickBot="1">
      <c r="L1005" s="357">
        <v>1005</v>
      </c>
      <c r="M1005" s="852" t="s">
        <v>3638</v>
      </c>
    </row>
    <row r="1006" spans="12:13" ht="12.75" customHeight="1" thickBot="1">
      <c r="L1006" s="357">
        <v>1006</v>
      </c>
      <c r="M1006" s="852" t="s">
        <v>3639</v>
      </c>
    </row>
    <row r="1007" spans="12:13" ht="12.75" customHeight="1" thickBot="1">
      <c r="L1007" s="357">
        <v>1007</v>
      </c>
      <c r="M1007" s="852" t="s">
        <v>3640</v>
      </c>
    </row>
    <row r="1008" spans="12:13" ht="12.75" customHeight="1" thickBot="1">
      <c r="L1008" s="357">
        <v>1008</v>
      </c>
      <c r="M1008" s="852" t="s">
        <v>3641</v>
      </c>
    </row>
    <row r="1009" spans="12:13" ht="12.75" customHeight="1" thickBot="1">
      <c r="L1009" s="357">
        <v>1009</v>
      </c>
      <c r="M1009" s="852" t="s">
        <v>3642</v>
      </c>
    </row>
    <row r="1010" spans="12:13" ht="12.75" customHeight="1" thickBot="1">
      <c r="L1010" s="357">
        <v>1010</v>
      </c>
      <c r="M1010" s="852" t="s">
        <v>3643</v>
      </c>
    </row>
    <row r="1011" spans="12:13" ht="12.75" customHeight="1" thickBot="1">
      <c r="L1011" s="357">
        <v>1011</v>
      </c>
      <c r="M1011" s="852" t="s">
        <v>3644</v>
      </c>
    </row>
  </sheetData>
  <mergeCells count="8">
    <mergeCell ref="B9:J9"/>
    <mergeCell ref="B10:J10"/>
    <mergeCell ref="A1:C1"/>
    <mergeCell ref="D1:F1"/>
    <mergeCell ref="G1:J1"/>
    <mergeCell ref="A2:E2"/>
    <mergeCell ref="F2:J2"/>
    <mergeCell ref="B8:J8"/>
  </mergeCells>
  <pageMargins left="0.7" right="0.7" top="0.75" bottom="0.75" header="0.3" footer="0.3"/>
  <pageSetup paperSize="9" orientation="portrait" horizontalDpi="300" verticalDpi="300" r:id="rId1"/>
  <headerFooter>
    <oddFooter>&amp;C_x000D_&amp;1#&amp;"Arial"&amp;9&amp;K000000 Internal</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
  <sheetViews>
    <sheetView topLeftCell="A6" workbookViewId="0">
      <selection activeCell="D30" sqref="D30"/>
    </sheetView>
  </sheetViews>
  <sheetFormatPr baseColWidth="10" defaultColWidth="18.6640625" defaultRowHeight="15"/>
  <cols>
    <col min="1" max="1" width="18.6640625" style="153" customWidth="1"/>
    <col min="2" max="7" width="18.6640625" style="154" customWidth="1"/>
    <col min="8" max="16384" width="18.6640625" style="153"/>
  </cols>
  <sheetData>
    <row r="1" spans="1:7">
      <c r="B1" s="173">
        <v>1</v>
      </c>
      <c r="C1" s="172">
        <v>2</v>
      </c>
      <c r="D1" s="172">
        <v>3</v>
      </c>
      <c r="E1" s="172">
        <v>4</v>
      </c>
      <c r="F1" s="172">
        <v>5</v>
      </c>
      <c r="G1" s="171">
        <v>6</v>
      </c>
    </row>
    <row r="2" spans="1:7" ht="15.6" thickBot="1">
      <c r="B2" s="170" t="s">
        <v>871</v>
      </c>
      <c r="C2" s="169" t="s">
        <v>870</v>
      </c>
      <c r="D2" s="169" t="s">
        <v>869</v>
      </c>
      <c r="E2" s="169" t="s">
        <v>868</v>
      </c>
      <c r="F2" s="169" t="s">
        <v>867</v>
      </c>
      <c r="G2" s="168" t="s">
        <v>866</v>
      </c>
    </row>
    <row r="3" spans="1:7">
      <c r="A3" s="167" t="s">
        <v>190</v>
      </c>
      <c r="B3" s="163" t="s">
        <v>865</v>
      </c>
      <c r="C3" s="163" t="s">
        <v>48</v>
      </c>
      <c r="D3" s="163" t="s">
        <v>864</v>
      </c>
      <c r="E3" s="163" t="s">
        <v>863</v>
      </c>
      <c r="F3" s="163" t="s">
        <v>862</v>
      </c>
      <c r="G3" s="163" t="s">
        <v>861</v>
      </c>
    </row>
    <row r="4" spans="1:7">
      <c r="A4" s="165" t="s">
        <v>801</v>
      </c>
      <c r="B4" s="160" t="s">
        <v>547</v>
      </c>
      <c r="C4" s="160" t="s">
        <v>860</v>
      </c>
      <c r="D4" s="160" t="s">
        <v>859</v>
      </c>
      <c r="E4" s="160" t="s">
        <v>858</v>
      </c>
      <c r="F4" s="160" t="s">
        <v>857</v>
      </c>
      <c r="G4" s="160" t="s">
        <v>260</v>
      </c>
    </row>
    <row r="5" spans="1:7">
      <c r="A5" s="164" t="s">
        <v>794</v>
      </c>
      <c r="B5" s="163" t="s">
        <v>856</v>
      </c>
      <c r="C5" s="163" t="s">
        <v>855</v>
      </c>
      <c r="D5" s="163" t="s">
        <v>854</v>
      </c>
      <c r="E5" s="163" t="s">
        <v>853</v>
      </c>
      <c r="F5" s="163" t="s">
        <v>595</v>
      </c>
      <c r="G5" s="163" t="s">
        <v>263</v>
      </c>
    </row>
    <row r="6" spans="1:7">
      <c r="A6" s="161" t="s">
        <v>281</v>
      </c>
      <c r="B6" s="160" t="s">
        <v>852</v>
      </c>
      <c r="C6" s="160" t="s">
        <v>851</v>
      </c>
      <c r="D6" s="160" t="s">
        <v>850</v>
      </c>
      <c r="E6" s="160" t="s">
        <v>849</v>
      </c>
      <c r="F6" s="160" t="s">
        <v>848</v>
      </c>
      <c r="G6" s="160" t="s">
        <v>847</v>
      </c>
    </row>
    <row r="7" spans="1:7" ht="15.6" thickBot="1">
      <c r="A7" s="158" t="s">
        <v>296</v>
      </c>
      <c r="B7" s="157" t="s">
        <v>846</v>
      </c>
      <c r="C7" s="157" t="s">
        <v>845</v>
      </c>
      <c r="D7" s="157" t="s">
        <v>844</v>
      </c>
      <c r="E7" s="157" t="s">
        <v>842</v>
      </c>
      <c r="F7" s="157" t="s">
        <v>843</v>
      </c>
      <c r="G7" s="157" t="s">
        <v>842</v>
      </c>
    </row>
    <row r="8" spans="1:7" ht="15.6" thickBot="1"/>
    <row r="9" spans="1:7">
      <c r="B9" s="173">
        <v>7</v>
      </c>
      <c r="C9" s="172">
        <v>8</v>
      </c>
      <c r="D9" s="172">
        <v>9</v>
      </c>
      <c r="E9" s="172">
        <v>10</v>
      </c>
      <c r="F9" s="172">
        <v>11</v>
      </c>
      <c r="G9" s="171">
        <v>12</v>
      </c>
    </row>
    <row r="10" spans="1:7" ht="15.6" thickBot="1">
      <c r="B10" s="170" t="s">
        <v>841</v>
      </c>
      <c r="C10" s="169" t="s">
        <v>840</v>
      </c>
      <c r="D10" s="169" t="s">
        <v>839</v>
      </c>
      <c r="E10" s="169" t="s">
        <v>838</v>
      </c>
      <c r="F10" s="169" t="s">
        <v>837</v>
      </c>
      <c r="G10" s="168" t="s">
        <v>836</v>
      </c>
    </row>
    <row r="11" spans="1:7">
      <c r="A11" s="178" t="s">
        <v>190</v>
      </c>
      <c r="B11" s="163" t="s">
        <v>835</v>
      </c>
      <c r="C11" s="163" t="s">
        <v>834</v>
      </c>
      <c r="D11" s="163" t="s">
        <v>833</v>
      </c>
      <c r="E11" s="163" t="s">
        <v>832</v>
      </c>
      <c r="F11" s="163" t="s">
        <v>581</v>
      </c>
      <c r="G11" s="163" t="s">
        <v>831</v>
      </c>
    </row>
    <row r="12" spans="1:7">
      <c r="A12" s="177" t="s">
        <v>801</v>
      </c>
      <c r="B12" s="160" t="s">
        <v>830</v>
      </c>
      <c r="C12" s="160" t="s">
        <v>829</v>
      </c>
      <c r="D12" s="160" t="s">
        <v>828</v>
      </c>
      <c r="E12" s="160" t="s">
        <v>827</v>
      </c>
      <c r="F12" s="160" t="s">
        <v>569</v>
      </c>
      <c r="G12" s="160" t="s">
        <v>155</v>
      </c>
    </row>
    <row r="13" spans="1:7">
      <c r="A13" s="176" t="s">
        <v>794</v>
      </c>
      <c r="B13" s="163" t="s">
        <v>826</v>
      </c>
      <c r="C13" s="163" t="s">
        <v>667</v>
      </c>
      <c r="D13" s="163" t="s">
        <v>825</v>
      </c>
      <c r="E13" s="163" t="s">
        <v>824</v>
      </c>
      <c r="F13" s="163" t="s">
        <v>823</v>
      </c>
      <c r="G13" s="163" t="s">
        <v>789</v>
      </c>
    </row>
    <row r="14" spans="1:7">
      <c r="A14" s="175" t="s">
        <v>281</v>
      </c>
      <c r="B14" s="160" t="s">
        <v>822</v>
      </c>
      <c r="C14" s="160" t="s">
        <v>821</v>
      </c>
      <c r="D14" s="160" t="s">
        <v>820</v>
      </c>
      <c r="E14" s="160" t="s">
        <v>819</v>
      </c>
      <c r="F14" s="160" t="s">
        <v>818</v>
      </c>
      <c r="G14" s="160" t="s">
        <v>817</v>
      </c>
    </row>
    <row r="15" spans="1:7" ht="15.6" thickBot="1">
      <c r="A15" s="174" t="s">
        <v>296</v>
      </c>
      <c r="B15" s="157" t="s">
        <v>816</v>
      </c>
      <c r="C15" s="157" t="s">
        <v>815</v>
      </c>
      <c r="D15" s="157" t="s">
        <v>814</v>
      </c>
      <c r="E15" s="157" t="s">
        <v>813</v>
      </c>
      <c r="F15" s="157" t="s">
        <v>631</v>
      </c>
      <c r="G15" s="157" t="s">
        <v>812</v>
      </c>
    </row>
    <row r="16" spans="1:7" ht="15.6" thickBot="1"/>
    <row r="17" spans="1:7">
      <c r="B17" s="173">
        <v>13</v>
      </c>
      <c r="C17" s="172">
        <v>14</v>
      </c>
      <c r="D17" s="172">
        <v>15</v>
      </c>
      <c r="E17" s="172">
        <v>16</v>
      </c>
      <c r="F17" s="172">
        <v>17</v>
      </c>
      <c r="G17" s="171">
        <v>18</v>
      </c>
    </row>
    <row r="18" spans="1:7" ht="15.6" thickBot="1">
      <c r="B18" s="170" t="s">
        <v>558</v>
      </c>
      <c r="C18" s="169" t="s">
        <v>2</v>
      </c>
      <c r="D18" s="169" t="s">
        <v>811</v>
      </c>
      <c r="E18" s="169" t="s">
        <v>810</v>
      </c>
      <c r="F18" s="169" t="s">
        <v>809</v>
      </c>
      <c r="G18" s="168" t="s">
        <v>808</v>
      </c>
    </row>
    <row r="19" spans="1:7">
      <c r="A19" s="167" t="s">
        <v>190</v>
      </c>
      <c r="B19" s="163" t="s">
        <v>807</v>
      </c>
      <c r="C19" s="163" t="s">
        <v>806</v>
      </c>
      <c r="D19" s="163" t="s">
        <v>805</v>
      </c>
      <c r="E19" s="163" t="s">
        <v>804</v>
      </c>
      <c r="F19" s="163" t="s">
        <v>803</v>
      </c>
      <c r="G19" s="166" t="s">
        <v>802</v>
      </c>
    </row>
    <row r="20" spans="1:7">
      <c r="A20" s="165" t="s">
        <v>801</v>
      </c>
      <c r="B20" s="160" t="s">
        <v>800</v>
      </c>
      <c r="C20" s="160" t="s">
        <v>799</v>
      </c>
      <c r="D20" s="160" t="s">
        <v>798</v>
      </c>
      <c r="E20" s="160" t="s">
        <v>797</v>
      </c>
      <c r="F20" s="160" t="s">
        <v>796</v>
      </c>
      <c r="G20" s="159" t="s">
        <v>795</v>
      </c>
    </row>
    <row r="21" spans="1:7">
      <c r="A21" s="164" t="s">
        <v>794</v>
      </c>
      <c r="B21" s="163" t="s">
        <v>793</v>
      </c>
      <c r="C21" s="163" t="s">
        <v>792</v>
      </c>
      <c r="D21" s="163" t="s">
        <v>789</v>
      </c>
      <c r="E21" s="163" t="s">
        <v>791</v>
      </c>
      <c r="F21" s="163" t="s">
        <v>790</v>
      </c>
      <c r="G21" s="162" t="s">
        <v>789</v>
      </c>
    </row>
    <row r="22" spans="1:7">
      <c r="A22" s="161" t="s">
        <v>281</v>
      </c>
      <c r="B22" s="160" t="s">
        <v>788</v>
      </c>
      <c r="C22" s="160" t="s">
        <v>787</v>
      </c>
      <c r="D22" s="160" t="s">
        <v>786</v>
      </c>
      <c r="E22" s="160" t="s">
        <v>785</v>
      </c>
      <c r="F22" s="160" t="s">
        <v>784</v>
      </c>
      <c r="G22" s="159" t="s">
        <v>783</v>
      </c>
    </row>
    <row r="23" spans="1:7" ht="15.6" thickBot="1">
      <c r="A23" s="158" t="s">
        <v>296</v>
      </c>
      <c r="B23" s="157" t="s">
        <v>782</v>
      </c>
      <c r="C23" s="157" t="s">
        <v>781</v>
      </c>
      <c r="D23" s="157" t="s">
        <v>780</v>
      </c>
      <c r="E23" s="157" t="s">
        <v>779</v>
      </c>
      <c r="F23" s="157" t="s">
        <v>778</v>
      </c>
      <c r="G23" s="156" t="s">
        <v>777</v>
      </c>
    </row>
    <row r="24" spans="1:7">
      <c r="A24" s="155"/>
    </row>
    <row r="25" spans="1:7" ht="15.75" hidden="1" customHeight="1">
      <c r="B25" s="154">
        <f t="shared" ref="B25:G25" ca="1" si="0">RAND()*10+1</f>
        <v>7.1419580084557746</v>
      </c>
      <c r="C25" s="154">
        <f t="shared" ca="1" si="0"/>
        <v>6.594649687595413</v>
      </c>
      <c r="D25" s="154">
        <f t="shared" ca="1" si="0"/>
        <v>4.3615561436410406</v>
      </c>
      <c r="E25" s="154">
        <f t="shared" ca="1" si="0"/>
        <v>1.2873650060297861</v>
      </c>
      <c r="F25" s="154">
        <f t="shared" ca="1" si="0"/>
        <v>1.5425220232326888</v>
      </c>
      <c r="G25" s="154">
        <f t="shared" ca="1" si="0"/>
        <v>3.0373397502249357</v>
      </c>
    </row>
    <row r="26" spans="1:7">
      <c r="A26" s="154"/>
      <c r="B26" s="850" t="str">
        <f t="shared" ref="B26:G26" ca="1" si="1">IF(RANDBETWEEN(1,4)=1,B2&amp;": "&amp;IF(B25&lt;2,B3,IF(B25&lt;4,B4,IF(B25&lt;8,B5,IF(B25&lt;10,B6,B7))))," ")</f>
        <v xml:space="preserve"> </v>
      </c>
      <c r="C26" s="850" t="str">
        <f t="shared" ca="1" si="1"/>
        <v>Objectif: objet</v>
      </c>
      <c r="D26" s="850" t="str">
        <f t="shared" ca="1" si="1"/>
        <v xml:space="preserve"> </v>
      </c>
      <c r="E26" s="850" t="str">
        <f t="shared" ca="1" si="1"/>
        <v xml:space="preserve"> </v>
      </c>
      <c r="F26" s="850" t="str">
        <f t="shared" ca="1" si="1"/>
        <v xml:space="preserve"> </v>
      </c>
      <c r="G26" s="850" t="str">
        <f t="shared" ca="1" si="1"/>
        <v xml:space="preserve"> </v>
      </c>
    </row>
    <row r="27" spans="1:7" hidden="1">
      <c r="A27" s="154"/>
      <c r="B27" s="850">
        <f t="shared" ref="B27:G27" ca="1" si="2">RAND()*10+1</f>
        <v>3.3134061476603627</v>
      </c>
      <c r="C27" s="850">
        <f t="shared" ca="1" si="2"/>
        <v>10.006850966424315</v>
      </c>
      <c r="D27" s="850">
        <f t="shared" ca="1" si="2"/>
        <v>2.2913428229231338</v>
      </c>
      <c r="E27" s="850">
        <f t="shared" ca="1" si="2"/>
        <v>9.4715156701302394</v>
      </c>
      <c r="F27" s="850">
        <f t="shared" ca="1" si="2"/>
        <v>4.94493003653767</v>
      </c>
      <c r="G27" s="850">
        <f t="shared" ca="1" si="2"/>
        <v>3.3218077007608171</v>
      </c>
    </row>
    <row r="28" spans="1:7">
      <c r="A28" s="154"/>
      <c r="B28" s="850" t="str">
        <f t="shared" ref="B28:G28" ca="1" si="3">IF(RANDBETWEEN(1,4)=1,B10&amp;": "&amp;IF(B27&lt;2,B11,IF(B27&lt;4,B12,IF(B27&lt;8,B13,IF(B27&lt;10,B14,B15))))," ")</f>
        <v xml:space="preserve"> </v>
      </c>
      <c r="C28" s="850" t="str">
        <f t="shared" ca="1" si="3"/>
        <v xml:space="preserve"> </v>
      </c>
      <c r="D28" s="850" t="str">
        <f t="shared" ca="1" si="3"/>
        <v>Nombre: poignée=2-6</v>
      </c>
      <c r="E28" s="850" t="str">
        <f t="shared" ca="1" si="3"/>
        <v xml:space="preserve"> </v>
      </c>
      <c r="F28" s="850" t="str">
        <f t="shared" ca="1" si="3"/>
        <v>Ouverture: pas d'échange</v>
      </c>
      <c r="G28" s="850" t="str">
        <f t="shared" ca="1" si="3"/>
        <v xml:space="preserve"> </v>
      </c>
    </row>
    <row r="29" spans="1:7" hidden="1">
      <c r="A29" s="154"/>
      <c r="B29" s="850">
        <f t="shared" ref="B29:G29" ca="1" si="4">RAND()*10+1</f>
        <v>2.7495790568595226</v>
      </c>
      <c r="C29" s="850">
        <f t="shared" ca="1" si="4"/>
        <v>7.7912930735242139</v>
      </c>
      <c r="D29" s="850">
        <f t="shared" ca="1" si="4"/>
        <v>4.3810415727483871</v>
      </c>
      <c r="E29" s="850">
        <f t="shared" ca="1" si="4"/>
        <v>10.210864058280729</v>
      </c>
      <c r="F29" s="850">
        <f t="shared" ca="1" si="4"/>
        <v>5.657487061390829</v>
      </c>
      <c r="G29" s="850">
        <f t="shared" ca="1" si="4"/>
        <v>7.7156274758187653</v>
      </c>
    </row>
    <row r="30" spans="1:7">
      <c r="B30" s="850" t="str">
        <f t="shared" ref="B30:G30" ca="1" si="5">IF(RANDBETWEEN(1,4)=1,B18&amp;": "&amp;IF(B29&lt;2,B19,IF(B29&lt;4,B20,IF(B29&lt;8,B21,IF(B29&lt;10,B22,B23))))," ")</f>
        <v xml:space="preserve"> </v>
      </c>
      <c r="C30" s="850" t="str">
        <f t="shared" ca="1" si="5"/>
        <v xml:space="preserve"> </v>
      </c>
      <c r="D30" s="850" t="str">
        <f t="shared" ca="1" si="5"/>
        <v xml:space="preserve"> </v>
      </c>
      <c r="E30" s="850" t="str">
        <f t="shared" ca="1" si="5"/>
        <v xml:space="preserve"> </v>
      </c>
      <c r="F30" s="850" t="str">
        <f t="shared" ca="1" si="5"/>
        <v xml:space="preserve"> </v>
      </c>
      <c r="G30" s="850" t="str">
        <f t="shared" ca="1" si="5"/>
        <v xml:space="preserve"> </v>
      </c>
    </row>
  </sheetData>
  <pageMargins left="0.35433070866141736" right="0.31496062992125984" top="0.78740157480314965" bottom="0.39370078740157483" header="0.31496062992125984" footer="0.31496062992125984"/>
  <pageSetup paperSize="9" orientation="landscape" r:id="rId1"/>
  <headerFooter alignWithMargins="0">
    <oddHeader>&amp;L&amp;F&amp;C&amp;"Arial,Bold"&amp;12PP - Rencontres humaines - paramètres&amp;R&amp;D</oddHeader>
    <oddFooter>&amp;C_x000D_&amp;1#&amp;"Arial"&amp;9&amp;K000000 Internal</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68"/>
  <sheetViews>
    <sheetView topLeftCell="A102" workbookViewId="0">
      <selection activeCell="A102" sqref="A1:XFD1048576"/>
    </sheetView>
  </sheetViews>
  <sheetFormatPr baseColWidth="10" defaultColWidth="9.109375" defaultRowHeight="14.4"/>
  <cols>
    <col min="1" max="1" width="4.109375" customWidth="1"/>
    <col min="2" max="2" width="96.109375" style="783" customWidth="1"/>
    <col min="10" max="10" width="0" hidden="1" customWidth="1"/>
    <col min="11" max="11" width="4.33203125" hidden="1" customWidth="1"/>
    <col min="12" max="19" width="0" hidden="1" customWidth="1"/>
  </cols>
  <sheetData>
    <row r="1" spans="2:25" s="106" customFormat="1" ht="10.199999999999999" hidden="1">
      <c r="B1" s="784" t="s">
        <v>560</v>
      </c>
      <c r="C1" s="106" t="s">
        <v>2088</v>
      </c>
      <c r="D1" s="106" t="s">
        <v>2087</v>
      </c>
      <c r="E1" s="106" t="s">
        <v>2518</v>
      </c>
      <c r="F1" s="106" t="s">
        <v>2519</v>
      </c>
      <c r="G1" s="106" t="s">
        <v>2520</v>
      </c>
      <c r="H1" s="106" t="s">
        <v>2521</v>
      </c>
      <c r="I1" s="106" t="s">
        <v>2522</v>
      </c>
      <c r="J1" s="106" t="s">
        <v>2572</v>
      </c>
      <c r="K1" s="106" t="s">
        <v>2530</v>
      </c>
      <c r="L1" s="106" t="s">
        <v>2573</v>
      </c>
      <c r="M1" s="106" t="s">
        <v>2574</v>
      </c>
      <c r="N1" s="106" t="s">
        <v>749</v>
      </c>
      <c r="O1" s="106" t="s">
        <v>2575</v>
      </c>
      <c r="P1" s="106" t="s">
        <v>2576</v>
      </c>
      <c r="Q1" s="106" t="s">
        <v>2085</v>
      </c>
      <c r="R1" s="106" t="s">
        <v>2532</v>
      </c>
      <c r="S1" s="106" t="s">
        <v>2577</v>
      </c>
      <c r="T1" s="106" t="s">
        <v>2591</v>
      </c>
      <c r="U1" s="106" t="s">
        <v>2578</v>
      </c>
      <c r="V1" s="106" t="s">
        <v>2579</v>
      </c>
      <c r="W1" s="106" t="s">
        <v>2580</v>
      </c>
      <c r="X1" s="106" t="s">
        <v>2570</v>
      </c>
      <c r="Y1" s="106" t="s">
        <v>2571</v>
      </c>
    </row>
    <row r="2" spans="2:25" s="78" customFormat="1" ht="10.199999999999999" hidden="1">
      <c r="B2" s="785">
        <v>1</v>
      </c>
      <c r="C2" s="78">
        <v>1</v>
      </c>
      <c r="D2" s="78" t="s">
        <v>2084</v>
      </c>
      <c r="E2" s="78" t="s">
        <v>2083</v>
      </c>
      <c r="F2" s="78" t="s">
        <v>2082</v>
      </c>
      <c r="G2" s="78" t="s">
        <v>2081</v>
      </c>
      <c r="H2" s="78" t="s">
        <v>2526</v>
      </c>
      <c r="I2" s="78" t="s">
        <v>1902</v>
      </c>
      <c r="J2" s="78" t="s">
        <v>2036</v>
      </c>
      <c r="K2" s="78">
        <v>1</v>
      </c>
      <c r="L2" s="78" t="s">
        <v>2058</v>
      </c>
      <c r="M2" s="78" t="s">
        <v>586</v>
      </c>
      <c r="N2" s="78" t="s">
        <v>2035</v>
      </c>
      <c r="O2" s="78" t="s">
        <v>2072</v>
      </c>
      <c r="P2" s="78" t="s">
        <v>2071</v>
      </c>
      <c r="Q2" s="78" t="s">
        <v>2034</v>
      </c>
      <c r="R2" s="78" t="s">
        <v>2033</v>
      </c>
      <c r="S2" s="78" t="s">
        <v>2070</v>
      </c>
      <c r="T2" s="78" t="s">
        <v>2079</v>
      </c>
      <c r="U2" s="78" t="s">
        <v>2581</v>
      </c>
      <c r="V2" s="78" t="s">
        <v>2583</v>
      </c>
      <c r="W2" s="78" t="s">
        <v>2023</v>
      </c>
      <c r="X2" s="78" t="s">
        <v>603</v>
      </c>
      <c r="Y2" s="78" t="s">
        <v>2533</v>
      </c>
    </row>
    <row r="3" spans="2:25" s="78" customFormat="1" ht="10.199999999999999" hidden="1">
      <c r="B3" s="785">
        <v>2</v>
      </c>
      <c r="C3" s="78">
        <v>2</v>
      </c>
      <c r="D3" s="78" t="s">
        <v>2080</v>
      </c>
      <c r="E3" s="78" t="s">
        <v>2077</v>
      </c>
      <c r="F3" s="78" t="s">
        <v>2076</v>
      </c>
      <c r="G3" s="78" t="s">
        <v>2075</v>
      </c>
      <c r="H3" s="78" t="s">
        <v>2527</v>
      </c>
      <c r="I3" s="78" t="s">
        <v>2523</v>
      </c>
      <c r="J3" s="78" t="s">
        <v>2032</v>
      </c>
      <c r="K3" s="78" t="s">
        <v>178</v>
      </c>
      <c r="L3" s="78" t="s">
        <v>2058</v>
      </c>
      <c r="M3" s="78" t="s">
        <v>586</v>
      </c>
      <c r="N3" s="78" t="s">
        <v>2031</v>
      </c>
      <c r="O3" s="78" t="s">
        <v>2072</v>
      </c>
      <c r="P3" s="78" t="s">
        <v>2071</v>
      </c>
      <c r="Q3" s="78" t="s">
        <v>2030</v>
      </c>
      <c r="R3" s="78" t="s">
        <v>280</v>
      </c>
      <c r="S3" s="78" t="s">
        <v>2070</v>
      </c>
      <c r="T3" s="78" t="s">
        <v>2079</v>
      </c>
      <c r="U3" s="78" t="s">
        <v>678</v>
      </c>
      <c r="V3" s="78" t="s">
        <v>2586</v>
      </c>
      <c r="W3" s="78" t="s">
        <v>2010</v>
      </c>
      <c r="X3" s="78" t="s">
        <v>2541</v>
      </c>
      <c r="Y3" s="78" t="s">
        <v>2534</v>
      </c>
    </row>
    <row r="4" spans="2:25" s="78" customFormat="1" ht="10.199999999999999" hidden="1">
      <c r="B4" s="785">
        <v>3</v>
      </c>
      <c r="C4" s="78">
        <v>3</v>
      </c>
      <c r="D4" s="78" t="s">
        <v>2078</v>
      </c>
      <c r="E4" s="78" t="s">
        <v>2077</v>
      </c>
      <c r="F4" s="78" t="s">
        <v>2076</v>
      </c>
      <c r="G4" s="78" t="s">
        <v>2075</v>
      </c>
      <c r="H4" s="78" t="s">
        <v>2527</v>
      </c>
      <c r="I4" s="78" t="s">
        <v>2523</v>
      </c>
      <c r="J4" s="78" t="s">
        <v>2029</v>
      </c>
      <c r="K4" s="78" t="s">
        <v>178</v>
      </c>
      <c r="L4" s="78" t="s">
        <v>2058</v>
      </c>
      <c r="M4" s="78" t="s">
        <v>586</v>
      </c>
      <c r="N4" s="78" t="s">
        <v>2028</v>
      </c>
      <c r="O4" s="78" t="s">
        <v>2072</v>
      </c>
      <c r="P4" s="78" t="s">
        <v>2071</v>
      </c>
      <c r="Q4" s="78" t="s">
        <v>2027</v>
      </c>
      <c r="R4" s="78" t="s">
        <v>1089</v>
      </c>
      <c r="S4" s="78" t="s">
        <v>2070</v>
      </c>
      <c r="T4" s="78" t="s">
        <v>2074</v>
      </c>
      <c r="U4" s="78" t="s">
        <v>2582</v>
      </c>
      <c r="V4" s="78" t="s">
        <v>2584</v>
      </c>
      <c r="W4" s="78" t="s">
        <v>2589</v>
      </c>
      <c r="X4" s="78" t="s">
        <v>2542</v>
      </c>
      <c r="Y4" s="78" t="s">
        <v>2535</v>
      </c>
    </row>
    <row r="5" spans="2:25" s="78" customFormat="1" ht="10.199999999999999" hidden="1">
      <c r="B5" s="785">
        <v>4</v>
      </c>
      <c r="C5" s="78">
        <v>4</v>
      </c>
      <c r="D5" s="78" t="s">
        <v>2073</v>
      </c>
      <c r="E5" s="78" t="s">
        <v>2063</v>
      </c>
      <c r="F5" s="78" t="s">
        <v>2062</v>
      </c>
      <c r="G5" s="78" t="s">
        <v>2058</v>
      </c>
      <c r="H5" s="78" t="s">
        <v>2061</v>
      </c>
      <c r="I5" s="78" t="s">
        <v>2061</v>
      </c>
      <c r="J5" s="78" t="s">
        <v>2026</v>
      </c>
      <c r="K5" s="78" t="s">
        <v>743</v>
      </c>
      <c r="L5" s="78" t="s">
        <v>2058</v>
      </c>
      <c r="M5" s="78" t="s">
        <v>586</v>
      </c>
      <c r="N5" s="78" t="s">
        <v>2025</v>
      </c>
      <c r="O5" s="78" t="s">
        <v>2072</v>
      </c>
      <c r="P5" s="78" t="s">
        <v>2071</v>
      </c>
      <c r="Q5" s="78" t="s">
        <v>2024</v>
      </c>
      <c r="R5" s="78" t="s">
        <v>2023</v>
      </c>
      <c r="S5" s="78" t="s">
        <v>2070</v>
      </c>
      <c r="T5" s="78" t="s">
        <v>2069</v>
      </c>
      <c r="U5" s="78" t="s">
        <v>683</v>
      </c>
      <c r="V5" s="78" t="s">
        <v>2584</v>
      </c>
      <c r="W5" s="78" t="s">
        <v>90</v>
      </c>
      <c r="X5" s="78" t="s">
        <v>2543</v>
      </c>
      <c r="Y5" s="78" t="s">
        <v>862</v>
      </c>
    </row>
    <row r="6" spans="2:25" s="78" customFormat="1" ht="10.199999999999999" hidden="1">
      <c r="B6" s="785">
        <v>5</v>
      </c>
      <c r="C6" s="78">
        <v>5</v>
      </c>
      <c r="D6" s="78" t="s">
        <v>2068</v>
      </c>
      <c r="E6" s="78" t="s">
        <v>2063</v>
      </c>
      <c r="F6" s="78" t="s">
        <v>2062</v>
      </c>
      <c r="G6" s="78" t="s">
        <v>2058</v>
      </c>
      <c r="H6" s="78" t="s">
        <v>2061</v>
      </c>
      <c r="I6" s="78" t="s">
        <v>2061</v>
      </c>
      <c r="J6" s="78" t="s">
        <v>2022</v>
      </c>
      <c r="K6" s="78">
        <v>1</v>
      </c>
      <c r="L6" s="78" t="s">
        <v>2060</v>
      </c>
      <c r="M6" s="78" t="s">
        <v>575</v>
      </c>
      <c r="N6" s="78" t="s">
        <v>2021</v>
      </c>
      <c r="O6" s="78" t="s">
        <v>2059</v>
      </c>
      <c r="P6" s="78" t="s">
        <v>2058</v>
      </c>
      <c r="Q6" s="78" t="s">
        <v>2020</v>
      </c>
      <c r="R6" s="78" t="s">
        <v>90</v>
      </c>
      <c r="S6" s="78" t="s">
        <v>2057</v>
      </c>
      <c r="T6" s="78" t="s">
        <v>2067</v>
      </c>
      <c r="U6" s="78" t="s">
        <v>682</v>
      </c>
      <c r="V6" s="78" t="s">
        <v>178</v>
      </c>
      <c r="W6" s="78" t="s">
        <v>1985</v>
      </c>
      <c r="X6" s="78" t="s">
        <v>2208</v>
      </c>
      <c r="Y6" s="78" t="s">
        <v>1951</v>
      </c>
    </row>
    <row r="7" spans="2:25" s="78" customFormat="1" ht="10.199999999999999" hidden="1">
      <c r="B7" s="785">
        <v>6</v>
      </c>
      <c r="C7" s="78">
        <v>6</v>
      </c>
      <c r="D7" s="78" t="s">
        <v>2066</v>
      </c>
      <c r="E7" s="78" t="s">
        <v>2063</v>
      </c>
      <c r="F7" s="78" t="s">
        <v>2062</v>
      </c>
      <c r="G7" s="78" t="s">
        <v>2058</v>
      </c>
      <c r="H7" s="78" t="s">
        <v>2061</v>
      </c>
      <c r="I7" s="78" t="s">
        <v>2061</v>
      </c>
      <c r="J7" s="78" t="s">
        <v>2019</v>
      </c>
      <c r="K7" s="78" t="s">
        <v>743</v>
      </c>
      <c r="L7" s="78" t="s">
        <v>2060</v>
      </c>
      <c r="M7" s="78" t="s">
        <v>575</v>
      </c>
      <c r="N7" s="78" t="s">
        <v>2018</v>
      </c>
      <c r="O7" s="78" t="s">
        <v>2059</v>
      </c>
      <c r="P7" s="78" t="s">
        <v>2058</v>
      </c>
      <c r="Q7" s="78" t="s">
        <v>2017</v>
      </c>
      <c r="R7" s="78" t="s">
        <v>2016</v>
      </c>
      <c r="S7" s="78" t="s">
        <v>2057</v>
      </c>
      <c r="T7" s="78" t="s">
        <v>2065</v>
      </c>
      <c r="U7" s="78" t="s">
        <v>678</v>
      </c>
      <c r="V7" s="78" t="s">
        <v>178</v>
      </c>
      <c r="W7" s="78" t="s">
        <v>621</v>
      </c>
      <c r="X7" s="78" t="s">
        <v>1549</v>
      </c>
      <c r="Y7" s="78" t="s">
        <v>2536</v>
      </c>
    </row>
    <row r="8" spans="2:25" s="78" customFormat="1" ht="10.199999999999999" hidden="1">
      <c r="B8" s="785">
        <v>7</v>
      </c>
      <c r="C8" s="78">
        <v>7</v>
      </c>
      <c r="D8" s="78" t="s">
        <v>2064</v>
      </c>
      <c r="E8" s="78" t="s">
        <v>2063</v>
      </c>
      <c r="F8" s="78" t="s">
        <v>2062</v>
      </c>
      <c r="G8" s="78" t="s">
        <v>2058</v>
      </c>
      <c r="H8" s="78" t="s">
        <v>2061</v>
      </c>
      <c r="I8" s="78" t="s">
        <v>2061</v>
      </c>
      <c r="J8" s="78" t="s">
        <v>2015</v>
      </c>
      <c r="K8" s="78" t="s">
        <v>743</v>
      </c>
      <c r="L8" s="78" t="s">
        <v>2060</v>
      </c>
      <c r="M8" s="78" t="s">
        <v>575</v>
      </c>
      <c r="N8" s="78" t="s">
        <v>2014</v>
      </c>
      <c r="O8" s="78" t="s">
        <v>2059</v>
      </c>
      <c r="P8" s="78" t="s">
        <v>2058</v>
      </c>
      <c r="Q8" s="78" t="s">
        <v>2013</v>
      </c>
      <c r="R8" s="78" t="s">
        <v>124</v>
      </c>
      <c r="S8" s="78" t="s">
        <v>2057</v>
      </c>
      <c r="T8" s="78" t="s">
        <v>2056</v>
      </c>
      <c r="U8" s="78" t="s">
        <v>678</v>
      </c>
      <c r="V8" s="78" t="s">
        <v>178</v>
      </c>
      <c r="W8" s="78" t="s">
        <v>128</v>
      </c>
      <c r="X8" s="78" t="s">
        <v>2544</v>
      </c>
      <c r="Y8" s="78" t="s">
        <v>2537</v>
      </c>
    </row>
    <row r="9" spans="2:25" s="78" customFormat="1" ht="10.199999999999999" hidden="1">
      <c r="B9" s="785">
        <v>8</v>
      </c>
      <c r="C9" s="78">
        <v>8</v>
      </c>
      <c r="D9" s="78" t="s">
        <v>2055</v>
      </c>
      <c r="E9" s="78" t="s">
        <v>2053</v>
      </c>
      <c r="F9" s="78" t="s">
        <v>2052</v>
      </c>
      <c r="G9" s="78" t="s">
        <v>2051</v>
      </c>
      <c r="H9" s="78" t="s">
        <v>2528</v>
      </c>
      <c r="I9" s="78" t="s">
        <v>2524</v>
      </c>
      <c r="J9" s="78" t="s">
        <v>2531</v>
      </c>
      <c r="K9" s="78" t="s">
        <v>743</v>
      </c>
      <c r="L9" s="78" t="s">
        <v>2050</v>
      </c>
      <c r="M9" s="78" t="s">
        <v>2049</v>
      </c>
      <c r="N9" s="78" t="s">
        <v>2012</v>
      </c>
      <c r="O9" s="78" t="s">
        <v>2048</v>
      </c>
      <c r="P9" s="78" t="s">
        <v>2047</v>
      </c>
      <c r="Q9" s="78" t="s">
        <v>2011</v>
      </c>
      <c r="R9" s="78" t="s">
        <v>2010</v>
      </c>
      <c r="S9" s="78" t="s">
        <v>2046</v>
      </c>
      <c r="T9" s="78" t="s">
        <v>2037</v>
      </c>
      <c r="U9" s="78" t="s">
        <v>682</v>
      </c>
      <c r="V9" s="78" t="s">
        <v>2585</v>
      </c>
      <c r="W9" s="78" t="s">
        <v>1597</v>
      </c>
      <c r="X9" s="78" t="s">
        <v>602</v>
      </c>
      <c r="Y9" s="78" t="s">
        <v>2538</v>
      </c>
    </row>
    <row r="10" spans="2:25" s="78" customFormat="1" ht="10.199999999999999" hidden="1">
      <c r="B10" s="785">
        <v>9</v>
      </c>
      <c r="C10" s="78">
        <v>9</v>
      </c>
      <c r="D10" s="78" t="s">
        <v>2054</v>
      </c>
      <c r="E10" s="78" t="s">
        <v>2053</v>
      </c>
      <c r="F10" s="78" t="s">
        <v>2052</v>
      </c>
      <c r="G10" s="78" t="s">
        <v>2051</v>
      </c>
      <c r="H10" s="78" t="s">
        <v>2528</v>
      </c>
      <c r="I10" s="78" t="s">
        <v>2524</v>
      </c>
      <c r="J10" s="78" t="s">
        <v>2009</v>
      </c>
      <c r="K10" s="78" t="s">
        <v>178</v>
      </c>
      <c r="L10" s="78" t="s">
        <v>2050</v>
      </c>
      <c r="M10" s="78" t="s">
        <v>2049</v>
      </c>
      <c r="N10" s="78" t="s">
        <v>2008</v>
      </c>
      <c r="O10" s="78" t="s">
        <v>2048</v>
      </c>
      <c r="P10" s="78" t="s">
        <v>2047</v>
      </c>
      <c r="Q10" s="78" t="s">
        <v>2007</v>
      </c>
      <c r="R10" s="78" t="s">
        <v>2006</v>
      </c>
      <c r="S10" s="78" t="s">
        <v>2046</v>
      </c>
      <c r="T10" s="78" t="s">
        <v>2037</v>
      </c>
      <c r="U10" s="78" t="s">
        <v>683</v>
      </c>
      <c r="V10" s="78" t="s">
        <v>2587</v>
      </c>
      <c r="W10" s="78" t="s">
        <v>2590</v>
      </c>
      <c r="X10" s="78" t="s">
        <v>2545</v>
      </c>
      <c r="Y10" s="78" t="s">
        <v>2539</v>
      </c>
    </row>
    <row r="11" spans="2:25" s="78" customFormat="1" ht="10.199999999999999" hidden="1">
      <c r="B11" s="785">
        <v>10</v>
      </c>
      <c r="C11" s="78">
        <v>10</v>
      </c>
      <c r="D11" s="78" t="s">
        <v>2045</v>
      </c>
      <c r="E11" s="78" t="s">
        <v>2044</v>
      </c>
      <c r="F11" s="78" t="s">
        <v>2043</v>
      </c>
      <c r="G11" s="78" t="s">
        <v>2042</v>
      </c>
      <c r="H11" s="78" t="s">
        <v>2529</v>
      </c>
      <c r="I11" s="78" t="s">
        <v>2525</v>
      </c>
      <c r="J11" s="78" t="s">
        <v>2005</v>
      </c>
      <c r="K11" s="78">
        <v>1</v>
      </c>
      <c r="L11" s="78" t="s">
        <v>2041</v>
      </c>
      <c r="M11" s="78" t="s">
        <v>596</v>
      </c>
      <c r="N11" s="78" t="s">
        <v>2004</v>
      </c>
      <c r="O11" s="78" t="s">
        <v>2040</v>
      </c>
      <c r="P11" s="78" t="s">
        <v>2039</v>
      </c>
      <c r="Q11" s="78" t="s">
        <v>2003</v>
      </c>
      <c r="R11" s="78" t="s">
        <v>547</v>
      </c>
      <c r="S11" s="78" t="s">
        <v>2038</v>
      </c>
      <c r="T11" s="78" t="s">
        <v>2037</v>
      </c>
      <c r="U11" s="78" t="s">
        <v>682</v>
      </c>
      <c r="V11" s="78" t="s">
        <v>2588</v>
      </c>
      <c r="W11" s="78" t="s">
        <v>90</v>
      </c>
      <c r="X11" s="78" t="s">
        <v>2546</v>
      </c>
      <c r="Y11" s="78" t="s">
        <v>2540</v>
      </c>
    </row>
    <row r="12" spans="2:25" s="78" customFormat="1" ht="10.199999999999999" hidden="1">
      <c r="B12" s="785">
        <v>11</v>
      </c>
      <c r="J12" s="78" t="s">
        <v>2036</v>
      </c>
      <c r="K12" s="78">
        <v>1</v>
      </c>
      <c r="N12" s="78" t="s">
        <v>2035</v>
      </c>
      <c r="Q12" s="78" t="s">
        <v>2034</v>
      </c>
      <c r="R12" s="78" t="s">
        <v>2033</v>
      </c>
      <c r="X12" s="78" t="s">
        <v>603</v>
      </c>
      <c r="Y12" s="78" t="s">
        <v>2533</v>
      </c>
    </row>
    <row r="13" spans="2:25" s="78" customFormat="1" ht="10.199999999999999" hidden="1">
      <c r="B13" s="785">
        <v>12</v>
      </c>
      <c r="J13" s="78" t="s">
        <v>2032</v>
      </c>
      <c r="K13" s="78" t="s">
        <v>178</v>
      </c>
      <c r="N13" s="78" t="s">
        <v>2031</v>
      </c>
      <c r="Q13" s="78" t="s">
        <v>2030</v>
      </c>
      <c r="R13" s="78" t="s">
        <v>280</v>
      </c>
      <c r="X13" s="78" t="s">
        <v>2541</v>
      </c>
      <c r="Y13" s="78" t="s">
        <v>2534</v>
      </c>
    </row>
    <row r="14" spans="2:25" s="78" customFormat="1" ht="10.199999999999999" hidden="1">
      <c r="B14" s="785">
        <v>13</v>
      </c>
      <c r="J14" s="78" t="s">
        <v>2029</v>
      </c>
      <c r="K14" s="78" t="s">
        <v>178</v>
      </c>
      <c r="N14" s="78" t="s">
        <v>2028</v>
      </c>
      <c r="Q14" s="78" t="s">
        <v>2027</v>
      </c>
      <c r="R14" s="78" t="s">
        <v>1089</v>
      </c>
      <c r="X14" s="78" t="s">
        <v>2542</v>
      </c>
      <c r="Y14" s="78" t="s">
        <v>2535</v>
      </c>
    </row>
    <row r="15" spans="2:25" s="78" customFormat="1" ht="10.199999999999999" hidden="1">
      <c r="B15" s="785">
        <v>14</v>
      </c>
      <c r="J15" s="78" t="s">
        <v>2026</v>
      </c>
      <c r="K15" s="78" t="s">
        <v>743</v>
      </c>
      <c r="N15" s="78" t="s">
        <v>2025</v>
      </c>
      <c r="Q15" s="78" t="s">
        <v>2024</v>
      </c>
      <c r="R15" s="78" t="s">
        <v>2023</v>
      </c>
      <c r="X15" s="78" t="s">
        <v>2543</v>
      </c>
      <c r="Y15" s="78" t="s">
        <v>862</v>
      </c>
    </row>
    <row r="16" spans="2:25" s="78" customFormat="1" ht="10.199999999999999" hidden="1">
      <c r="B16" s="785">
        <v>15</v>
      </c>
      <c r="J16" s="78" t="s">
        <v>2022</v>
      </c>
      <c r="K16" s="78">
        <v>1</v>
      </c>
      <c r="N16" s="78" t="s">
        <v>2021</v>
      </c>
      <c r="Q16" s="78" t="s">
        <v>2020</v>
      </c>
      <c r="R16" s="78" t="s">
        <v>90</v>
      </c>
      <c r="X16" s="78" t="s">
        <v>2208</v>
      </c>
      <c r="Y16" s="78" t="s">
        <v>1951</v>
      </c>
    </row>
    <row r="17" spans="2:25" s="78" customFormat="1" ht="10.199999999999999" hidden="1">
      <c r="B17" s="785">
        <v>16</v>
      </c>
      <c r="J17" s="78" t="s">
        <v>2019</v>
      </c>
      <c r="K17" s="78" t="s">
        <v>743</v>
      </c>
      <c r="N17" s="78" t="s">
        <v>2018</v>
      </c>
      <c r="Q17" s="78" t="s">
        <v>2017</v>
      </c>
      <c r="R17" s="78" t="s">
        <v>2016</v>
      </c>
      <c r="X17" s="78" t="s">
        <v>1549</v>
      </c>
      <c r="Y17" s="78" t="s">
        <v>2536</v>
      </c>
    </row>
    <row r="18" spans="2:25" s="78" customFormat="1" ht="10.199999999999999" hidden="1">
      <c r="B18" s="785">
        <v>17</v>
      </c>
      <c r="J18" s="78" t="s">
        <v>2015</v>
      </c>
      <c r="K18" s="78" t="s">
        <v>743</v>
      </c>
      <c r="N18" s="78" t="s">
        <v>2014</v>
      </c>
      <c r="Q18" s="78" t="s">
        <v>2013</v>
      </c>
      <c r="R18" s="78" t="s">
        <v>124</v>
      </c>
      <c r="X18" s="78" t="s">
        <v>2544</v>
      </c>
      <c r="Y18" s="78" t="s">
        <v>2537</v>
      </c>
    </row>
    <row r="19" spans="2:25" s="78" customFormat="1" ht="10.199999999999999" hidden="1">
      <c r="B19" s="785">
        <v>18</v>
      </c>
      <c r="J19" s="78" t="s">
        <v>2531</v>
      </c>
      <c r="K19" s="78" t="s">
        <v>743</v>
      </c>
      <c r="N19" s="78" t="s">
        <v>2012</v>
      </c>
      <c r="Q19" s="78" t="s">
        <v>2011</v>
      </c>
      <c r="R19" s="78" t="s">
        <v>2010</v>
      </c>
      <c r="X19" s="78" t="s">
        <v>602</v>
      </c>
      <c r="Y19" s="78" t="s">
        <v>2538</v>
      </c>
    </row>
    <row r="20" spans="2:25" s="78" customFormat="1" ht="10.199999999999999" hidden="1">
      <c r="B20" s="785">
        <v>19</v>
      </c>
      <c r="J20" s="78" t="s">
        <v>2009</v>
      </c>
      <c r="K20" s="78" t="s">
        <v>178</v>
      </c>
      <c r="N20" s="78" t="s">
        <v>2008</v>
      </c>
      <c r="Q20" s="78" t="s">
        <v>2007</v>
      </c>
      <c r="R20" s="78" t="s">
        <v>2006</v>
      </c>
      <c r="X20" s="78" t="s">
        <v>2545</v>
      </c>
      <c r="Y20" s="78" t="s">
        <v>2539</v>
      </c>
    </row>
    <row r="21" spans="2:25" s="78" customFormat="1" ht="10.199999999999999" hidden="1">
      <c r="B21" s="785">
        <v>20</v>
      </c>
      <c r="J21" s="78" t="s">
        <v>2005</v>
      </c>
      <c r="K21" s="78">
        <v>1</v>
      </c>
      <c r="N21" s="78" t="s">
        <v>2004</v>
      </c>
      <c r="Q21" s="78" t="s">
        <v>2003</v>
      </c>
      <c r="R21" s="78" t="s">
        <v>547</v>
      </c>
      <c r="X21" s="78" t="s">
        <v>2546</v>
      </c>
      <c r="Y21" s="78" t="s">
        <v>2540</v>
      </c>
    </row>
    <row r="22" spans="2:25" s="78" customFormat="1" ht="10.199999999999999" hidden="1">
      <c r="B22" s="785">
        <v>21</v>
      </c>
      <c r="J22" s="78" t="s">
        <v>2036</v>
      </c>
      <c r="K22" s="78">
        <v>1</v>
      </c>
      <c r="N22" s="78" t="s">
        <v>2035</v>
      </c>
      <c r="Q22" s="78" t="s">
        <v>2034</v>
      </c>
      <c r="R22" s="78" t="s">
        <v>2033</v>
      </c>
      <c r="X22" s="78" t="s">
        <v>603</v>
      </c>
      <c r="Y22" s="78" t="s">
        <v>2533</v>
      </c>
    </row>
    <row r="23" spans="2:25" s="78" customFormat="1" ht="10.199999999999999" hidden="1">
      <c r="B23" s="785">
        <v>22</v>
      </c>
      <c r="J23" s="78" t="s">
        <v>2032</v>
      </c>
      <c r="K23" s="78" t="s">
        <v>178</v>
      </c>
      <c r="N23" s="78" t="s">
        <v>2031</v>
      </c>
      <c r="Q23" s="78" t="s">
        <v>2030</v>
      </c>
      <c r="R23" s="78" t="s">
        <v>280</v>
      </c>
      <c r="X23" s="78" t="s">
        <v>2541</v>
      </c>
      <c r="Y23" s="78" t="s">
        <v>2534</v>
      </c>
    </row>
    <row r="24" spans="2:25" s="78" customFormat="1" ht="10.199999999999999" hidden="1">
      <c r="B24" s="785">
        <v>23</v>
      </c>
      <c r="J24" s="78" t="s">
        <v>2029</v>
      </c>
      <c r="K24" s="78" t="s">
        <v>178</v>
      </c>
      <c r="N24" s="78" t="s">
        <v>2028</v>
      </c>
      <c r="Q24" s="78" t="s">
        <v>2027</v>
      </c>
      <c r="R24" s="78" t="s">
        <v>1089</v>
      </c>
      <c r="X24" s="78" t="s">
        <v>2542</v>
      </c>
      <c r="Y24" s="78" t="s">
        <v>2535</v>
      </c>
    </row>
    <row r="25" spans="2:25" s="78" customFormat="1" ht="10.199999999999999" hidden="1">
      <c r="B25" s="785">
        <v>24</v>
      </c>
      <c r="J25" s="78" t="s">
        <v>2026</v>
      </c>
      <c r="K25" s="78" t="s">
        <v>743</v>
      </c>
      <c r="N25" s="78" t="s">
        <v>2025</v>
      </c>
      <c r="Q25" s="78" t="s">
        <v>2024</v>
      </c>
      <c r="R25" s="78" t="s">
        <v>2023</v>
      </c>
      <c r="X25" s="78" t="s">
        <v>2543</v>
      </c>
      <c r="Y25" s="78" t="s">
        <v>862</v>
      </c>
    </row>
    <row r="26" spans="2:25" s="78" customFormat="1" ht="10.199999999999999" hidden="1">
      <c r="B26" s="785">
        <v>25</v>
      </c>
      <c r="J26" s="78" t="s">
        <v>2022</v>
      </c>
      <c r="K26" s="78">
        <v>1</v>
      </c>
      <c r="N26" s="78" t="s">
        <v>2021</v>
      </c>
      <c r="Q26" s="78" t="s">
        <v>2020</v>
      </c>
      <c r="R26" s="78" t="s">
        <v>90</v>
      </c>
      <c r="X26" s="78" t="s">
        <v>2208</v>
      </c>
      <c r="Y26" s="78" t="s">
        <v>1951</v>
      </c>
    </row>
    <row r="27" spans="2:25" s="78" customFormat="1" ht="10.199999999999999" hidden="1">
      <c r="B27" s="785">
        <v>26</v>
      </c>
      <c r="J27" s="78" t="s">
        <v>2019</v>
      </c>
      <c r="K27" s="78" t="s">
        <v>743</v>
      </c>
      <c r="N27" s="78" t="s">
        <v>2018</v>
      </c>
      <c r="Q27" s="78" t="s">
        <v>2017</v>
      </c>
      <c r="R27" s="78" t="s">
        <v>2016</v>
      </c>
      <c r="X27" s="78" t="s">
        <v>1549</v>
      </c>
      <c r="Y27" s="78" t="s">
        <v>2536</v>
      </c>
    </row>
    <row r="28" spans="2:25" s="78" customFormat="1" ht="10.199999999999999" hidden="1">
      <c r="B28" s="785">
        <v>27</v>
      </c>
      <c r="J28" s="78" t="s">
        <v>2015</v>
      </c>
      <c r="K28" s="78" t="s">
        <v>743</v>
      </c>
      <c r="N28" s="78" t="s">
        <v>2014</v>
      </c>
      <c r="Q28" s="78" t="s">
        <v>2013</v>
      </c>
      <c r="R28" s="78" t="s">
        <v>124</v>
      </c>
      <c r="X28" s="78" t="s">
        <v>2544</v>
      </c>
      <c r="Y28" s="78" t="s">
        <v>2537</v>
      </c>
    </row>
    <row r="29" spans="2:25" s="78" customFormat="1" ht="10.199999999999999" hidden="1">
      <c r="B29" s="785">
        <v>28</v>
      </c>
      <c r="J29" s="78" t="s">
        <v>2531</v>
      </c>
      <c r="K29" s="78" t="s">
        <v>743</v>
      </c>
      <c r="N29" s="78" t="s">
        <v>2012</v>
      </c>
      <c r="Q29" s="78" t="s">
        <v>2011</v>
      </c>
      <c r="R29" s="78" t="s">
        <v>2010</v>
      </c>
      <c r="X29" s="78" t="s">
        <v>602</v>
      </c>
      <c r="Y29" s="78" t="s">
        <v>2538</v>
      </c>
    </row>
    <row r="30" spans="2:25" s="78" customFormat="1" ht="10.199999999999999" hidden="1">
      <c r="B30" s="785">
        <v>29</v>
      </c>
      <c r="J30" s="78" t="s">
        <v>2009</v>
      </c>
      <c r="K30" s="78" t="s">
        <v>178</v>
      </c>
      <c r="N30" s="78" t="s">
        <v>2008</v>
      </c>
      <c r="Q30" s="78" t="s">
        <v>2007</v>
      </c>
      <c r="R30" s="78" t="s">
        <v>2006</v>
      </c>
      <c r="X30" s="78" t="s">
        <v>2545</v>
      </c>
      <c r="Y30" s="78" t="s">
        <v>2539</v>
      </c>
    </row>
    <row r="31" spans="2:25" s="78" customFormat="1" ht="10.199999999999999" hidden="1">
      <c r="B31" s="785">
        <v>30</v>
      </c>
      <c r="J31" s="78" t="s">
        <v>2005</v>
      </c>
      <c r="K31" s="78">
        <v>1</v>
      </c>
      <c r="N31" s="78" t="s">
        <v>2004</v>
      </c>
      <c r="Q31" s="78" t="s">
        <v>2003</v>
      </c>
      <c r="R31" s="78" t="s">
        <v>547</v>
      </c>
      <c r="X31" s="78" t="s">
        <v>2546</v>
      </c>
      <c r="Y31" s="78" t="s">
        <v>2540</v>
      </c>
    </row>
    <row r="32" spans="2:25" s="78" customFormat="1" ht="10.199999999999999" hidden="1">
      <c r="B32" s="785">
        <v>31</v>
      </c>
      <c r="J32" s="78" t="s">
        <v>2036</v>
      </c>
      <c r="K32" s="78">
        <v>1</v>
      </c>
      <c r="N32" s="78" t="s">
        <v>2035</v>
      </c>
      <c r="Q32" s="78" t="s">
        <v>2034</v>
      </c>
      <c r="R32" s="78" t="s">
        <v>2033</v>
      </c>
      <c r="X32" s="78" t="s">
        <v>603</v>
      </c>
      <c r="Y32" s="78" t="s">
        <v>2533</v>
      </c>
    </row>
    <row r="33" spans="2:25" s="78" customFormat="1" ht="10.199999999999999" hidden="1">
      <c r="B33" s="785">
        <v>32</v>
      </c>
      <c r="J33" s="78" t="s">
        <v>2032</v>
      </c>
      <c r="K33" s="78" t="s">
        <v>178</v>
      </c>
      <c r="N33" s="78" t="s">
        <v>2031</v>
      </c>
      <c r="Q33" s="78" t="s">
        <v>2030</v>
      </c>
      <c r="R33" s="78" t="s">
        <v>280</v>
      </c>
      <c r="X33" s="78" t="s">
        <v>2541</v>
      </c>
      <c r="Y33" s="78" t="s">
        <v>2534</v>
      </c>
    </row>
    <row r="34" spans="2:25" s="78" customFormat="1" ht="10.199999999999999" hidden="1">
      <c r="B34" s="785">
        <v>33</v>
      </c>
      <c r="J34" s="78" t="s">
        <v>2029</v>
      </c>
      <c r="K34" s="78" t="s">
        <v>178</v>
      </c>
      <c r="N34" s="78" t="s">
        <v>2028</v>
      </c>
      <c r="Q34" s="78" t="s">
        <v>2027</v>
      </c>
      <c r="R34" s="78" t="s">
        <v>1089</v>
      </c>
      <c r="X34" s="78" t="s">
        <v>2542</v>
      </c>
      <c r="Y34" s="78" t="s">
        <v>2535</v>
      </c>
    </row>
    <row r="35" spans="2:25" s="78" customFormat="1" ht="10.199999999999999" hidden="1">
      <c r="B35" s="785">
        <v>34</v>
      </c>
      <c r="J35" s="78" t="s">
        <v>2026</v>
      </c>
      <c r="K35" s="78" t="s">
        <v>743</v>
      </c>
      <c r="N35" s="78" t="s">
        <v>2025</v>
      </c>
      <c r="Q35" s="78" t="s">
        <v>2024</v>
      </c>
      <c r="R35" s="78" t="s">
        <v>2023</v>
      </c>
      <c r="X35" s="78" t="s">
        <v>2543</v>
      </c>
      <c r="Y35" s="78" t="s">
        <v>862</v>
      </c>
    </row>
    <row r="36" spans="2:25" s="78" customFormat="1" ht="10.199999999999999" hidden="1">
      <c r="B36" s="785">
        <v>35</v>
      </c>
      <c r="J36" s="78" t="s">
        <v>2022</v>
      </c>
      <c r="K36" s="78">
        <v>1</v>
      </c>
      <c r="N36" s="78" t="s">
        <v>2021</v>
      </c>
      <c r="Q36" s="78" t="s">
        <v>2020</v>
      </c>
      <c r="R36" s="78" t="s">
        <v>90</v>
      </c>
      <c r="X36" s="78" t="s">
        <v>2208</v>
      </c>
      <c r="Y36" s="78" t="s">
        <v>1951</v>
      </c>
    </row>
    <row r="37" spans="2:25" s="78" customFormat="1" ht="10.199999999999999" hidden="1">
      <c r="B37" s="785">
        <v>36</v>
      </c>
      <c r="J37" s="78" t="s">
        <v>2019</v>
      </c>
      <c r="K37" s="78" t="s">
        <v>743</v>
      </c>
      <c r="N37" s="78" t="s">
        <v>2018</v>
      </c>
      <c r="Q37" s="78" t="s">
        <v>2017</v>
      </c>
      <c r="R37" s="78" t="s">
        <v>2016</v>
      </c>
      <c r="X37" s="78" t="s">
        <v>1549</v>
      </c>
      <c r="Y37" s="78" t="s">
        <v>2536</v>
      </c>
    </row>
    <row r="38" spans="2:25" s="78" customFormat="1" ht="10.199999999999999" hidden="1">
      <c r="B38" s="785">
        <v>37</v>
      </c>
      <c r="J38" s="78" t="s">
        <v>2015</v>
      </c>
      <c r="K38" s="78" t="s">
        <v>743</v>
      </c>
      <c r="N38" s="78" t="s">
        <v>2014</v>
      </c>
      <c r="Q38" s="78" t="s">
        <v>2013</v>
      </c>
      <c r="R38" s="78" t="s">
        <v>124</v>
      </c>
      <c r="X38" s="78" t="s">
        <v>2544</v>
      </c>
      <c r="Y38" s="78" t="s">
        <v>2537</v>
      </c>
    </row>
    <row r="39" spans="2:25" s="78" customFormat="1" ht="10.199999999999999" hidden="1">
      <c r="B39" s="785">
        <v>38</v>
      </c>
      <c r="J39" s="78" t="s">
        <v>2531</v>
      </c>
      <c r="K39" s="78" t="s">
        <v>743</v>
      </c>
      <c r="N39" s="78" t="s">
        <v>2012</v>
      </c>
      <c r="Q39" s="78" t="s">
        <v>2011</v>
      </c>
      <c r="R39" s="78" t="s">
        <v>2010</v>
      </c>
      <c r="X39" s="78" t="s">
        <v>602</v>
      </c>
      <c r="Y39" s="78" t="s">
        <v>2538</v>
      </c>
    </row>
    <row r="40" spans="2:25" s="78" customFormat="1" ht="10.199999999999999" hidden="1">
      <c r="B40" s="785">
        <v>39</v>
      </c>
      <c r="J40" s="78" t="s">
        <v>2009</v>
      </c>
      <c r="K40" s="78" t="s">
        <v>178</v>
      </c>
      <c r="N40" s="78" t="s">
        <v>2008</v>
      </c>
      <c r="Q40" s="78" t="s">
        <v>2007</v>
      </c>
      <c r="R40" s="78" t="s">
        <v>2006</v>
      </c>
      <c r="X40" s="78" t="s">
        <v>2545</v>
      </c>
      <c r="Y40" s="78" t="s">
        <v>2539</v>
      </c>
    </row>
    <row r="41" spans="2:25" s="78" customFormat="1" ht="10.199999999999999" hidden="1">
      <c r="B41" s="785">
        <v>40</v>
      </c>
      <c r="J41" s="78" t="s">
        <v>2005</v>
      </c>
      <c r="K41" s="78">
        <v>1</v>
      </c>
      <c r="N41" s="78" t="s">
        <v>2004</v>
      </c>
      <c r="Q41" s="78" t="s">
        <v>2003</v>
      </c>
      <c r="R41" s="78" t="s">
        <v>547</v>
      </c>
      <c r="X41" s="78" t="s">
        <v>2546</v>
      </c>
      <c r="Y41" s="78" t="s">
        <v>2540</v>
      </c>
    </row>
    <row r="42" spans="2:25" s="78" customFormat="1" ht="10.199999999999999" hidden="1">
      <c r="B42" s="785">
        <v>41</v>
      </c>
      <c r="J42" s="78" t="s">
        <v>2002</v>
      </c>
      <c r="K42" s="78">
        <v>1</v>
      </c>
      <c r="N42" s="78" t="s">
        <v>2001</v>
      </c>
      <c r="Q42" s="78" t="s">
        <v>2000</v>
      </c>
      <c r="R42" s="78" t="s">
        <v>1999</v>
      </c>
      <c r="X42" s="78" t="s">
        <v>603</v>
      </c>
      <c r="Y42" s="78" t="s">
        <v>812</v>
      </c>
    </row>
    <row r="43" spans="2:25" s="78" customFormat="1" ht="10.199999999999999" hidden="1">
      <c r="B43" s="785">
        <v>42</v>
      </c>
      <c r="J43" s="78" t="s">
        <v>1998</v>
      </c>
      <c r="K43" s="78" t="s">
        <v>178</v>
      </c>
      <c r="N43" s="78" t="s">
        <v>1997</v>
      </c>
      <c r="Q43" s="78" t="s">
        <v>1996</v>
      </c>
      <c r="R43" s="78" t="s">
        <v>1995</v>
      </c>
      <c r="X43" s="78" t="s">
        <v>2541</v>
      </c>
      <c r="Y43" s="78" t="s">
        <v>2547</v>
      </c>
    </row>
    <row r="44" spans="2:25" s="78" customFormat="1" ht="10.199999999999999" hidden="1">
      <c r="B44" s="785">
        <v>43</v>
      </c>
      <c r="J44" s="78" t="s">
        <v>1994</v>
      </c>
      <c r="K44" s="78" t="s">
        <v>178</v>
      </c>
      <c r="N44" s="78" t="s">
        <v>1923</v>
      </c>
      <c r="Q44" s="78" t="s">
        <v>1993</v>
      </c>
      <c r="R44" s="78" t="s">
        <v>1992</v>
      </c>
      <c r="X44" s="78" t="s">
        <v>2542</v>
      </c>
      <c r="Y44" s="78" t="s">
        <v>2548</v>
      </c>
    </row>
    <row r="45" spans="2:25" s="78" customFormat="1" ht="10.199999999999999" hidden="1">
      <c r="B45" s="785">
        <v>44</v>
      </c>
      <c r="J45" s="78" t="s">
        <v>1991</v>
      </c>
      <c r="K45" s="78" t="s">
        <v>743</v>
      </c>
      <c r="N45" s="78" t="s">
        <v>1990</v>
      </c>
      <c r="Q45" s="78" t="s">
        <v>1989</v>
      </c>
      <c r="R45" s="78" t="s">
        <v>1988</v>
      </c>
      <c r="X45" s="78" t="s">
        <v>2543</v>
      </c>
      <c r="Y45" s="78" t="s">
        <v>2538</v>
      </c>
    </row>
    <row r="46" spans="2:25" s="78" customFormat="1" ht="10.199999999999999" hidden="1">
      <c r="B46" s="785">
        <v>45</v>
      </c>
      <c r="J46" s="78" t="s">
        <v>1849</v>
      </c>
      <c r="K46" s="78">
        <v>1</v>
      </c>
      <c r="N46" s="78" t="s">
        <v>1987</v>
      </c>
      <c r="Q46" s="78" t="s">
        <v>1986</v>
      </c>
      <c r="R46" s="78" t="s">
        <v>1985</v>
      </c>
      <c r="X46" s="78" t="s">
        <v>2208</v>
      </c>
      <c r="Y46" s="78" t="s">
        <v>1985</v>
      </c>
    </row>
    <row r="47" spans="2:25" s="78" customFormat="1" ht="10.199999999999999" hidden="1">
      <c r="B47" s="785">
        <v>46</v>
      </c>
      <c r="J47" s="78" t="s">
        <v>1984</v>
      </c>
      <c r="K47" s="78" t="s">
        <v>743</v>
      </c>
      <c r="N47" s="78" t="s">
        <v>1983</v>
      </c>
      <c r="Q47" s="78" t="s">
        <v>1982</v>
      </c>
      <c r="R47" s="78" t="s">
        <v>621</v>
      </c>
      <c r="X47" s="78" t="s">
        <v>1549</v>
      </c>
      <c r="Y47" s="78" t="s">
        <v>539</v>
      </c>
    </row>
    <row r="48" spans="2:25" s="78" customFormat="1" ht="10.199999999999999" hidden="1">
      <c r="B48" s="785">
        <v>47</v>
      </c>
      <c r="J48" s="78" t="s">
        <v>1981</v>
      </c>
      <c r="K48" s="78" t="s">
        <v>743</v>
      </c>
      <c r="N48" s="78" t="s">
        <v>1980</v>
      </c>
      <c r="Q48" s="78" t="s">
        <v>1979</v>
      </c>
      <c r="R48" s="78" t="s">
        <v>212</v>
      </c>
      <c r="X48" s="78" t="s">
        <v>2544</v>
      </c>
      <c r="Y48" s="78" t="s">
        <v>2549</v>
      </c>
    </row>
    <row r="49" spans="2:25" s="78" customFormat="1" ht="10.199999999999999" hidden="1">
      <c r="B49" s="785">
        <v>48</v>
      </c>
      <c r="J49" s="78" t="s">
        <v>1978</v>
      </c>
      <c r="K49" s="78" t="s">
        <v>743</v>
      </c>
      <c r="N49" s="78" t="s">
        <v>1977</v>
      </c>
      <c r="Q49" s="78" t="s">
        <v>1976</v>
      </c>
      <c r="R49" s="78" t="s">
        <v>1975</v>
      </c>
      <c r="X49" s="78" t="s">
        <v>602</v>
      </c>
      <c r="Y49" s="78" t="s">
        <v>2550</v>
      </c>
    </row>
    <row r="50" spans="2:25" s="78" customFormat="1" ht="10.199999999999999" hidden="1">
      <c r="B50" s="785">
        <v>49</v>
      </c>
      <c r="J50" s="78" t="s">
        <v>1974</v>
      </c>
      <c r="K50" s="78" t="s">
        <v>178</v>
      </c>
      <c r="N50" s="78" t="s">
        <v>1973</v>
      </c>
      <c r="Q50" s="78" t="s">
        <v>1972</v>
      </c>
      <c r="R50" s="78" t="s">
        <v>1971</v>
      </c>
      <c r="X50" s="78" t="s">
        <v>2545</v>
      </c>
      <c r="Y50" s="78" t="s">
        <v>2547</v>
      </c>
    </row>
    <row r="51" spans="2:25" s="78" customFormat="1" ht="10.199999999999999" hidden="1">
      <c r="B51" s="785">
        <v>50</v>
      </c>
      <c r="J51" s="78" t="s">
        <v>1970</v>
      </c>
      <c r="K51" s="78">
        <v>1</v>
      </c>
      <c r="N51" s="78" t="s">
        <v>811</v>
      </c>
      <c r="Q51" s="78" t="s">
        <v>1969</v>
      </c>
      <c r="R51" s="78" t="s">
        <v>67</v>
      </c>
      <c r="X51" s="78" t="s">
        <v>2546</v>
      </c>
      <c r="Y51" s="78" t="s">
        <v>2551</v>
      </c>
    </row>
    <row r="52" spans="2:25" s="78" customFormat="1" ht="10.199999999999999" hidden="1">
      <c r="B52" s="785">
        <v>51</v>
      </c>
      <c r="J52" s="78" t="s">
        <v>2002</v>
      </c>
      <c r="K52" s="78">
        <v>1</v>
      </c>
      <c r="N52" s="78" t="s">
        <v>2001</v>
      </c>
      <c r="Q52" s="78" t="s">
        <v>2000</v>
      </c>
      <c r="R52" s="78" t="s">
        <v>1999</v>
      </c>
      <c r="X52" s="78" t="s">
        <v>603</v>
      </c>
      <c r="Y52" s="78" t="s">
        <v>812</v>
      </c>
    </row>
    <row r="53" spans="2:25" s="78" customFormat="1" ht="10.199999999999999" hidden="1">
      <c r="B53" s="785">
        <v>52</v>
      </c>
      <c r="J53" s="78" t="s">
        <v>1998</v>
      </c>
      <c r="K53" s="78" t="s">
        <v>178</v>
      </c>
      <c r="N53" s="78" t="s">
        <v>1997</v>
      </c>
      <c r="Q53" s="78" t="s">
        <v>1996</v>
      </c>
      <c r="R53" s="78" t="s">
        <v>1995</v>
      </c>
      <c r="X53" s="78" t="s">
        <v>2541</v>
      </c>
      <c r="Y53" s="78" t="s">
        <v>2547</v>
      </c>
    </row>
    <row r="54" spans="2:25" s="78" customFormat="1" ht="10.199999999999999" hidden="1">
      <c r="B54" s="785">
        <v>53</v>
      </c>
      <c r="J54" s="78" t="s">
        <v>1994</v>
      </c>
      <c r="K54" s="78" t="s">
        <v>178</v>
      </c>
      <c r="N54" s="78" t="s">
        <v>1923</v>
      </c>
      <c r="Q54" s="78" t="s">
        <v>1993</v>
      </c>
      <c r="R54" s="78" t="s">
        <v>1992</v>
      </c>
      <c r="X54" s="78" t="s">
        <v>2542</v>
      </c>
      <c r="Y54" s="78" t="s">
        <v>2548</v>
      </c>
    </row>
    <row r="55" spans="2:25" s="78" customFormat="1" ht="10.199999999999999" hidden="1">
      <c r="B55" s="785">
        <v>54</v>
      </c>
      <c r="J55" s="78" t="s">
        <v>1991</v>
      </c>
      <c r="K55" s="78" t="s">
        <v>743</v>
      </c>
      <c r="N55" s="78" t="s">
        <v>1990</v>
      </c>
      <c r="Q55" s="78" t="s">
        <v>1989</v>
      </c>
      <c r="R55" s="78" t="s">
        <v>1988</v>
      </c>
      <c r="X55" s="78" t="s">
        <v>2543</v>
      </c>
      <c r="Y55" s="78" t="s">
        <v>2538</v>
      </c>
    </row>
    <row r="56" spans="2:25" s="78" customFormat="1" ht="10.199999999999999" hidden="1">
      <c r="B56" s="785">
        <v>55</v>
      </c>
      <c r="J56" s="78" t="s">
        <v>1849</v>
      </c>
      <c r="K56" s="78">
        <v>1</v>
      </c>
      <c r="N56" s="78" t="s">
        <v>1987</v>
      </c>
      <c r="Q56" s="78" t="s">
        <v>1986</v>
      </c>
      <c r="R56" s="78" t="s">
        <v>1985</v>
      </c>
      <c r="X56" s="78" t="s">
        <v>2208</v>
      </c>
      <c r="Y56" s="78" t="s">
        <v>1985</v>
      </c>
    </row>
    <row r="57" spans="2:25" s="78" customFormat="1" ht="10.199999999999999" hidden="1">
      <c r="B57" s="785">
        <v>56</v>
      </c>
      <c r="J57" s="78" t="s">
        <v>1984</v>
      </c>
      <c r="K57" s="78" t="s">
        <v>743</v>
      </c>
      <c r="N57" s="78" t="s">
        <v>1983</v>
      </c>
      <c r="Q57" s="78" t="s">
        <v>1982</v>
      </c>
      <c r="R57" s="78" t="s">
        <v>621</v>
      </c>
      <c r="X57" s="78" t="s">
        <v>1549</v>
      </c>
      <c r="Y57" s="78" t="s">
        <v>539</v>
      </c>
    </row>
    <row r="58" spans="2:25" s="78" customFormat="1" ht="10.199999999999999" hidden="1">
      <c r="B58" s="785">
        <v>57</v>
      </c>
      <c r="J58" s="78" t="s">
        <v>1981</v>
      </c>
      <c r="K58" s="78" t="s">
        <v>743</v>
      </c>
      <c r="N58" s="78" t="s">
        <v>1980</v>
      </c>
      <c r="Q58" s="78" t="s">
        <v>1979</v>
      </c>
      <c r="R58" s="78" t="s">
        <v>212</v>
      </c>
      <c r="X58" s="78" t="s">
        <v>2544</v>
      </c>
      <c r="Y58" s="78" t="s">
        <v>2549</v>
      </c>
    </row>
    <row r="59" spans="2:25" s="78" customFormat="1" ht="10.199999999999999" hidden="1">
      <c r="B59" s="785">
        <v>58</v>
      </c>
      <c r="J59" s="78" t="s">
        <v>1978</v>
      </c>
      <c r="K59" s="78" t="s">
        <v>743</v>
      </c>
      <c r="N59" s="78" t="s">
        <v>1977</v>
      </c>
      <c r="Q59" s="78" t="s">
        <v>1976</v>
      </c>
      <c r="R59" s="78" t="s">
        <v>1975</v>
      </c>
      <c r="X59" s="78" t="s">
        <v>602</v>
      </c>
      <c r="Y59" s="78" t="s">
        <v>2550</v>
      </c>
    </row>
    <row r="60" spans="2:25" s="78" customFormat="1" ht="10.199999999999999" hidden="1">
      <c r="B60" s="785">
        <v>59</v>
      </c>
      <c r="J60" s="78" t="s">
        <v>1974</v>
      </c>
      <c r="K60" s="78" t="s">
        <v>178</v>
      </c>
      <c r="N60" s="78" t="s">
        <v>1973</v>
      </c>
      <c r="Q60" s="78" t="s">
        <v>1972</v>
      </c>
      <c r="R60" s="78" t="s">
        <v>1971</v>
      </c>
      <c r="X60" s="78" t="s">
        <v>2545</v>
      </c>
      <c r="Y60" s="78" t="s">
        <v>2547</v>
      </c>
    </row>
    <row r="61" spans="2:25" s="78" customFormat="1" ht="10.199999999999999" hidden="1">
      <c r="B61" s="785">
        <v>60</v>
      </c>
      <c r="J61" s="78" t="s">
        <v>1970</v>
      </c>
      <c r="K61" s="78">
        <v>1</v>
      </c>
      <c r="N61" s="78" t="s">
        <v>811</v>
      </c>
      <c r="Q61" s="78" t="s">
        <v>1969</v>
      </c>
      <c r="R61" s="78" t="s">
        <v>67</v>
      </c>
      <c r="X61" s="78" t="s">
        <v>2546</v>
      </c>
      <c r="Y61" s="78" t="s">
        <v>2551</v>
      </c>
    </row>
    <row r="62" spans="2:25" s="78" customFormat="1" ht="10.199999999999999" hidden="1">
      <c r="B62" s="785">
        <v>61</v>
      </c>
      <c r="J62" s="78" t="s">
        <v>2002</v>
      </c>
      <c r="K62" s="78">
        <v>1</v>
      </c>
      <c r="N62" s="78" t="s">
        <v>2001</v>
      </c>
      <c r="Q62" s="78" t="s">
        <v>2000</v>
      </c>
      <c r="R62" s="78" t="s">
        <v>1999</v>
      </c>
      <c r="X62" s="78" t="s">
        <v>603</v>
      </c>
      <c r="Y62" s="78" t="s">
        <v>812</v>
      </c>
    </row>
    <row r="63" spans="2:25" s="78" customFormat="1" ht="10.199999999999999" hidden="1">
      <c r="B63" s="785">
        <v>62</v>
      </c>
      <c r="J63" s="78" t="s">
        <v>1998</v>
      </c>
      <c r="K63" s="78" t="s">
        <v>178</v>
      </c>
      <c r="N63" s="78" t="s">
        <v>1997</v>
      </c>
      <c r="Q63" s="78" t="s">
        <v>1996</v>
      </c>
      <c r="R63" s="78" t="s">
        <v>1995</v>
      </c>
      <c r="X63" s="78" t="s">
        <v>2541</v>
      </c>
      <c r="Y63" s="78" t="s">
        <v>2547</v>
      </c>
    </row>
    <row r="64" spans="2:25" s="78" customFormat="1" ht="10.199999999999999" hidden="1">
      <c r="B64" s="785">
        <v>63</v>
      </c>
      <c r="J64" s="78" t="s">
        <v>1994</v>
      </c>
      <c r="K64" s="78" t="s">
        <v>178</v>
      </c>
      <c r="N64" s="78" t="s">
        <v>1923</v>
      </c>
      <c r="Q64" s="78" t="s">
        <v>1993</v>
      </c>
      <c r="R64" s="78" t="s">
        <v>1992</v>
      </c>
      <c r="X64" s="78" t="s">
        <v>2542</v>
      </c>
      <c r="Y64" s="78" t="s">
        <v>2548</v>
      </c>
    </row>
    <row r="65" spans="2:25" s="78" customFormat="1" ht="10.199999999999999" hidden="1">
      <c r="B65" s="785">
        <v>64</v>
      </c>
      <c r="J65" s="78" t="s">
        <v>1991</v>
      </c>
      <c r="K65" s="78" t="s">
        <v>743</v>
      </c>
      <c r="N65" s="78" t="s">
        <v>1990</v>
      </c>
      <c r="Q65" s="78" t="s">
        <v>1989</v>
      </c>
      <c r="R65" s="78" t="s">
        <v>1988</v>
      </c>
      <c r="X65" s="78" t="s">
        <v>2543</v>
      </c>
      <c r="Y65" s="78" t="s">
        <v>2538</v>
      </c>
    </row>
    <row r="66" spans="2:25" s="78" customFormat="1" ht="10.199999999999999" hidden="1">
      <c r="B66" s="785">
        <v>65</v>
      </c>
      <c r="J66" s="78" t="s">
        <v>1849</v>
      </c>
      <c r="K66" s="78">
        <v>1</v>
      </c>
      <c r="N66" s="78" t="s">
        <v>1987</v>
      </c>
      <c r="Q66" s="78" t="s">
        <v>1986</v>
      </c>
      <c r="R66" s="78" t="s">
        <v>1985</v>
      </c>
      <c r="X66" s="78" t="s">
        <v>2208</v>
      </c>
      <c r="Y66" s="78" t="s">
        <v>1985</v>
      </c>
    </row>
    <row r="67" spans="2:25" s="78" customFormat="1" ht="10.199999999999999" hidden="1">
      <c r="B67" s="785">
        <v>66</v>
      </c>
      <c r="J67" s="78" t="s">
        <v>1984</v>
      </c>
      <c r="K67" s="78" t="s">
        <v>743</v>
      </c>
      <c r="N67" s="78" t="s">
        <v>1983</v>
      </c>
      <c r="Q67" s="78" t="s">
        <v>1982</v>
      </c>
      <c r="R67" s="78" t="s">
        <v>621</v>
      </c>
      <c r="X67" s="78" t="s">
        <v>1549</v>
      </c>
      <c r="Y67" s="78" t="s">
        <v>539</v>
      </c>
    </row>
    <row r="68" spans="2:25" s="78" customFormat="1" ht="10.199999999999999" hidden="1">
      <c r="B68" s="785">
        <v>67</v>
      </c>
      <c r="J68" s="78" t="s">
        <v>1981</v>
      </c>
      <c r="K68" s="78" t="s">
        <v>743</v>
      </c>
      <c r="N68" s="78" t="s">
        <v>1980</v>
      </c>
      <c r="Q68" s="78" t="s">
        <v>1979</v>
      </c>
      <c r="R68" s="78" t="s">
        <v>212</v>
      </c>
      <c r="X68" s="78" t="s">
        <v>2544</v>
      </c>
      <c r="Y68" s="78" t="s">
        <v>2549</v>
      </c>
    </row>
    <row r="69" spans="2:25" s="78" customFormat="1" ht="10.199999999999999" hidden="1">
      <c r="B69" s="785">
        <v>68</v>
      </c>
      <c r="J69" s="78" t="s">
        <v>1978</v>
      </c>
      <c r="K69" s="78" t="s">
        <v>743</v>
      </c>
      <c r="N69" s="78" t="s">
        <v>1977</v>
      </c>
      <c r="Q69" s="78" t="s">
        <v>1976</v>
      </c>
      <c r="R69" s="78" t="s">
        <v>1975</v>
      </c>
      <c r="X69" s="78" t="s">
        <v>602</v>
      </c>
      <c r="Y69" s="78" t="s">
        <v>2550</v>
      </c>
    </row>
    <row r="70" spans="2:25" s="78" customFormat="1" ht="10.199999999999999" hidden="1">
      <c r="B70" s="785">
        <v>69</v>
      </c>
      <c r="J70" s="78" t="s">
        <v>1974</v>
      </c>
      <c r="K70" s="78" t="s">
        <v>178</v>
      </c>
      <c r="N70" s="78" t="s">
        <v>1973</v>
      </c>
      <c r="Q70" s="78" t="s">
        <v>1972</v>
      </c>
      <c r="R70" s="78" t="s">
        <v>1971</v>
      </c>
      <c r="X70" s="78" t="s">
        <v>2545</v>
      </c>
      <c r="Y70" s="78" t="s">
        <v>2547</v>
      </c>
    </row>
    <row r="71" spans="2:25" s="78" customFormat="1" ht="10.199999999999999" hidden="1">
      <c r="B71" s="785">
        <v>70</v>
      </c>
      <c r="J71" s="78" t="s">
        <v>1970</v>
      </c>
      <c r="K71" s="78">
        <v>1</v>
      </c>
      <c r="N71" s="78" t="s">
        <v>811</v>
      </c>
      <c r="Q71" s="78" t="s">
        <v>1969</v>
      </c>
      <c r="R71" s="78" t="s">
        <v>67</v>
      </c>
      <c r="X71" s="78" t="s">
        <v>2546</v>
      </c>
      <c r="Y71" s="78" t="s">
        <v>2551</v>
      </c>
    </row>
    <row r="72" spans="2:25" s="78" customFormat="1" ht="10.199999999999999" hidden="1">
      <c r="B72" s="785">
        <v>71</v>
      </c>
      <c r="J72" s="78" t="s">
        <v>710</v>
      </c>
      <c r="K72" s="78">
        <v>1</v>
      </c>
      <c r="N72" s="78" t="s">
        <v>1968</v>
      </c>
      <c r="Q72" s="78" t="s">
        <v>1967</v>
      </c>
      <c r="R72" s="78" t="s">
        <v>1966</v>
      </c>
      <c r="X72" s="78" t="s">
        <v>603</v>
      </c>
      <c r="Y72" s="78" t="s">
        <v>2552</v>
      </c>
    </row>
    <row r="73" spans="2:25" s="78" customFormat="1" ht="10.199999999999999" hidden="1">
      <c r="B73" s="785">
        <v>72</v>
      </c>
      <c r="J73" s="78" t="s">
        <v>1965</v>
      </c>
      <c r="K73" s="78" t="s">
        <v>178</v>
      </c>
      <c r="N73" s="78" t="s">
        <v>1964</v>
      </c>
      <c r="Q73" s="78" t="s">
        <v>1963</v>
      </c>
      <c r="R73" s="78" t="s">
        <v>1962</v>
      </c>
      <c r="X73" s="78" t="s">
        <v>2541</v>
      </c>
      <c r="Y73" s="78" t="s">
        <v>2553</v>
      </c>
    </row>
    <row r="74" spans="2:25" s="78" customFormat="1" ht="10.199999999999999" hidden="1">
      <c r="B74" s="785">
        <v>73</v>
      </c>
      <c r="J74" s="78" t="s">
        <v>1961</v>
      </c>
      <c r="K74" s="78" t="s">
        <v>178</v>
      </c>
      <c r="N74" s="78" t="s">
        <v>1960</v>
      </c>
      <c r="Q74" s="78" t="s">
        <v>1959</v>
      </c>
      <c r="R74" s="78" t="s">
        <v>1958</v>
      </c>
      <c r="X74" s="78" t="s">
        <v>2542</v>
      </c>
      <c r="Y74" s="78" t="s">
        <v>2554</v>
      </c>
    </row>
    <row r="75" spans="2:25" s="78" customFormat="1" ht="10.199999999999999" hidden="1">
      <c r="B75" s="785">
        <v>74</v>
      </c>
      <c r="J75" s="78" t="s">
        <v>1957</v>
      </c>
      <c r="K75" s="78" t="s">
        <v>743</v>
      </c>
      <c r="N75" s="78" t="s">
        <v>1956</v>
      </c>
      <c r="Q75" s="78" t="s">
        <v>1955</v>
      </c>
      <c r="R75" s="78" t="s">
        <v>604</v>
      </c>
      <c r="X75" s="78" t="s">
        <v>2543</v>
      </c>
      <c r="Y75" s="78" t="s">
        <v>2555</v>
      </c>
    </row>
    <row r="76" spans="2:25" s="78" customFormat="1" ht="10.199999999999999" hidden="1">
      <c r="B76" s="785">
        <v>75</v>
      </c>
      <c r="J76" s="78" t="s">
        <v>1954</v>
      </c>
      <c r="K76" s="78">
        <v>1</v>
      </c>
      <c r="N76" s="78" t="s">
        <v>1953</v>
      </c>
      <c r="Q76" s="78" t="s">
        <v>1952</v>
      </c>
      <c r="R76" s="78" t="s">
        <v>1951</v>
      </c>
      <c r="X76" s="78" t="s">
        <v>2208</v>
      </c>
      <c r="Y76" s="78" t="s">
        <v>2556</v>
      </c>
    </row>
    <row r="77" spans="2:25" s="78" customFormat="1" ht="10.199999999999999" hidden="1">
      <c r="B77" s="785">
        <v>76</v>
      </c>
      <c r="J77" s="78" t="s">
        <v>1950</v>
      </c>
      <c r="K77" s="78" t="s">
        <v>743</v>
      </c>
      <c r="N77" s="78" t="s">
        <v>1949</v>
      </c>
      <c r="Q77" s="78" t="s">
        <v>1948</v>
      </c>
      <c r="R77" s="78" t="s">
        <v>1947</v>
      </c>
      <c r="X77" s="78" t="s">
        <v>1549</v>
      </c>
      <c r="Y77" s="78" t="s">
        <v>2557</v>
      </c>
    </row>
    <row r="78" spans="2:25" s="78" customFormat="1" ht="10.199999999999999" hidden="1">
      <c r="B78" s="785">
        <v>77</v>
      </c>
      <c r="J78" s="78" t="s">
        <v>1946</v>
      </c>
      <c r="K78" s="78" t="s">
        <v>743</v>
      </c>
      <c r="N78" s="78" t="s">
        <v>1945</v>
      </c>
      <c r="Q78" s="78" t="s">
        <v>1944</v>
      </c>
      <c r="R78" s="78" t="s">
        <v>204</v>
      </c>
      <c r="X78" s="78" t="s">
        <v>2544</v>
      </c>
      <c r="Y78" s="78" t="s">
        <v>2558</v>
      </c>
    </row>
    <row r="79" spans="2:25" s="78" customFormat="1" ht="10.199999999999999" hidden="1">
      <c r="B79" s="785">
        <v>78</v>
      </c>
      <c r="J79" s="78" t="s">
        <v>1943</v>
      </c>
      <c r="K79" s="78" t="s">
        <v>743</v>
      </c>
      <c r="N79" s="78" t="s">
        <v>1942</v>
      </c>
      <c r="Q79" s="78" t="s">
        <v>1941</v>
      </c>
      <c r="R79" s="78" t="s">
        <v>1940</v>
      </c>
      <c r="X79" s="78" t="s">
        <v>602</v>
      </c>
      <c r="Y79" s="78" t="s">
        <v>2559</v>
      </c>
    </row>
    <row r="80" spans="2:25" s="78" customFormat="1" ht="10.199999999999999" hidden="1">
      <c r="B80" s="785">
        <v>79</v>
      </c>
      <c r="J80" s="78" t="s">
        <v>1939</v>
      </c>
      <c r="K80" s="78" t="s">
        <v>178</v>
      </c>
      <c r="N80" s="78" t="s">
        <v>1938</v>
      </c>
      <c r="Q80" s="78" t="s">
        <v>1937</v>
      </c>
      <c r="R80" s="78" t="s">
        <v>1936</v>
      </c>
      <c r="X80" s="78" t="s">
        <v>2545</v>
      </c>
      <c r="Y80" s="78" t="s">
        <v>2560</v>
      </c>
    </row>
    <row r="81" spans="2:25" s="78" customFormat="1" ht="10.199999999999999" hidden="1">
      <c r="B81" s="785">
        <v>80</v>
      </c>
      <c r="J81" s="78" t="s">
        <v>1356</v>
      </c>
      <c r="K81" s="78">
        <v>1</v>
      </c>
      <c r="N81" s="78" t="s">
        <v>1935</v>
      </c>
      <c r="Q81" s="78" t="s">
        <v>1934</v>
      </c>
      <c r="R81" s="78" t="s">
        <v>1933</v>
      </c>
      <c r="X81" s="78" t="s">
        <v>2546</v>
      </c>
      <c r="Y81" s="78" t="s">
        <v>2561</v>
      </c>
    </row>
    <row r="82" spans="2:25" s="78" customFormat="1" ht="10.199999999999999" hidden="1">
      <c r="B82" s="785">
        <v>81</v>
      </c>
      <c r="J82" s="78" t="s">
        <v>710</v>
      </c>
      <c r="K82" s="78">
        <v>1</v>
      </c>
      <c r="N82" s="78" t="s">
        <v>1968</v>
      </c>
      <c r="Q82" s="78" t="s">
        <v>1967</v>
      </c>
      <c r="R82" s="78" t="s">
        <v>1966</v>
      </c>
      <c r="X82" s="78" t="s">
        <v>603</v>
      </c>
      <c r="Y82" s="78" t="s">
        <v>2552</v>
      </c>
    </row>
    <row r="83" spans="2:25" s="78" customFormat="1" ht="10.199999999999999" hidden="1">
      <c r="B83" s="785">
        <v>82</v>
      </c>
      <c r="J83" s="78" t="s">
        <v>1965</v>
      </c>
      <c r="K83" s="78" t="s">
        <v>178</v>
      </c>
      <c r="N83" s="78" t="s">
        <v>1964</v>
      </c>
      <c r="Q83" s="78" t="s">
        <v>1963</v>
      </c>
      <c r="R83" s="78" t="s">
        <v>1962</v>
      </c>
      <c r="X83" s="78" t="s">
        <v>2541</v>
      </c>
      <c r="Y83" s="78" t="s">
        <v>2553</v>
      </c>
    </row>
    <row r="84" spans="2:25" s="78" customFormat="1" ht="10.199999999999999" hidden="1">
      <c r="B84" s="785">
        <v>83</v>
      </c>
      <c r="J84" s="78" t="s">
        <v>1961</v>
      </c>
      <c r="K84" s="78" t="s">
        <v>178</v>
      </c>
      <c r="N84" s="78" t="s">
        <v>1960</v>
      </c>
      <c r="Q84" s="78" t="s">
        <v>1959</v>
      </c>
      <c r="R84" s="78" t="s">
        <v>1958</v>
      </c>
      <c r="X84" s="78" t="s">
        <v>2542</v>
      </c>
      <c r="Y84" s="78" t="s">
        <v>2554</v>
      </c>
    </row>
    <row r="85" spans="2:25" s="78" customFormat="1" ht="10.199999999999999" hidden="1">
      <c r="B85" s="785">
        <v>84</v>
      </c>
      <c r="J85" s="78" t="s">
        <v>1957</v>
      </c>
      <c r="K85" s="78" t="s">
        <v>743</v>
      </c>
      <c r="N85" s="78" t="s">
        <v>1956</v>
      </c>
      <c r="Q85" s="78" t="s">
        <v>1955</v>
      </c>
      <c r="R85" s="78" t="s">
        <v>604</v>
      </c>
      <c r="X85" s="78" t="s">
        <v>2543</v>
      </c>
      <c r="Y85" s="78" t="s">
        <v>2555</v>
      </c>
    </row>
    <row r="86" spans="2:25" s="78" customFormat="1" ht="10.199999999999999" hidden="1">
      <c r="B86" s="785">
        <v>85</v>
      </c>
      <c r="J86" s="78" t="s">
        <v>1954</v>
      </c>
      <c r="K86" s="78">
        <v>1</v>
      </c>
      <c r="N86" s="78" t="s">
        <v>1953</v>
      </c>
      <c r="Q86" s="78" t="s">
        <v>1952</v>
      </c>
      <c r="R86" s="78" t="s">
        <v>1951</v>
      </c>
      <c r="X86" s="78" t="s">
        <v>2208</v>
      </c>
      <c r="Y86" s="78" t="s">
        <v>2556</v>
      </c>
    </row>
    <row r="87" spans="2:25" s="78" customFormat="1" ht="10.199999999999999" hidden="1">
      <c r="B87" s="785">
        <v>86</v>
      </c>
      <c r="J87" s="78" t="s">
        <v>1950</v>
      </c>
      <c r="K87" s="78" t="s">
        <v>743</v>
      </c>
      <c r="N87" s="78" t="s">
        <v>1949</v>
      </c>
      <c r="Q87" s="78" t="s">
        <v>1948</v>
      </c>
      <c r="R87" s="78" t="s">
        <v>1947</v>
      </c>
      <c r="X87" s="78" t="s">
        <v>1549</v>
      </c>
      <c r="Y87" s="78" t="s">
        <v>2557</v>
      </c>
    </row>
    <row r="88" spans="2:25" s="78" customFormat="1" ht="10.199999999999999" hidden="1">
      <c r="B88" s="785">
        <v>87</v>
      </c>
      <c r="J88" s="78" t="s">
        <v>1946</v>
      </c>
      <c r="K88" s="78" t="s">
        <v>743</v>
      </c>
      <c r="N88" s="78" t="s">
        <v>1945</v>
      </c>
      <c r="Q88" s="78" t="s">
        <v>1944</v>
      </c>
      <c r="R88" s="78" t="s">
        <v>204</v>
      </c>
      <c r="X88" s="78" t="s">
        <v>2544</v>
      </c>
      <c r="Y88" s="78" t="s">
        <v>2558</v>
      </c>
    </row>
    <row r="89" spans="2:25" s="78" customFormat="1" ht="10.199999999999999" hidden="1">
      <c r="B89" s="785">
        <v>88</v>
      </c>
      <c r="J89" s="78" t="s">
        <v>1943</v>
      </c>
      <c r="K89" s="78" t="s">
        <v>743</v>
      </c>
      <c r="N89" s="78" t="s">
        <v>1942</v>
      </c>
      <c r="Q89" s="78" t="s">
        <v>1941</v>
      </c>
      <c r="R89" s="78" t="s">
        <v>1940</v>
      </c>
      <c r="X89" s="78" t="s">
        <v>602</v>
      </c>
      <c r="Y89" s="78" t="s">
        <v>2559</v>
      </c>
    </row>
    <row r="90" spans="2:25" s="78" customFormat="1" ht="10.199999999999999" hidden="1">
      <c r="B90" s="785">
        <v>89</v>
      </c>
      <c r="J90" s="78" t="s">
        <v>1939</v>
      </c>
      <c r="K90" s="78" t="s">
        <v>178</v>
      </c>
      <c r="N90" s="78" t="s">
        <v>1938</v>
      </c>
      <c r="Q90" s="78" t="s">
        <v>1937</v>
      </c>
      <c r="R90" s="78" t="s">
        <v>1936</v>
      </c>
      <c r="X90" s="78" t="s">
        <v>2545</v>
      </c>
      <c r="Y90" s="78" t="s">
        <v>2560</v>
      </c>
    </row>
    <row r="91" spans="2:25" s="78" customFormat="1" ht="10.199999999999999" hidden="1">
      <c r="B91" s="785">
        <v>90</v>
      </c>
      <c r="J91" s="78" t="s">
        <v>1356</v>
      </c>
      <c r="K91" s="78">
        <v>1</v>
      </c>
      <c r="N91" s="78" t="s">
        <v>1935</v>
      </c>
      <c r="Q91" s="78" t="s">
        <v>1934</v>
      </c>
      <c r="R91" s="78" t="s">
        <v>1933</v>
      </c>
      <c r="X91" s="78" t="s">
        <v>2546</v>
      </c>
      <c r="Y91" s="78" t="s">
        <v>2561</v>
      </c>
    </row>
    <row r="92" spans="2:25" s="78" customFormat="1" ht="10.199999999999999" hidden="1">
      <c r="B92" s="785">
        <v>91</v>
      </c>
      <c r="J92" s="78" t="s">
        <v>1932</v>
      </c>
      <c r="K92" s="78">
        <v>1</v>
      </c>
      <c r="N92" s="78" t="s">
        <v>1931</v>
      </c>
      <c r="Q92" s="78" t="s">
        <v>1930</v>
      </c>
      <c r="R92" s="78" t="s">
        <v>1929</v>
      </c>
      <c r="X92" s="78" t="s">
        <v>603</v>
      </c>
      <c r="Y92" s="78" t="s">
        <v>2562</v>
      </c>
    </row>
    <row r="93" spans="2:25" s="78" customFormat="1" ht="10.199999999999999" hidden="1">
      <c r="B93" s="785">
        <v>92</v>
      </c>
      <c r="J93" s="78" t="s">
        <v>1928</v>
      </c>
      <c r="K93" s="78" t="s">
        <v>178</v>
      </c>
      <c r="N93" s="78" t="s">
        <v>1927</v>
      </c>
      <c r="Q93" s="78" t="s">
        <v>1926</v>
      </c>
      <c r="R93" s="78" t="s">
        <v>1925</v>
      </c>
      <c r="X93" s="78" t="s">
        <v>2541</v>
      </c>
      <c r="Y93" s="78" t="s">
        <v>2563</v>
      </c>
    </row>
    <row r="94" spans="2:25" s="78" customFormat="1" ht="10.199999999999999" hidden="1">
      <c r="B94" s="785">
        <v>93</v>
      </c>
      <c r="J94" s="78" t="s">
        <v>1924</v>
      </c>
      <c r="K94" s="78" t="s">
        <v>178</v>
      </c>
      <c r="N94" s="78" t="s">
        <v>1923</v>
      </c>
      <c r="Q94" s="78" t="s">
        <v>1922</v>
      </c>
      <c r="R94" s="78" t="s">
        <v>128</v>
      </c>
      <c r="X94" s="78" t="s">
        <v>2542</v>
      </c>
      <c r="Y94" s="78" t="s">
        <v>2549</v>
      </c>
    </row>
    <row r="95" spans="2:25" s="78" customFormat="1" ht="10.199999999999999" hidden="1">
      <c r="B95" s="785">
        <v>94</v>
      </c>
      <c r="J95" s="78" t="s">
        <v>712</v>
      </c>
      <c r="K95" s="78" t="s">
        <v>743</v>
      </c>
      <c r="N95" s="78" t="s">
        <v>1921</v>
      </c>
      <c r="Q95" s="78" t="s">
        <v>1920</v>
      </c>
      <c r="R95" s="78" t="s">
        <v>1919</v>
      </c>
      <c r="X95" s="78" t="s">
        <v>2543</v>
      </c>
      <c r="Y95" s="78" t="s">
        <v>2564</v>
      </c>
    </row>
    <row r="96" spans="2:25" s="78" customFormat="1" ht="10.199999999999999" hidden="1">
      <c r="B96" s="785">
        <v>95</v>
      </c>
      <c r="J96" s="78" t="s">
        <v>907</v>
      </c>
      <c r="K96" s="78">
        <v>1</v>
      </c>
      <c r="N96" s="78" t="s">
        <v>1918</v>
      </c>
      <c r="Q96" s="78" t="s">
        <v>1917</v>
      </c>
      <c r="R96" s="78" t="s">
        <v>1916</v>
      </c>
      <c r="X96" s="78" t="s">
        <v>2208</v>
      </c>
      <c r="Y96" s="78" t="s">
        <v>2565</v>
      </c>
    </row>
    <row r="97" spans="1:25" s="78" customFormat="1" ht="10.199999999999999" hidden="1">
      <c r="B97" s="785">
        <v>96</v>
      </c>
      <c r="J97" s="78" t="s">
        <v>1915</v>
      </c>
      <c r="K97" s="78" t="s">
        <v>743</v>
      </c>
      <c r="N97" s="78" t="s">
        <v>1914</v>
      </c>
      <c r="Q97" s="78" t="s">
        <v>1913</v>
      </c>
      <c r="R97" s="78" t="s">
        <v>777</v>
      </c>
      <c r="X97" s="78" t="s">
        <v>1549</v>
      </c>
      <c r="Y97" s="78" t="s">
        <v>2099</v>
      </c>
    </row>
    <row r="98" spans="1:25" s="78" customFormat="1" ht="10.199999999999999" hidden="1">
      <c r="B98" s="785">
        <v>97</v>
      </c>
      <c r="J98" s="78" t="s">
        <v>1912</v>
      </c>
      <c r="K98" s="78" t="s">
        <v>743</v>
      </c>
      <c r="N98" s="78" t="s">
        <v>1911</v>
      </c>
      <c r="Q98" s="78" t="s">
        <v>1910</v>
      </c>
      <c r="R98" s="78" t="s">
        <v>1909</v>
      </c>
      <c r="X98" s="78" t="s">
        <v>2544</v>
      </c>
      <c r="Y98" s="78" t="s">
        <v>2566</v>
      </c>
    </row>
    <row r="99" spans="1:25" s="78" customFormat="1" ht="10.199999999999999" hidden="1">
      <c r="B99" s="785">
        <v>98</v>
      </c>
      <c r="J99" s="78" t="s">
        <v>1908</v>
      </c>
      <c r="K99" s="78" t="s">
        <v>743</v>
      </c>
      <c r="N99" s="78" t="s">
        <v>1907</v>
      </c>
      <c r="Q99" s="78" t="s">
        <v>1906</v>
      </c>
      <c r="R99" s="78" t="s">
        <v>9</v>
      </c>
      <c r="X99" s="78" t="s">
        <v>602</v>
      </c>
      <c r="Y99" s="78" t="s">
        <v>2567</v>
      </c>
    </row>
    <row r="100" spans="1:25" s="78" customFormat="1" ht="10.199999999999999" hidden="1">
      <c r="B100" s="785">
        <v>99</v>
      </c>
      <c r="J100" s="78" t="s">
        <v>1905</v>
      </c>
      <c r="K100" s="78" t="s">
        <v>178</v>
      </c>
      <c r="N100" s="78" t="s">
        <v>1904</v>
      </c>
      <c r="Q100" s="78" t="s">
        <v>1903</v>
      </c>
      <c r="R100" s="78" t="s">
        <v>20</v>
      </c>
      <c r="X100" s="78" t="s">
        <v>2545</v>
      </c>
      <c r="Y100" s="78" t="s">
        <v>2568</v>
      </c>
    </row>
    <row r="101" spans="1:25" s="78" customFormat="1" ht="10.199999999999999" hidden="1">
      <c r="B101" s="785">
        <v>100</v>
      </c>
      <c r="J101" s="78" t="s">
        <v>1902</v>
      </c>
      <c r="K101" s="78">
        <v>1</v>
      </c>
      <c r="N101" s="78" t="s">
        <v>1901</v>
      </c>
      <c r="Q101" s="78" t="s">
        <v>1900</v>
      </c>
      <c r="R101" s="78" t="s">
        <v>1899</v>
      </c>
      <c r="X101" s="78" t="s">
        <v>2546</v>
      </c>
      <c r="Y101" s="78" t="s">
        <v>2569</v>
      </c>
    </row>
    <row r="103" spans="1:25">
      <c r="B103" s="788" t="s">
        <v>142</v>
      </c>
    </row>
    <row r="104" spans="1:25">
      <c r="A104">
        <v>1</v>
      </c>
      <c r="B104"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début de soirée / D! = Très dangereux / Rich = Normal / Lieu = Muraille / nombre = D10* / Taille = Moyenne</v>
      </c>
    </row>
    <row r="105" spans="1:25">
      <c r="A105" s="604">
        <v>2</v>
      </c>
      <c r="B105"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coucher de soleil / D! = Très dangereux / Rich = Luxueux / Lieu = Champ / nombre = D10* / Taille = Petite</v>
      </c>
    </row>
    <row r="106" spans="1:25">
      <c r="A106">
        <v>3</v>
      </c>
      <c r="B106"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début de soirée / D! = Heureux / Rich = Normal / Lieu = Tour / nombre = D10* / Taille = Moyenne</v>
      </c>
    </row>
    <row r="107" spans="1:25">
      <c r="A107" s="604">
        <v>4</v>
      </c>
      <c r="B107"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après minuit / D! = Dangereux / Rich = Ruine / Lieu = Prieuré / nombre = D10* / Taille = Moyenne</v>
      </c>
    </row>
    <row r="108" spans="1:25">
      <c r="A108">
        <v>5</v>
      </c>
      <c r="B108"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début de soirée / D! = Neutre / Rich = Décoré / Lieu = Maison / nombre = 1 / Taille = Petite</v>
      </c>
    </row>
    <row r="109" spans="1:25">
      <c r="A109">
        <v>6</v>
      </c>
      <c r="B109"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début de matinée / D! = Neutre / Rich = Ruine / Lieu = Signe / nombre = D10* / Taille = Très grande</v>
      </c>
    </row>
    <row r="110" spans="1:25">
      <c r="A110">
        <v>7</v>
      </c>
      <c r="B110"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début de matinée / D! = Neutre / Rich = Ruine / Lieu = Chantier / nombre = D10 / Taille = Moyenne</v>
      </c>
    </row>
    <row r="111" spans="1:25">
      <c r="A111">
        <v>8</v>
      </c>
      <c r="B111"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après minuit / D! = Dangereux / Rich = Normal / Lieu = Ferme / nombre = 1 / Taille = Grande</v>
      </c>
    </row>
    <row r="112" spans="1:25">
      <c r="A112">
        <v>9</v>
      </c>
      <c r="B112"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après minuit / D! = Très heureux / Rich = Ruine / Lieu = Signe / nombre = D10* / Taille = Moyenne</v>
      </c>
    </row>
    <row r="113" spans="1:2">
      <c r="A113">
        <v>10</v>
      </c>
      <c r="B113"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coucher de soleil / D! = Neutre / Rich = Décoré / Lieu = Prieuré / nombre = 1 / Taille = Moyenne</v>
      </c>
    </row>
    <row r="114" spans="1:2">
      <c r="A114">
        <v>11</v>
      </c>
      <c r="B114"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après minuit / D! = Neutre / Rich = Abandonné / Lieu = Cimetière-1 / nombre = D10* / Taille = Grande</v>
      </c>
    </row>
    <row r="115" spans="1:2">
      <c r="A115">
        <v>12</v>
      </c>
      <c r="B115"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fin d’après-midi / D! = Neutre / Rich = Abandonné / Lieu = Maison / nombre = D10* / Taille = Grande</v>
      </c>
    </row>
    <row r="116" spans="1:2">
      <c r="A116">
        <v>13</v>
      </c>
      <c r="B116"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après minuit / D! = Neutre / Rich = Luxueux / Lieu = Village / nombre = 1 / Taille = Moyenne</v>
      </c>
    </row>
    <row r="117" spans="1:2">
      <c r="A117">
        <v>14</v>
      </c>
      <c r="B117"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début d’après-midi / D! = Heureux / Rich = Ruine / Lieu = Tumulus-D10 / nombre = D10 / Taille = Grande</v>
      </c>
    </row>
    <row r="118" spans="1:2">
      <c r="A118">
        <v>15</v>
      </c>
      <c r="B118"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début d’après-midi / D! = Dangereux / Rich = Normal / Lieu = Carrière / nombre = 1 / Taille = Petite</v>
      </c>
    </row>
    <row r="119" spans="1:2">
      <c r="A119">
        <v>16</v>
      </c>
      <c r="B119"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début de matinée / D! = Très heureux / Rich = Normal / Lieu = Fort / nombre = D10 / Taille = Petite</v>
      </c>
    </row>
    <row r="120" spans="1:2">
      <c r="A120">
        <v>17</v>
      </c>
      <c r="B120"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début de matinée / D! = Neutre / Rich = Ruine / Lieu = Souterrain / nombre = D10* / Taille = Moyenne</v>
      </c>
    </row>
    <row r="121" spans="1:2">
      <c r="A121">
        <v>18</v>
      </c>
      <c r="B121"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début de soirée / D! = Heureux / Rich = Décoré / Lieu = Champ / nombre = D10 / Taille = Petite</v>
      </c>
    </row>
    <row r="122" spans="1:2">
      <c r="A122">
        <v>19</v>
      </c>
      <c r="B122"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coucher de soleil / D! = Neutre / Rich = Abandonné / Lieu = Manoir / nombre = D10* / Taille = Petite</v>
      </c>
    </row>
    <row r="123" spans="1:2">
      <c r="A123">
        <v>20</v>
      </c>
      <c r="B123"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fin de matinée / D! = Très heureux / Rich = Normal / Lieu = Atelier / nombre = D10 / Taille = Moyenne</v>
      </c>
    </row>
    <row r="124" spans="1:2">
      <c r="A124">
        <v>21</v>
      </c>
      <c r="B124"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début de matinée / D! = Très heureux / Rich = Décoré / Lieu = Cave / nombre = D10 / Taille = Moyenne</v>
      </c>
    </row>
    <row r="125" spans="1:2">
      <c r="A125">
        <v>22</v>
      </c>
      <c r="B125"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après minuit / D! = Neutre / Rich = Normal / Lieu = Prieuré / nombre = 1 / Taille = Moyenne</v>
      </c>
    </row>
    <row r="126" spans="1:2">
      <c r="A126">
        <v>23</v>
      </c>
      <c r="B126"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fin d’après-midi / D! = Neutre / Rich = Normal / Lieu = Potager / nombre = 1 / Taille = Grande</v>
      </c>
    </row>
    <row r="127" spans="1:2">
      <c r="A127">
        <v>24</v>
      </c>
      <c r="B127"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fin d’après-midi / D! = Neutre / Rich = Ruine / Lieu = Mur / nombre = D10 / Taille = Moyenne</v>
      </c>
    </row>
    <row r="128" spans="1:2">
      <c r="A128">
        <v>25</v>
      </c>
      <c r="B128"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après minuit / D! = Heureux / Rich = Ruine / Lieu = Potager / nombre = 1 / Taille = Très grande</v>
      </c>
    </row>
    <row r="129" spans="1:2">
      <c r="A129">
        <v>26</v>
      </c>
      <c r="B129"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début de soirée / D! = Neutre / Rich = Normal / Lieu = Champ / nombre = D10* / Taille = Très grande</v>
      </c>
    </row>
    <row r="130" spans="1:2">
      <c r="A130">
        <v>27</v>
      </c>
      <c r="B130"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début de matinée / D! = Dangereux / Rich = Décoré / Lieu = Champ / nombre = D10* / Taille = Moyenne</v>
      </c>
    </row>
    <row r="131" spans="1:2">
      <c r="A131">
        <v>28</v>
      </c>
      <c r="B131"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début de soirée / D! = Dangereux / Rich = Luxueux / Lieu = Repaire / nombre = D10 / Taille = Petite</v>
      </c>
    </row>
    <row r="132" spans="1:2">
      <c r="A132">
        <v>29</v>
      </c>
      <c r="B132"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début de matinée / D! = Neutre / Rich = Abandonné / Lieu = Cabane / nombre = D10* / Taille = Grande</v>
      </c>
    </row>
    <row r="133" spans="1:2">
      <c r="A133">
        <v>30</v>
      </c>
      <c r="B133"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début d’après-midi / D! = Dangereux / Rich = Abandonné / Lieu = Tombe / nombre = D10* / Taille = Petite</v>
      </c>
    </row>
    <row r="134" spans="1:2">
      <c r="A134">
        <v>31</v>
      </c>
      <c r="B134"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après minuit / D! = Neutre / Rich = Abandonné / Lieu = Camp / nombre = D10* / Taille = Grande</v>
      </c>
    </row>
    <row r="135" spans="1:2">
      <c r="A135">
        <v>32</v>
      </c>
      <c r="B135"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début d’après-midi / D! = Dangereux / Rich = Normal / Lieu = Tour / nombre = D10* / Taille = Grande</v>
      </c>
    </row>
    <row r="136" spans="1:2">
      <c r="A136">
        <v>33</v>
      </c>
      <c r="B136"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à l’aube / D! = Très heureux / Rich = Abandonné / Lieu = Cave / nombre = 1 / Taille = Petite</v>
      </c>
    </row>
    <row r="137" spans="1:2">
      <c r="A137">
        <v>34</v>
      </c>
      <c r="B137"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fin de matinée / D! = Neutre / Rich = Abandonné / Lieu = Hameau / nombre = D10 / Taille = Grande</v>
      </c>
    </row>
    <row r="138" spans="1:2">
      <c r="A138">
        <v>35</v>
      </c>
      <c r="B138"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après minuit / D! = Heureux / Rich = Abandonné / Lieu = Maison / nombre = D10* / Taille = Petite</v>
      </c>
    </row>
    <row r="139" spans="1:2">
      <c r="A139">
        <v>36</v>
      </c>
      <c r="B139"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après minuit / D! = Neutre / Rich = Décoré / Lieu = Signe / nombre = D10* / Taille = Petite</v>
      </c>
    </row>
    <row r="140" spans="1:2">
      <c r="A140">
        <v>37</v>
      </c>
      <c r="B140"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début de matinée / D! = Neutre / Rich = Abandonné / Lieu = Hutte / nombre = D10* / Taille = Grande</v>
      </c>
    </row>
    <row r="141" spans="1:2">
      <c r="A141">
        <v>38</v>
      </c>
      <c r="B141"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coucher de soleil / D! = Heureux / Rich = Abandonné / Lieu = Ville / nombre = 1 / Taille = Petite</v>
      </c>
    </row>
    <row r="142" spans="1:2">
      <c r="A142">
        <v>39</v>
      </c>
      <c r="B142"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début de soirée / D! = Neutre / Rich = Abandonné / Lieu = Hameau / nombre = 1 / Taille = Très grande</v>
      </c>
    </row>
    <row r="143" spans="1:2">
      <c r="A143">
        <v>40</v>
      </c>
      <c r="B143"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après minuit / D! = Neutre / Rich = Abandonné / Lieu = Chantier / nombre = D10* / Taille = Petite</v>
      </c>
    </row>
    <row r="144" spans="1:2">
      <c r="A144">
        <v>41</v>
      </c>
      <c r="B144"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après minuit / D! = Heureux / Rich = Luxueux / Lieu = Repaire / nombre = D10* / Taille = Petite</v>
      </c>
    </row>
    <row r="145" spans="1:2">
      <c r="A145">
        <v>42</v>
      </c>
      <c r="B145"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coucher de soleil / D! = Neutre / Rich = Normal / Lieu = Cave / nombre = D10 / Taille = Moyenne</v>
      </c>
    </row>
    <row r="146" spans="1:2">
      <c r="A146">
        <v>43</v>
      </c>
      <c r="B146"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avant l’aube / D! = Heureux / Rich = Normal / Lieu = Mine / nombre = D10* / Taille = Moyenne</v>
      </c>
    </row>
    <row r="147" spans="1:2">
      <c r="A147">
        <v>44</v>
      </c>
      <c r="B147"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fin de matinée / D! = Neutre / Rich = Décoré / Lieu = Tumulus-D10 / nombre = 1 / Taille = Grande</v>
      </c>
    </row>
    <row r="148" spans="1:2">
      <c r="A148">
        <v>45</v>
      </c>
      <c r="B148"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coucher de soleil / D! = Très dangereux / Rich = Normal / Lieu = bourg / nombre = D10* / Taille = Petite</v>
      </c>
    </row>
    <row r="149" spans="1:2">
      <c r="A149">
        <v>46</v>
      </c>
      <c r="B149"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avant l’aube / D! = Dangereux / Rich = Luxueux / Lieu = Maison / nombre = 1 / Taille = Petite</v>
      </c>
    </row>
    <row r="150" spans="1:2">
      <c r="A150">
        <v>47</v>
      </c>
      <c r="B150"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à l’aube / D! = Heureux / Rich = Normal / Lieu = Tour / nombre = 1 / Taille = Très grande</v>
      </c>
    </row>
    <row r="151" spans="1:2">
      <c r="A151">
        <v>48</v>
      </c>
      <c r="B151"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avant minuit / D! = Dangereux / Rich = Abandonné / Lieu = Camp / nombre = D10* / Taille = Moyenne</v>
      </c>
    </row>
    <row r="152" spans="1:2">
      <c r="A152">
        <v>49</v>
      </c>
      <c r="B152" s="782"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fin de matinée / D! = Heureux / Rich = Décoré / Lieu = Pont / nombre = D10 / Taille = Petite</v>
      </c>
    </row>
    <row r="153" spans="1:2">
      <c r="A153">
        <v>50</v>
      </c>
      <c r="B153" s="791" t="str">
        <f ca="1">LOOKUP(RANDBETWEEN(1,10),dé10s,Moment)&amp;" / D! = "&amp;LOOKUP(RANDBETWEEN(1,10),dé10s,DangerLE)&amp;" / Rich = "&amp;LOOKUP(RANDBETWEEN(1,10),dé10s,RichesseL)&amp;" / Lieu = "&amp;LOOKUP(RANDBETWEEN(1,100),dé100,LieuT)&amp;" / nombre = "&amp;LOOKUP(RANDBETWEEN(1,10),Rencontre!dé100,LieuN)&amp;" / Taille = "&amp;LOOKUP(RANDBETWEEN(1,10),dé10s,TailleL)</f>
        <v>fin de matinée / D! = Dangereux / Rich = Normal / Lieu = Camp / nombre = D10* / Taille = Petite</v>
      </c>
    </row>
    <row r="154" spans="1:2">
      <c r="B154" s="791"/>
    </row>
    <row r="155" spans="1:2">
      <c r="B155" s="782"/>
    </row>
    <row r="156" spans="1:2">
      <c r="B156" s="787" t="s">
        <v>749</v>
      </c>
    </row>
    <row r="157" spans="1:2">
      <c r="A157">
        <v>1</v>
      </c>
      <c r="B157" s="782" t="str">
        <f t="shared" ref="B157:B188" ca="1" si="0">LOOKUP(RANDBETWEEN(1,10),dé10s,Moment)&amp;" / D! = "&amp;LOOKUP(RANDBETWEEN(1,10),dé10s,DangerLE)&amp;" / Evènement = "&amp;LOOKUP(RANDBETWEEN(1,100),dé100,Evènement)&amp;" / durée = "&amp;LOOKUP(RANDBETWEEN(1,10),dé10s,DuréeE)&amp;" / ampleur = "&amp;LOOKUP(RANDBETWEEN(1,10),dé10s,AmpleurE)</f>
        <v>coucher de soleil / D! = Dangereux / Evènement = Obstacle / durée = Fini depuis 1D10 heures / ampleur = Faible</v>
      </c>
    </row>
    <row r="158" spans="1:2">
      <c r="A158">
        <v>2</v>
      </c>
      <c r="B158" s="791" t="str">
        <f t="shared" ca="1" si="0"/>
        <v>après minuit / D! = Dangereux / Evènement = Venteux / durée = Fini depuis 1D10 jours / ampleur = Moyenne</v>
      </c>
    </row>
    <row r="159" spans="1:2">
      <c r="A159">
        <v>3</v>
      </c>
      <c r="B159" s="782" t="str">
        <f t="shared" ca="1" si="0"/>
        <v>avant minuit / D! = Neutre / Evènement = Crête / durée = Actuel, durée de 1D10x5 minutes / ampleur = Moyenne</v>
      </c>
    </row>
    <row r="160" spans="1:2">
      <c r="A160">
        <v>4</v>
      </c>
      <c r="B160" s="791" t="str">
        <f t="shared" ca="1" si="0"/>
        <v>à l’aube / D! = Neutre / Evènement = Ecorchure / durée = Fini depuis 1D10 heures / ampleur = Moyenne</v>
      </c>
    </row>
    <row r="161" spans="1:2">
      <c r="A161">
        <v>5</v>
      </c>
      <c r="B161" s="782" t="str">
        <f t="shared" ca="1" si="0"/>
        <v>avant minuit / D! = Très heureux / Evènement = Nuée insecte / durée = Fini depuis 1D10 jours / ampleur = Moyenne</v>
      </c>
    </row>
    <row r="162" spans="1:2">
      <c r="A162">
        <v>6</v>
      </c>
      <c r="B162" s="791" t="str">
        <f t="shared" ca="1" si="0"/>
        <v>coucher de soleil / D! = Heureux / Evènement = Trappe / durée = A commencé depuis 1D10 minutes / ampleur = Faible</v>
      </c>
    </row>
    <row r="163" spans="1:2">
      <c r="A163">
        <v>7</v>
      </c>
      <c r="B163" s="782" t="str">
        <f t="shared" ca="1" si="0"/>
        <v>début d’après-midi / D! = Neutre / Evènement = Blessure / durée = A commencé depuis 1D10 minutes / ampleur = Moyenne</v>
      </c>
    </row>
    <row r="164" spans="1:2">
      <c r="A164">
        <v>8</v>
      </c>
      <c r="B164" s="791" t="str">
        <f t="shared" ca="1" si="0"/>
        <v>à l’aube / D! = Neutre / Evènement = Pourriture / durée = A commencé depuis 1D10 minutes / ampleur = Très importante</v>
      </c>
    </row>
    <row r="165" spans="1:2">
      <c r="A165">
        <v>9</v>
      </c>
      <c r="B165" s="782" t="str">
        <f t="shared" ca="1" si="0"/>
        <v>début d’après-midi / D! = Neutre / Evènement = Ecorchure / durée = A commencé depuis 1D10 minutes / ampleur = Faible</v>
      </c>
    </row>
    <row r="166" spans="1:2">
      <c r="A166">
        <v>10</v>
      </c>
      <c r="B166" s="791" t="str">
        <f t="shared" ca="1" si="0"/>
        <v>coucher de soleil / D! = Neutre / Evènement = Chute / durée = A commencé depuis 1D10 minutes / ampleur = Très importante</v>
      </c>
    </row>
    <row r="167" spans="1:2">
      <c r="A167">
        <v>11</v>
      </c>
      <c r="B167" s="782" t="str">
        <f t="shared" ca="1" si="0"/>
        <v>fin d’après-midi / D! = Très dangereux / Evènement = Sécheresse / durée = A commencé depuis 1D10 minutes / ampleur = Moyenne</v>
      </c>
    </row>
    <row r="168" spans="1:2">
      <c r="A168">
        <v>12</v>
      </c>
      <c r="B168" s="791" t="str">
        <f t="shared" ca="1" si="0"/>
        <v>fin d’après-midi / D! = Neutre / Evènement = Chaleur / durée = A commencé depuis 1D10 minutes / ampleur = Moyenne</v>
      </c>
    </row>
    <row r="169" spans="1:2">
      <c r="A169">
        <v>13</v>
      </c>
      <c r="B169" s="782" t="str">
        <f t="shared" ca="1" si="0"/>
        <v>coucher de soleil / D! = Neutre / Evènement = Froid / durée = A commencé depuis 1D10 minutes / ampleur = Importante</v>
      </c>
    </row>
    <row r="170" spans="1:2">
      <c r="A170">
        <v>14</v>
      </c>
      <c r="B170" s="791" t="str">
        <f t="shared" ca="1" si="0"/>
        <v>avant l’aube / D! = Dangereux / Evènement = Trappe / durée = Fini depuis 1D10 jours / ampleur = Très importante</v>
      </c>
    </row>
    <row r="171" spans="1:2">
      <c r="A171">
        <v>15</v>
      </c>
      <c r="B171" s="782" t="str">
        <f t="shared" ca="1" si="0"/>
        <v>coucher de soleil / D! = Neutre / Evènement = Destruction / durée = Actuel, durée de 1D10x5 minutes / ampleur = Moyenne</v>
      </c>
    </row>
    <row r="172" spans="1:2">
      <c r="A172">
        <v>16</v>
      </c>
      <c r="B172" s="791" t="str">
        <f t="shared" ca="1" si="0"/>
        <v>après minuit / D! = Neutre / Evènement = Virus / durée = A commencé depuis 1D10 minutes / ampleur = Faible</v>
      </c>
    </row>
    <row r="173" spans="1:2">
      <c r="A173">
        <v>17</v>
      </c>
      <c r="B173" s="782" t="str">
        <f t="shared" ca="1" si="0"/>
        <v>coucher de soleil / D! = Heureux / Evènement = Sécheresse / durée = Fini depuis 1D10 heures / ampleur = Faible</v>
      </c>
    </row>
    <row r="174" spans="1:2">
      <c r="A174">
        <v>18</v>
      </c>
      <c r="B174" s="791" t="str">
        <f t="shared" ca="1" si="0"/>
        <v>à l’aube / D! = Neutre / Evènement = Incident / durée = A commencé depuis 1D10 minutes / ampleur = Faible</v>
      </c>
    </row>
    <row r="175" spans="1:2">
      <c r="A175">
        <v>19</v>
      </c>
      <c r="B175" s="782" t="str">
        <f t="shared" ca="1" si="0"/>
        <v>début d’après-midi / D! = Très heureux / Evènement = Obstacle / durée = Actuel, durée de 1D10x5 minutes / ampleur = Faible</v>
      </c>
    </row>
    <row r="176" spans="1:2">
      <c r="A176">
        <v>20</v>
      </c>
      <c r="B176" s="791" t="str">
        <f t="shared" ca="1" si="0"/>
        <v>avant l’aube / D! = Très dangereux / Evènement = Inondation / durée = Actuel, durée de 1D10x5 minutes / ampleur = Moyenne</v>
      </c>
    </row>
    <row r="177" spans="1:2">
      <c r="A177">
        <v>21</v>
      </c>
      <c r="B177" s="782" t="str">
        <f t="shared" ca="1" si="0"/>
        <v>à l’aube / D! = Très heureux / Evènement = Venteux / durée = Fini depuis 1D10 jours / ampleur = Moyenne</v>
      </c>
    </row>
    <row r="178" spans="1:2">
      <c r="A178">
        <v>22</v>
      </c>
      <c r="B178" s="791" t="str">
        <f t="shared" ca="1" si="0"/>
        <v>fin de matinée / D! = Dangereux / Evènement = Incident / durée = A commencé depuis 1D10 minutes / ampleur = Faible</v>
      </c>
    </row>
    <row r="179" spans="1:2">
      <c r="A179">
        <v>23</v>
      </c>
      <c r="B179" s="782" t="str">
        <f t="shared" ca="1" si="0"/>
        <v>début de matinée / D! = Neutre / Evènement = Pluie / durée = Fini depuis 1D10 jours / ampleur = Faible</v>
      </c>
    </row>
    <row r="180" spans="1:2">
      <c r="A180">
        <v>24</v>
      </c>
      <c r="B180" s="791" t="str">
        <f t="shared" ca="1" si="0"/>
        <v>fin d’après-midi / D! = Très heureux / Evènement = Incident / durée = Fini depuis 1D10 jours / ampleur = Faible</v>
      </c>
    </row>
    <row r="181" spans="1:2">
      <c r="A181">
        <v>25</v>
      </c>
      <c r="B181" s="782" t="str">
        <f t="shared" ca="1" si="0"/>
        <v>après minuit / D! = Neutre / Evènement = Chaleur / durée = Fini depuis 1D10 heures / ampleur = Faible</v>
      </c>
    </row>
    <row r="182" spans="1:2">
      <c r="A182">
        <v>26</v>
      </c>
      <c r="B182" s="791" t="str">
        <f t="shared" ca="1" si="0"/>
        <v>avant l’aube / D! = Neutre / Evènement = Blessure / durée = A commencé depuis 1D10 minutes / ampleur = Importante</v>
      </c>
    </row>
    <row r="183" spans="1:2">
      <c r="A183">
        <v>27</v>
      </c>
      <c r="B183" s="782" t="str">
        <f t="shared" ca="1" si="0"/>
        <v>fin d’après-midi / D! = Neutre / Evènement = Crête / durée = Fini depuis 1D10 heures / ampleur = Moyenne</v>
      </c>
    </row>
    <row r="184" spans="1:2">
      <c r="A184">
        <v>28</v>
      </c>
      <c r="B184" s="791" t="str">
        <f t="shared" ca="1" si="0"/>
        <v>après minuit / D! = Neutre / Evènement = Pluie / durée = A commencé depuis 1D10 minutes / ampleur = Moyenne</v>
      </c>
    </row>
    <row r="185" spans="1:2">
      <c r="A185">
        <v>29</v>
      </c>
      <c r="B185" s="782" t="str">
        <f t="shared" ca="1" si="0"/>
        <v>début de matinée / D! = Neutre / Evènement = Perte / durée = Fini depuis 1D10 jours / ampleur = Moyenne</v>
      </c>
    </row>
    <row r="186" spans="1:2">
      <c r="A186">
        <v>30</v>
      </c>
      <c r="B186" s="791" t="str">
        <f t="shared" ca="1" si="0"/>
        <v>début de soirée / D! = Dangereux / Evènement = Blessure / durée = A commencé depuis 1D10 minutes / ampleur = Moyenne</v>
      </c>
    </row>
    <row r="187" spans="1:2">
      <c r="A187">
        <v>31</v>
      </c>
      <c r="B187" s="782" t="str">
        <f t="shared" ca="1" si="0"/>
        <v>fin de matinée / D! = Heureux / Evènement = arc-en-ciel / durée = A commencé depuis 1D10 minutes / ampleur = Moyenne</v>
      </c>
    </row>
    <row r="188" spans="1:2">
      <c r="A188">
        <v>32</v>
      </c>
      <c r="B188" s="791" t="str">
        <f t="shared" ca="1" si="0"/>
        <v>fin d’après-midi / D! = Heureux / Evènement = Inondation / durée = Fini depuis 1D10 heures / ampleur = Importante</v>
      </c>
    </row>
    <row r="189" spans="1:2">
      <c r="A189">
        <v>33</v>
      </c>
      <c r="B189" s="782" t="str">
        <f t="shared" ref="B189:B206" ca="1" si="1">LOOKUP(RANDBETWEEN(1,10),dé10s,Moment)&amp;" / D! = "&amp;LOOKUP(RANDBETWEEN(1,10),dé10s,DangerLE)&amp;" / Evènement = "&amp;LOOKUP(RANDBETWEEN(1,100),dé100,Evènement)&amp;" / durée = "&amp;LOOKUP(RANDBETWEEN(1,10),dé10s,DuréeE)&amp;" / ampleur = "&amp;LOOKUP(RANDBETWEEN(1,10),dé10s,AmpleurE)</f>
        <v>après minuit / D! = Très heureux / Evènement = Trappe / durée = A commencé depuis 1D10 minutes / ampleur = Très importante</v>
      </c>
    </row>
    <row r="190" spans="1:2">
      <c r="A190">
        <v>34</v>
      </c>
      <c r="B190" s="791" t="str">
        <f t="shared" ca="1" si="1"/>
        <v>fin de matinée / D! = Très dangereux / Evènement = Incident / durée = Fini depuis 1D10 heures / ampleur = Faible</v>
      </c>
    </row>
    <row r="191" spans="1:2">
      <c r="A191">
        <v>35</v>
      </c>
      <c r="B191" s="782" t="str">
        <f t="shared" ca="1" si="1"/>
        <v>après minuit / D! = Neutre / Evènement = Découverte / durée = Actuel, durée de 1D10x5 minutes / ampleur = Moyenne</v>
      </c>
    </row>
    <row r="192" spans="1:2">
      <c r="A192">
        <v>36</v>
      </c>
      <c r="B192" s="791" t="str">
        <f t="shared" ca="1" si="1"/>
        <v>avant l’aube / D! = Neutre / Evènement = Destruction / durée = A commencé depuis 1D10 minutes / ampleur = Faible</v>
      </c>
    </row>
    <row r="193" spans="1:2">
      <c r="A193">
        <v>37</v>
      </c>
      <c r="B193" s="782" t="str">
        <f t="shared" ca="1" si="1"/>
        <v>avant minuit / D! = Neutre / Evènement = Chaleur / durée = Fini depuis 1D10 heures / ampleur = Moyenne</v>
      </c>
    </row>
    <row r="194" spans="1:2">
      <c r="A194">
        <v>38</v>
      </c>
      <c r="B194" s="791" t="str">
        <f t="shared" ca="1" si="1"/>
        <v>début de matinée / D! = Neutre / Evènement = Inondation / durée = A commencé depuis 1D10 minutes / ampleur = Moyenne</v>
      </c>
    </row>
    <row r="195" spans="1:2">
      <c r="A195">
        <v>39</v>
      </c>
      <c r="B195" s="782" t="str">
        <f t="shared" ca="1" si="1"/>
        <v>après minuit / D! = Très heureux / Evènement = Nuée insecte / durée = Fini depuis 1D10 heures / ampleur = Moyenne</v>
      </c>
    </row>
    <row r="196" spans="1:2">
      <c r="A196">
        <v>40</v>
      </c>
      <c r="B196" s="791" t="str">
        <f t="shared" ca="1" si="1"/>
        <v>avant l’aube / D! = Neutre / Evènement = Chaleur / durée = Actuel, durée de 1D10x5 minutes / ampleur = Moyenne</v>
      </c>
    </row>
    <row r="197" spans="1:2">
      <c r="A197">
        <v>41</v>
      </c>
      <c r="B197" s="782" t="str">
        <f t="shared" ca="1" si="1"/>
        <v>avant l’aube / D! = Heureux / Evènement = Trappe / durée = Fini depuis 1D10 heures / ampleur = Importante</v>
      </c>
    </row>
    <row r="198" spans="1:2">
      <c r="A198">
        <v>42</v>
      </c>
      <c r="B198" s="791" t="str">
        <f t="shared" ca="1" si="1"/>
        <v>avant minuit / D! = Dangereux / Evènement = Pourriture / durée = Actuel, durée de 1D10x5 minutes / ampleur = Faible</v>
      </c>
    </row>
    <row r="199" spans="1:2">
      <c r="A199">
        <v>43</v>
      </c>
      <c r="B199" s="782" t="str">
        <f t="shared" ca="1" si="1"/>
        <v>début de matinée / D! = Très dangereux / Evènement = Collet / durée = Actuel, durée de 1D10x5 minutes / ampleur = Importante</v>
      </c>
    </row>
    <row r="200" spans="1:2">
      <c r="A200">
        <v>44</v>
      </c>
      <c r="B200" s="791" t="str">
        <f t="shared" ca="1" si="1"/>
        <v>à l’aube / D! = Très dangereux / Evènement = Noirceur / durée = A commencé depuis 1D10 minutes / ampleur = Faible</v>
      </c>
    </row>
    <row r="201" spans="1:2">
      <c r="A201">
        <v>45</v>
      </c>
      <c r="B201" s="782" t="str">
        <f t="shared" ca="1" si="1"/>
        <v>après minuit / D! = Dangereux / Evènement = Venteux / durée = Fini depuis 1D10 heures / ampleur = Faible</v>
      </c>
    </row>
    <row r="202" spans="1:2">
      <c r="A202">
        <v>46</v>
      </c>
      <c r="B202" s="791" t="str">
        <f t="shared" ca="1" si="1"/>
        <v>après minuit / D! = Neutre / Evènement = Chaleur / durée = A commencé depuis 1D10 minutes / ampleur = Très importante</v>
      </c>
    </row>
    <row r="203" spans="1:2">
      <c r="A203">
        <v>47</v>
      </c>
      <c r="B203" s="782" t="str">
        <f t="shared" ca="1" si="1"/>
        <v>fin d’après-midi / D! = Neutre / Evènement = Luminosité / durée = Actuel, durée de 1D10x5 minutes / ampleur = Importante</v>
      </c>
    </row>
    <row r="204" spans="1:2">
      <c r="A204">
        <v>48</v>
      </c>
      <c r="B204" s="791" t="str">
        <f t="shared" ca="1" si="1"/>
        <v>fin de matinée / D! = Dangereux / Evènement = Eclipse / durée = A commencé depuis 1D10 minutes / ampleur = Faible</v>
      </c>
    </row>
    <row r="205" spans="1:2">
      <c r="A205">
        <v>49</v>
      </c>
      <c r="B205" s="782" t="str">
        <f t="shared" ca="1" si="1"/>
        <v>début de soirée / D! = Neutre / Evènement = Grêle / durée = Fini depuis 1D10 heures / ampleur = Moyenne</v>
      </c>
    </row>
    <row r="206" spans="1:2">
      <c r="A206">
        <v>50</v>
      </c>
      <c r="B206" s="791" t="str">
        <f t="shared" ca="1" si="1"/>
        <v>à l’aube / D! = Très heureux / Evènement = Venteux / durée = Actuel, durée de 1D10x5 minutes / ampleur = Faible</v>
      </c>
    </row>
    <row r="207" spans="1:2">
      <c r="B207" s="782"/>
    </row>
    <row r="208" spans="1:2">
      <c r="B208" s="782"/>
    </row>
    <row r="209" spans="1:2">
      <c r="B209" s="782"/>
    </row>
    <row r="210" spans="1:2">
      <c r="B210" s="786" t="s">
        <v>2085</v>
      </c>
    </row>
    <row r="211" spans="1:2">
      <c r="A211">
        <v>1</v>
      </c>
      <c r="B211" s="782" t="str">
        <f ca="1">LOOKUP(RANDBETWEEN(1,10),dé10s,Moment)&amp;" / D! = "&amp;LOOKUP(RANDBETWEEN(1,10),dé10s,DangerANC)&amp;" / Rich = "&amp;LOOKUP(RANDBETWEEN(1,10),dé10s,RichesseHC)</f>
        <v>après minuit / D! = Agressivité, attaque à vue (bonus 5 embuscade) / Rich = Pauvre</v>
      </c>
    </row>
    <row r="212" spans="1:2">
      <c r="B212" s="782" t="str">
        <f ca="1">" --&gt;Humains = "&amp;LOOKUP(RANDBETWEEN(1,100),dé100,Humains)&amp;" / activité = "&amp;LOOKUP(RANDBETWEEN(1,10),Rencontre!dé100,ActivitéH)&amp;" / Origine = "&amp;LOOKUP(RANDBETWEEN(1,10),dé10s,OrigineH)</f>
        <v xml:space="preserve"> --&gt;Humains = Ouvrier - d6 / activité = secret / Origine = Régionale, du fief, du domaine</v>
      </c>
    </row>
    <row r="213" spans="1:2">
      <c r="A213">
        <v>2</v>
      </c>
      <c r="B213" s="791" t="str">
        <f ca="1">LOOKUP(RANDBETWEEN(1,10),dé10s,Moment)&amp;" / D! = "&amp;LOOKUP(RANDBETWEEN(1,10),dé10s,DangerANC)&amp;" / Rich = "&amp;LOOKUP(RANDBETWEEN(1,10),dé10s,RichesseHC)</f>
        <v>début de matinée / D! = Agressivité, attaque à vue (bonus 5 embuscade) / Rich = Moyenne</v>
      </c>
    </row>
    <row r="214" spans="1:2">
      <c r="B214" s="791" t="str">
        <f ca="1">" --&gt;Humains = "&amp;LOOKUP(RANDBETWEEN(1,100),dé100,Humains)&amp;" / activité = "&amp;LOOKUP(RANDBETWEEN(1,10),Rencontre!dé100,ActivitéH)&amp;" / Origine = "&amp;LOOKUP(RANDBETWEEN(1,10),dé10s,OrigineH)</f>
        <v xml:space="preserve"> --&gt;Humains = Soigneur - D* / activité = mange / Origine = Régionale, du fief, du domaine</v>
      </c>
    </row>
    <row r="215" spans="1:2">
      <c r="A215">
        <v>3</v>
      </c>
      <c r="B215" s="782" t="str">
        <f ca="1">LOOKUP(RANDBETWEEN(1,10),dé10s,Moment)&amp;" / D! = "&amp;LOOKUP(RANDBETWEEN(1,10),dé10s,DangerANC)&amp;" / Rich = "&amp;LOOKUP(RANDBETWEEN(1,10),dé10s,RichesseHC)</f>
        <v>début de soirée / D! = Très favorable, amitié possible / Rich = Moyenne</v>
      </c>
    </row>
    <row r="216" spans="1:2">
      <c r="B216" s="782" t="str">
        <f ca="1">" --&gt;Humains = "&amp;LOOKUP(RANDBETWEEN(1,100),dé100,Humains)&amp;" / activité = "&amp;LOOKUP(RANDBETWEEN(1,10),Rencontre!dé100,ActivitéH)&amp;" / Origine = "&amp;LOOKUP(RANDBETWEEN(1,10),dé10s,OrigineH)</f>
        <v xml:space="preserve"> --&gt;Humains = Artisan - d6 / activité = construction / Origine = Locale, de 1D10km</v>
      </c>
    </row>
    <row r="217" spans="1:2">
      <c r="A217">
        <v>4</v>
      </c>
      <c r="B217" s="791" t="str">
        <f ca="1">LOOKUP(RANDBETWEEN(1,10),dé10s,Moment)&amp;" / D! = "&amp;LOOKUP(RANDBETWEEN(1,10),dé10s,DangerANC)&amp;" / Rich = "&amp;LOOKUP(RANDBETWEEN(1,10),dé10s,RichesseHC)</f>
        <v>fin d’après-midi / D! = Forte agressivité (bonus 10 embuscade) / Rich = Très riche</v>
      </c>
    </row>
    <row r="218" spans="1:2">
      <c r="B218" s="791" t="str">
        <f ca="1">" --&gt;Humains = "&amp;LOOKUP(RANDBETWEEN(1,100),dé100,Humains)&amp;" / activité = "&amp;LOOKUP(RANDBETWEEN(1,10),Rencontre!dé100,ActivitéH)&amp;" / Origine = "&amp;LOOKUP(RANDBETWEEN(1,10),dé10s,OrigineH)</f>
        <v xml:space="preserve"> --&gt;Humains = HA - d6 / activité = cueillette / Origine = Multiple, déterminez la direction et la distance</v>
      </c>
    </row>
    <row r="219" spans="1:2">
      <c r="A219">
        <v>5</v>
      </c>
      <c r="B219" s="782" t="str">
        <f ca="1">LOOKUP(RANDBETWEEN(1,10),dé10s,Moment)&amp;" / D! = "&amp;LOOKUP(RANDBETWEEN(1,10),dé10s,DangerANC)&amp;" / Rich = "&amp;LOOKUP(RANDBETWEEN(1,10),dé10s,RichesseHC)</f>
        <v>fin d’après-midi / D! = neutralité  / Rich = Moyenne</v>
      </c>
    </row>
    <row r="220" spans="1:2">
      <c r="B220" s="782" t="str">
        <f ca="1">" --&gt;Humains = "&amp;LOOKUP(RANDBETWEEN(1,100),dé100,Humains)&amp;" / activité = "&amp;LOOKUP(RANDBETWEEN(1,10),Rencontre!dé100,ActivitéH)&amp;" / Origine = "&amp;LOOKUP(RANDBETWEEN(1,10),dé10s,OrigineH)</f>
        <v xml:space="preserve"> --&gt;Humains = HA - d6 / activité = secret / Origine = Locale, de 1D10km</v>
      </c>
    </row>
    <row r="221" spans="1:2">
      <c r="A221">
        <v>6</v>
      </c>
      <c r="B221" s="791" t="str">
        <f ca="1">LOOKUP(RANDBETWEEN(1,10),dé10s,Moment)&amp;" / D! = "&amp;LOOKUP(RANDBETWEEN(1,10),dé10s,DangerANC)&amp;" / Rich = "&amp;LOOKUP(RANDBETWEEN(1,10),dé10s,RichesseHC)</f>
        <v>à l’aube / D! = neutralité  / Rich = Très riche</v>
      </c>
    </row>
    <row r="222" spans="1:2">
      <c r="B222" s="791" t="str">
        <f ca="1">" --&gt;Humains = "&amp;LOOKUP(RANDBETWEEN(1,100),dé100,Humains)&amp;" / activité = "&amp;LOOKUP(RANDBETWEEN(1,10),Rencontre!dé100,ActivitéH)&amp;" / Origine = "&amp;LOOKUP(RANDBETWEEN(1,10),dé10s,OrigineH)</f>
        <v xml:space="preserve"> --&gt;Humains = Voleur - d6 / activité = recherche / Origine = Régionale, du fief, du domaine</v>
      </c>
    </row>
    <row r="223" spans="1:2">
      <c r="A223">
        <v>7</v>
      </c>
      <c r="B223" s="782" t="str">
        <f ca="1">LOOKUP(RANDBETWEEN(1,10),dé10s,Moment)&amp;" / D! = "&amp;LOOKUP(RANDBETWEEN(1,10),dé10s,DangerANC)&amp;" / Rich = "&amp;LOOKUP(RANDBETWEEN(1,10),dé10s,RichesseHC)</f>
        <v>avant l’aube / D! = neutralité  / Rich = Moyenne</v>
      </c>
    </row>
    <row r="224" spans="1:2">
      <c r="B224" s="782" t="str">
        <f ca="1">" --&gt;Humains = "&amp;LOOKUP(RANDBETWEEN(1,100),dé100,Humains)&amp;" / activité = "&amp;LOOKUP(RANDBETWEEN(1,10),Rencontre!dé100,ActivitéH)&amp;" / Origine = "&amp;LOOKUP(RANDBETWEEN(1,10),dé10s,OrigineH)</f>
        <v xml:space="preserve"> --&gt;Humains = Voleur - d6 / activité = patrouille / Origine = Multiple, déterminez la direction et la distance</v>
      </c>
    </row>
    <row r="225" spans="1:2">
      <c r="A225">
        <v>8</v>
      </c>
      <c r="B225" s="791" t="str">
        <f ca="1">LOOKUP(RANDBETWEEN(1,10),dé10s,Moment)&amp;" / D! = "&amp;LOOKUP(RANDBETWEEN(1,10),dé10s,DangerANC)&amp;" / Rich = "&amp;LOOKUP(RANDBETWEEN(1,10),dé10s,RichesseHC)</f>
        <v>après minuit / D! = Agressivité, attaque à vue (bonus 5 embuscade) / Rich = Riche</v>
      </c>
    </row>
    <row r="226" spans="1:2">
      <c r="B226" s="791" t="str">
        <f ca="1">" --&gt;Humains = "&amp;LOOKUP(RANDBETWEEN(1,100),dé100,Humains)&amp;" / activité = "&amp;LOOKUP(RANDBETWEEN(1,10),Rencontre!dé100,ActivitéH)&amp;" / Origine = "&amp;LOOKUP(RANDBETWEEN(1,10),dé10s,OrigineH)</f>
        <v xml:space="preserve"> --&gt;Humains = Immigrant - D10x2 / activité = recherche / Origine = Multiple, déterminez la direction et la distance</v>
      </c>
    </row>
    <row r="227" spans="1:2">
      <c r="A227">
        <v>9</v>
      </c>
      <c r="B227" s="782" t="str">
        <f ca="1">LOOKUP(RANDBETWEEN(1,10),dé10s,Moment)&amp;" / D! = "&amp;LOOKUP(RANDBETWEEN(1,10),dé10s,DangerANC)&amp;" / Rich = "&amp;LOOKUP(RANDBETWEEN(1,10),dé10s,RichesseHC)</f>
        <v>après minuit / D! = Favorable, rencontre positive / Rich = Très pauvre</v>
      </c>
    </row>
    <row r="228" spans="1:2">
      <c r="B228" s="782" t="str">
        <f ca="1">" --&gt;Humains = "&amp;LOOKUP(RANDBETWEEN(1,100),dé100,Humains)&amp;" / activité = "&amp;LOOKUP(RANDBETWEEN(1,10),Rencontre!dé100,ActivitéH)&amp;" / Origine = "&amp;LOOKUP(RANDBETWEEN(1,10),dé10s,OrigineH)</f>
        <v xml:space="preserve"> --&gt;Humains = Colporteur - d6/2 / activité = repos / Origine = Multiple, déterminez la direction et la distance</v>
      </c>
    </row>
    <row r="229" spans="1:2">
      <c r="A229">
        <v>10</v>
      </c>
      <c r="B229" s="791" t="str">
        <f ca="1">LOOKUP(RANDBETWEEN(1,10),dé10s,Moment)&amp;" / D! = "&amp;LOOKUP(RANDBETWEEN(1,10),dé10s,DangerANC)&amp;" / Rich = "&amp;LOOKUP(RANDBETWEEN(1,10),dé10s,RichesseHC)</f>
        <v>fin de matinée / D! = neutralité  / Rich = Très riche</v>
      </c>
    </row>
    <row r="230" spans="1:2">
      <c r="B230" s="791" t="str">
        <f ca="1">" --&gt;Humains = "&amp;LOOKUP(RANDBETWEEN(1,100),dé100,Humains)&amp;" / activité = "&amp;LOOKUP(RANDBETWEEN(1,10),Rencontre!dé100,ActivitéH)&amp;" / Origine = "&amp;LOOKUP(RANDBETWEEN(1,10),dé10s,OrigineH)</f>
        <v xml:space="preserve"> --&gt;Humains = Soigneur - D* / activité = voyage / Origine = Régionale, du fief, du domaine</v>
      </c>
    </row>
    <row r="231" spans="1:2">
      <c r="A231">
        <v>11</v>
      </c>
      <c r="B231" s="782" t="str">
        <f ca="1">LOOKUP(RANDBETWEEN(1,10),dé10s,Moment)&amp;" / D! = "&amp;LOOKUP(RANDBETWEEN(1,10),dé10s,DangerANC)&amp;" / Rich = "&amp;LOOKUP(RANDBETWEEN(1,10),dé10s,RichesseHC)</f>
        <v>à l’aube / D! = neutralité  / Rich = Pauvre</v>
      </c>
    </row>
    <row r="232" spans="1:2">
      <c r="B232" s="782" t="str">
        <f ca="1">" --&gt;Humains = "&amp;LOOKUP(RANDBETWEEN(1,100),dé100,Humains)&amp;" / activité = "&amp;LOOKUP(RANDBETWEEN(1,10),Rencontre!dé100,ActivitéH)&amp;" / Origine = "&amp;LOOKUP(RANDBETWEEN(1,10),dé10s,OrigineH)</f>
        <v xml:space="preserve"> --&gt;Humains = Médecin - d6/2  / activité = en famille / Origine = Locale, de 1D10km</v>
      </c>
    </row>
    <row r="233" spans="1:2">
      <c r="A233">
        <v>12</v>
      </c>
      <c r="B233" s="791" t="str">
        <f ca="1">LOOKUP(RANDBETWEEN(1,10),dé10s,Moment)&amp;" / D! = "&amp;LOOKUP(RANDBETWEEN(1,10),dé10s,DangerANC)&amp;" / Rich = "&amp;LOOKUP(RANDBETWEEN(1,10),dé10s,RichesseHC)</f>
        <v>début d’après-midi / D! = Forte agressivité (bonus 10 embuscade) / Rich = Riche</v>
      </c>
    </row>
    <row r="234" spans="1:2">
      <c r="B234" s="791" t="str">
        <f ca="1">" --&gt;Humains = "&amp;LOOKUP(RANDBETWEEN(1,100),dé100,Humains)&amp;" / activité = "&amp;LOOKUP(RANDBETWEEN(1,10),Rencontre!dé100,ActivitéH)&amp;" / Origine = "&amp;LOOKUP(RANDBETWEEN(1,10),dé10s,OrigineH)</f>
        <v xml:space="preserve"> --&gt;Humains = Frère - D10 / activité = en famille / Origine = Multiple, déterminez la direction et la distance</v>
      </c>
    </row>
    <row r="235" spans="1:2">
      <c r="A235">
        <v>13</v>
      </c>
      <c r="B235" s="782" t="str">
        <f ca="1">LOOKUP(RANDBETWEEN(1,10),dé10s,Moment)&amp;" / D! = "&amp;LOOKUP(RANDBETWEEN(1,10),dé10s,DangerANC)&amp;" / Rich = "&amp;LOOKUP(RANDBETWEEN(1,10),dé10s,RichesseHC)</f>
        <v>début d’après-midi / D! = Favorable, rencontre positive / Rich = Riche</v>
      </c>
    </row>
    <row r="236" spans="1:2">
      <c r="B236" s="782" t="str">
        <f ca="1">" --&gt;Humains = "&amp;LOOKUP(RANDBETWEEN(1,100),dé100,Humains)&amp;" / activité = "&amp;LOOKUP(RANDBETWEEN(1,10),Rencontre!dé100,ActivitéH)&amp;" / Origine = "&amp;LOOKUP(RANDBETWEEN(1,10),dé10s,OrigineH)</f>
        <v xml:space="preserve"> --&gt;Humains = Acrobate - d6 / activité = mange / Origine = Multiple, déterminez la direction et la distance</v>
      </c>
    </row>
    <row r="237" spans="1:2">
      <c r="A237">
        <v>14</v>
      </c>
      <c r="B237" s="791" t="str">
        <f ca="1">LOOKUP(RANDBETWEEN(1,10),dé10s,Moment)&amp;" / D! = "&amp;LOOKUP(RANDBETWEEN(1,10),dé10s,DangerANC)&amp;" / Rich = "&amp;LOOKUP(RANDBETWEEN(1,10),dé10s,RichesseHC)</f>
        <v>avant l’aube / D! = neutralité  / Rich = Riche</v>
      </c>
    </row>
    <row r="238" spans="1:2">
      <c r="B238" s="791" t="str">
        <f ca="1">" --&gt;Humains = "&amp;LOOKUP(RANDBETWEEN(1,100),dé100,Humains)&amp;" / activité = "&amp;LOOKUP(RANDBETWEEN(1,10),Rencontre!dé100,ActivitéH)&amp;" / Origine = "&amp;LOOKUP(RANDBETWEEN(1,10),dé10s,OrigineH)</f>
        <v xml:space="preserve"> --&gt;Humains = Acrobate - d6 / activité = construction / Origine = Multiple, déterminez la direction et la distance</v>
      </c>
    </row>
    <row r="239" spans="1:2">
      <c r="A239">
        <v>15</v>
      </c>
      <c r="B239" s="782" t="str">
        <f ca="1">LOOKUP(RANDBETWEEN(1,10),dé10s,Moment)&amp;" / D! = "&amp;LOOKUP(RANDBETWEEN(1,10),dé10s,DangerANC)&amp;" / Rich = "&amp;LOOKUP(RANDBETWEEN(1,10),dé10s,RichesseHC)</f>
        <v>début d’après-midi / D! = Agressivité, attaque à vue (bonus 5 embuscade) / Rich = Très pauvre</v>
      </c>
    </row>
    <row r="240" spans="1:2">
      <c r="B240" s="782" t="str">
        <f ca="1">" --&gt;Humains = "&amp;LOOKUP(RANDBETWEEN(1,100),dé100,Humains)&amp;" / activité = "&amp;LOOKUP(RANDBETWEEN(1,10),Rencontre!dé100,ActivitéH)&amp;" / Origine = "&amp;LOOKUP(RANDBETWEEN(1,10),dé10s,OrigineH)</f>
        <v xml:space="preserve"> --&gt;Humains = Traqueur - D10 / activité = en famille / Origine = Multiple, déterminez la direction et la distance</v>
      </c>
    </row>
    <row r="241" spans="1:2">
      <c r="A241">
        <v>16</v>
      </c>
      <c r="B241" s="791" t="str">
        <f ca="1">LOOKUP(RANDBETWEEN(1,10),dé10s,Moment)&amp;" / D! = "&amp;LOOKUP(RANDBETWEEN(1,10),dé10s,DangerANC)&amp;" / Rich = "&amp;LOOKUP(RANDBETWEEN(1,10),dé10s,RichesseHC)</f>
        <v>début de matinée / D! = neutralité  / Rich = Pauvre</v>
      </c>
    </row>
    <row r="242" spans="1:2">
      <c r="B242" s="791" t="str">
        <f ca="1">" --&gt;Humains = "&amp;LOOKUP(RANDBETWEEN(1,100),dé100,Humains)&amp;" / activité = "&amp;LOOKUP(RANDBETWEEN(1,10),Rencontre!dé100,ActivitéH)&amp;" / Origine = "&amp;LOOKUP(RANDBETWEEN(1,10),dé10s,OrigineH)</f>
        <v xml:space="preserve"> --&gt;Humains = Traqueur - D10 / activité = recherche / Origine = Régionale, du fief, du domaine</v>
      </c>
    </row>
    <row r="243" spans="1:2">
      <c r="A243">
        <v>17</v>
      </c>
      <c r="B243" s="782" t="str">
        <f ca="1">LOOKUP(RANDBETWEEN(1,10),dé10s,Moment)&amp;" / D! = "&amp;LOOKUP(RANDBETWEEN(1,10),dé10s,DangerANC)&amp;" / Rich = "&amp;LOOKUP(RANDBETWEEN(1,10),dé10s,RichesseHC)</f>
        <v>fin d’après-midi / D! = neutralité  / Rich = Riche</v>
      </c>
    </row>
    <row r="244" spans="1:2">
      <c r="B244" s="782" t="str">
        <f ca="1">" --&gt;Humains = "&amp;LOOKUP(RANDBETWEEN(1,100),dé100,Humains)&amp;" / activité = "&amp;LOOKUP(RANDBETWEEN(1,10),Rencontre!dé100,ActivitéH)&amp;" / Origine = "&amp;LOOKUP(RANDBETWEEN(1,10),dé10s,OrigineH)</f>
        <v xml:space="preserve"> --&gt;Humains = Compagnon - d6 / activité = fête / Origine = Multiple, déterminez la direction et la distance</v>
      </c>
    </row>
    <row r="245" spans="1:2">
      <c r="A245">
        <v>18</v>
      </c>
      <c r="B245" s="791" t="str">
        <f ca="1">LOOKUP(RANDBETWEEN(1,10),dé10s,Moment)&amp;" / D! = "&amp;LOOKUP(RANDBETWEEN(1,10),dé10s,DangerANC)&amp;" / Rich = "&amp;LOOKUP(RANDBETWEEN(1,10),dé10s,RichesseHC)</f>
        <v>début de matinée / D! = neutralité  / Rich = Moyenne</v>
      </c>
    </row>
    <row r="246" spans="1:2">
      <c r="B246" s="791" t="str">
        <f ca="1">" --&gt;Humains = "&amp;LOOKUP(RANDBETWEEN(1,100),dé100,Humains)&amp;" / activité = "&amp;LOOKUP(RANDBETWEEN(1,10),Rencontre!dé100,ActivitéH)&amp;" / Origine = "&amp;LOOKUP(RANDBETWEEN(1,10),dé10s,OrigineH)</f>
        <v xml:space="preserve"> --&gt;Humains = Trésor - D* / activité = construction / Origine = Etrangère, autre royaume, pays lointain</v>
      </c>
    </row>
    <row r="247" spans="1:2">
      <c r="A247">
        <v>19</v>
      </c>
      <c r="B247" s="782" t="str">
        <f ca="1">LOOKUP(RANDBETWEEN(1,10),dé10s,Moment)&amp;" / D! = "&amp;LOOKUP(RANDBETWEEN(1,10),dé10s,DangerANC)&amp;" / Rich = "&amp;LOOKUP(RANDBETWEEN(1,10),dé10s,RichesseHC)</f>
        <v>début d’après-midi / D! = Agressivité, attaque à vue (bonus 5 embuscade) / Rich = Riche</v>
      </c>
    </row>
    <row r="248" spans="1:2">
      <c r="B248" s="782" t="str">
        <f ca="1">" --&gt;Humains = "&amp;LOOKUP(RANDBETWEEN(1,100),dé100,Humains)&amp;" / activité = "&amp;LOOKUP(RANDBETWEEN(1,10),Rencontre!dé100,ActivitéH)&amp;" / Origine = "&amp;LOOKUP(RANDBETWEEN(1,10),dé10s,OrigineH)</f>
        <v xml:space="preserve"> --&gt;Humains = ..de persécution - D10 / activité = mange / Origine = Etrangère, autre royaume, pays lointain</v>
      </c>
    </row>
    <row r="249" spans="1:2">
      <c r="A249">
        <v>20</v>
      </c>
      <c r="B249" s="791" t="str">
        <f ca="1">LOOKUP(RANDBETWEEN(1,10),dé10s,Moment)&amp;" / D! = "&amp;LOOKUP(RANDBETWEEN(1,10),dé10s,DangerANC)&amp;" / Rich = "&amp;LOOKUP(RANDBETWEEN(1,10),dé10s,RichesseHC)</f>
        <v>début de matinée / D! = Agressivité, attaque à vue (bonus 5 embuscade) / Rich = Riche</v>
      </c>
    </row>
    <row r="250" spans="1:2">
      <c r="B250" s="791" t="str">
        <f ca="1">" --&gt;Humains = "&amp;LOOKUP(RANDBETWEEN(1,100),dé100,Humains)&amp;" / activité = "&amp;LOOKUP(RANDBETWEEN(1,10),Rencontre!dé100,ActivitéH)&amp;" / Origine = "&amp;LOOKUP(RANDBETWEEN(1,10),dé10s,OrigineH)</f>
        <v xml:space="preserve"> --&gt;Humains = Chasseur - d6 / activité = cueillette / Origine = Etrangère, autre royaume, pays lointain</v>
      </c>
    </row>
    <row r="251" spans="1:2">
      <c r="A251">
        <v>21</v>
      </c>
      <c r="B251" s="782" t="str">
        <f ca="1">LOOKUP(RANDBETWEEN(1,10),dé10s,Moment)&amp;" / D! = "&amp;LOOKUP(RANDBETWEEN(1,10),dé10s,DangerANC)&amp;" / Rich = "&amp;LOOKUP(RANDBETWEEN(1,10),dé10s,RichesseHC)</f>
        <v>à l’aube / D! = Forte agressivité (bonus 10 embuscade) / Rich = Pauvre</v>
      </c>
    </row>
    <row r="252" spans="1:2">
      <c r="B252" s="782" t="str">
        <f ca="1">" --&gt;Humains = "&amp;LOOKUP(RANDBETWEEN(1,100),dé100,Humains)&amp;" / activité = "&amp;LOOKUP(RANDBETWEEN(1,10),Rencontre!dé100,ActivitéH)&amp;" / Origine = "&amp;LOOKUP(RANDBETWEEN(1,10),dé10s,OrigineH)</f>
        <v xml:space="preserve"> --&gt;Humains = Frère - D10 / activité = mange / Origine = Locale, de 1D10km</v>
      </c>
    </row>
    <row r="253" spans="1:2">
      <c r="A253">
        <v>22</v>
      </c>
      <c r="B253" s="791" t="str">
        <f ca="1">LOOKUP(RANDBETWEEN(1,10),dé10s,Moment)&amp;" / D! = "&amp;LOOKUP(RANDBETWEEN(1,10),dé10s,DangerANC)&amp;" / Rich = "&amp;LOOKUP(RANDBETWEEN(1,10),dé10s,RichesseHC)</f>
        <v>début de matinée / D! = Forte agressivité (bonus 10 embuscade) / Rich = Moyenne</v>
      </c>
    </row>
    <row r="254" spans="1:2">
      <c r="B254" s="791" t="str">
        <f ca="1">" --&gt;Humains = "&amp;LOOKUP(RANDBETWEEN(1,100),dé100,Humains)&amp;" / activité = "&amp;LOOKUP(RANDBETWEEN(1,10),Rencontre!dé100,ActivitéH)&amp;" / Origine = "&amp;LOOKUP(RANDBETWEEN(1,10),dé10s,OrigineH)</f>
        <v xml:space="preserve"> --&gt;Humains = Garde - d6 / activité = recherche / Origine = Régionale, du fief, du domaine</v>
      </c>
    </row>
    <row r="255" spans="1:2">
      <c r="A255">
        <v>23</v>
      </c>
      <c r="B255" s="782" t="str">
        <f ca="1">LOOKUP(RANDBETWEEN(1,10),dé10s,Moment)&amp;" / D! = "&amp;LOOKUP(RANDBETWEEN(1,10),dé10s,DangerANC)&amp;" / Rich = "&amp;LOOKUP(RANDBETWEEN(1,10),dé10s,RichesseHC)</f>
        <v>fin d’après-midi / D! = Forte agressivité (bonus 10 embuscade) / Rich = Moyenne</v>
      </c>
    </row>
    <row r="256" spans="1:2">
      <c r="B256" s="782" t="str">
        <f ca="1">" --&gt;Humains = "&amp;LOOKUP(RANDBETWEEN(1,100),dé100,Humains)&amp;" / activité = "&amp;LOOKUP(RANDBETWEEN(1,10),Rencontre!dé100,ActivitéH)&amp;" / Origine = "&amp;LOOKUP(RANDBETWEEN(1,10),dé10s,OrigineH)</f>
        <v xml:space="preserve"> --&gt;Humains = Militaire - D10x2 / activité = voyage / Origine = Régionale, du fief, du domaine</v>
      </c>
    </row>
    <row r="257" spans="1:2">
      <c r="A257">
        <v>24</v>
      </c>
      <c r="B257" s="791" t="str">
        <f ca="1">LOOKUP(RANDBETWEEN(1,10),dé10s,Moment)&amp;" / D! = "&amp;LOOKUP(RANDBETWEEN(1,10),dé10s,DangerANC)&amp;" / Rich = "&amp;LOOKUP(RANDBETWEEN(1,10),dé10s,RichesseHC)</f>
        <v>fin de matinée / D! = Favorable, rencontre positive / Rich = Moyenne</v>
      </c>
    </row>
    <row r="258" spans="1:2">
      <c r="B258" s="791" t="str">
        <f ca="1">" --&gt;Humains = "&amp;LOOKUP(RANDBETWEEN(1,100),dé100,Humains)&amp;" / activité = "&amp;LOOKUP(RANDBETWEEN(1,10),Rencontre!dé100,ActivitéH)&amp;" / Origine = "&amp;LOOKUP(RANDBETWEEN(1,10),dé10s,OrigineH)</f>
        <v xml:space="preserve"> --&gt;Humains = Convoyeur - d6 / activité = recherche / Origine = Locale, de 1D10km</v>
      </c>
    </row>
    <row r="259" spans="1:2">
      <c r="A259">
        <v>25</v>
      </c>
      <c r="B259" s="782" t="str">
        <f ca="1">LOOKUP(RANDBETWEEN(1,10),dé10s,Moment)&amp;" / D! = "&amp;LOOKUP(RANDBETWEEN(1,10),dé10s,DangerANC)&amp;" / Rich = "&amp;LOOKUP(RANDBETWEEN(1,10),dé10s,RichesseHC)</f>
        <v>avant l’aube / D! = Agressivité, attaque à vue (bonus 5 embuscade) / Rich = Riche</v>
      </c>
    </row>
    <row r="260" spans="1:2">
      <c r="B260" s="782" t="str">
        <f ca="1">" --&gt;Humains = "&amp;LOOKUP(RANDBETWEEN(1,100),dé100,Humains)&amp;" / activité = "&amp;LOOKUP(RANDBETWEEN(1,10),Rencontre!dé100,ActivitéH)&amp;" / Origine = "&amp;LOOKUP(RANDBETWEEN(1,10),dé10s,OrigineH)</f>
        <v xml:space="preserve"> --&gt;Humains = Artisan - d6 / activité = fête / Origine = Multiple, déterminez la direction et la distance</v>
      </c>
    </row>
    <row r="261" spans="1:2">
      <c r="B261" s="782"/>
    </row>
    <row r="262" spans="1:2">
      <c r="B262" s="782"/>
    </row>
    <row r="263" spans="1:2">
      <c r="B263" s="782"/>
    </row>
    <row r="264" spans="1:2">
      <c r="B264" s="789" t="s">
        <v>2222</v>
      </c>
    </row>
    <row r="265" spans="1:2">
      <c r="A265">
        <v>1</v>
      </c>
      <c r="B265" s="782" t="str">
        <f ca="1">LOOKUP(RANDBETWEEN(1,10),dé10s,Moment)&amp;" / D! = "&amp;LOOKUP(RANDBETWEEN(1,10),dé10s,DangerANC)&amp;" / Rich = "&amp;LOOKUP(RANDBETWEEN(1,10),dé10s,RichesseAC)</f>
        <v>avant minuit / D! = Agressivité, attaque à vue (bonus 5 embuscade) / Rich = Normal</v>
      </c>
    </row>
    <row r="266" spans="1:2">
      <c r="B266" s="782" t="str">
        <f ca="1">" --&gt; Animaux = "&amp;LOOKUP(RANDBETWEEN(1,100),dé10s,animalT)&amp;"-"&amp;LOOKUP(RANDBETWEEN(1,10),dé10s,AnimalM)&amp;" / nombre = "&amp;LOOKUP(RANDBETWEEN(1,10),dé10s,AnimalN)&amp;" / Activité = "&amp;LOOKUP(RANDBETWEEN(1,10),dé10s,AnimalA)</f>
        <v xml:space="preserve"> --&gt; Animaux = Mammifère -OMN / nombre = D10 / Activité = combat</v>
      </c>
    </row>
    <row r="267" spans="1:2">
      <c r="A267">
        <v>2</v>
      </c>
      <c r="B267" s="791" t="str">
        <f ca="1">LOOKUP(RANDBETWEEN(1,10),dé10s,Moment)&amp;" / D! = "&amp;LOOKUP(RANDBETWEEN(1,10),dé10s,DangerANC)&amp;" / Rich = "&amp;LOOKUP(RANDBETWEEN(1,10),dé10s,RichesseAC)</f>
        <v xml:space="preserve">avant minuit / D! = Agressivité, attaque à vue (bonus 5 embuscade) / Rich = Faible </v>
      </c>
    </row>
    <row r="268" spans="1:2">
      <c r="B268" s="791" t="str">
        <f ca="1">" --&gt; Animaux = "&amp;LOOKUP(RANDBETWEEN(1,100),dé10s,animalT)&amp;"-"&amp;LOOKUP(RANDBETWEEN(1,10),dé10s,AnimalM)&amp;" / nombre = "&amp;LOOKUP(RANDBETWEEN(1,10),dé10s,AnimalN)&amp;" / Activité = "&amp;LOOKUP(RANDBETWEEN(1,10),dé10s,AnimalA)</f>
        <v xml:space="preserve"> --&gt; Animaux = Mammifère -FRU / nombre = D10 / Activité = caché</v>
      </c>
    </row>
    <row r="269" spans="1:2">
      <c r="A269">
        <v>3</v>
      </c>
      <c r="B269" s="782" t="str">
        <f ca="1">LOOKUP(RANDBETWEEN(1,10),dé10s,Moment)&amp;" / D! = "&amp;LOOKUP(RANDBETWEEN(1,10),dé10s,DangerANC)&amp;" / Rich = "&amp;LOOKUP(RANDBETWEEN(1,10),dé10s,RichesseAC)</f>
        <v>à l’aube / D! = Favorable, rencontre positive / Rich = Normal</v>
      </c>
    </row>
    <row r="270" spans="1:2">
      <c r="B270" s="782" t="str">
        <f ca="1">" --&gt; Animaux = "&amp;LOOKUP(RANDBETWEEN(1,100),dé10s,animalT)&amp;"-"&amp;LOOKUP(RANDBETWEEN(1,10),dé10s,AnimalM)&amp;" / nombre = "&amp;LOOKUP(RANDBETWEEN(1,10),dé10s,AnimalN)&amp;" / Activité = "&amp;LOOKUP(RANDBETWEEN(1,10),dé10s,AnimalA)</f>
        <v xml:space="preserve"> --&gt; Animaux = Mammifère -HER / nombre = D10xD10 / Activité = mange</v>
      </c>
    </row>
    <row r="271" spans="1:2">
      <c r="A271">
        <v>4</v>
      </c>
      <c r="B271" s="791" t="str">
        <f ca="1">LOOKUP(RANDBETWEEN(1,10),dé10s,Moment)&amp;" / D! = "&amp;LOOKUP(RANDBETWEEN(1,10),dé10s,DangerANC)&amp;" / Rich = "&amp;LOOKUP(RANDBETWEEN(1,10),dé10s,RichesseAC)</f>
        <v xml:space="preserve">après minuit / D! = Favorable, rencontre positive / Rich = Pleine forme </v>
      </c>
    </row>
    <row r="272" spans="1:2">
      <c r="B272" s="791" t="str">
        <f ca="1">" --&gt; Animaux = "&amp;LOOKUP(RANDBETWEEN(1,100),dé10s,animalT)&amp;"-"&amp;LOOKUP(RANDBETWEEN(1,10),dé10s,AnimalM)&amp;" / nombre = "&amp;LOOKUP(RANDBETWEEN(1,10),dé10s,AnimalN)&amp;" / Activité = "&amp;LOOKUP(RANDBETWEEN(1,10),dé10s,AnimalA)</f>
        <v xml:space="preserve"> --&gt; Animaux = Mammifère -OMN / nombre = D10xD10 / Activité = chasse</v>
      </c>
    </row>
    <row r="273" spans="1:2">
      <c r="A273">
        <v>5</v>
      </c>
      <c r="B273" s="782" t="str">
        <f ca="1">LOOKUP(RANDBETWEEN(1,10),dé10s,Moment)&amp;" / D! = "&amp;LOOKUP(RANDBETWEEN(1,10),dé10s,DangerANC)&amp;" / Rich = "&amp;LOOKUP(RANDBETWEEN(1,10),dé10s,RichesseAC)</f>
        <v>coucher de soleil / D! = Agressivité, attaque à vue (bonus 5 embuscade) / Rich = Normal</v>
      </c>
    </row>
    <row r="274" spans="1:2">
      <c r="B274" s="782" t="str">
        <f ca="1">" --&gt; Animaux = "&amp;LOOKUP(RANDBETWEEN(1,100),dé10s,animalT)&amp;"-"&amp;LOOKUP(RANDBETWEEN(1,10),dé10s,AnimalM)&amp;" / nombre = "&amp;LOOKUP(RANDBETWEEN(1,10),dé10s,AnimalN)&amp;" / Activité = "&amp;LOOKUP(RANDBETWEEN(1,10),dé10s,AnimalA)</f>
        <v xml:space="preserve"> --&gt; Animaux = Mammifère -OMN / nombre = D10/4 / Activité = voyage</v>
      </c>
    </row>
    <row r="275" spans="1:2">
      <c r="A275">
        <v>6</v>
      </c>
      <c r="B275" s="791" t="str">
        <f ca="1">LOOKUP(RANDBETWEEN(1,10),dé10s,Moment)&amp;" / D! = "&amp;LOOKUP(RANDBETWEEN(1,10),dé10s,DangerANC)&amp;" / Rich = "&amp;LOOKUP(RANDBETWEEN(1,10),dé10s,RichesseAC)</f>
        <v xml:space="preserve">après minuit / D! = Favorable, rencontre positive / Rich = Faible </v>
      </c>
    </row>
    <row r="276" spans="1:2">
      <c r="B276" s="791" t="str">
        <f ca="1">" --&gt; Animaux = "&amp;LOOKUP(RANDBETWEEN(1,100),dé10s,animalT)&amp;"-"&amp;LOOKUP(RANDBETWEEN(1,10),dé10s,AnimalM)&amp;" / nombre = "&amp;LOOKUP(RANDBETWEEN(1,10),dé10s,AnimalN)&amp;" / Activité = "&amp;LOOKUP(RANDBETWEEN(1,10),dé10s,AnimalA)</f>
        <v xml:space="preserve"> --&gt; Animaux = Mammifère -CAR / nombre = D100xD10 / Activité = mange</v>
      </c>
    </row>
    <row r="277" spans="1:2">
      <c r="A277">
        <v>7</v>
      </c>
      <c r="B277" s="782" t="str">
        <f ca="1">LOOKUP(RANDBETWEEN(1,10),dé10s,Moment)&amp;" / D! = "&amp;LOOKUP(RANDBETWEEN(1,10),dé10s,DangerANC)&amp;" / Rich = "&amp;LOOKUP(RANDBETWEEN(1,10),dé10s,RichesseAC)</f>
        <v xml:space="preserve">coucher de soleil / D! = Très favorable, amitié possible / Rich = Bonne santé </v>
      </c>
    </row>
    <row r="278" spans="1:2">
      <c r="B278" s="782" t="str">
        <f ca="1">" --&gt; Animaux = "&amp;LOOKUP(RANDBETWEEN(1,100),dé10s,animalT)&amp;"-"&amp;LOOKUP(RANDBETWEEN(1,10),dé10s,AnimalM)&amp;" / nombre = "&amp;LOOKUP(RANDBETWEEN(1,10),dé10s,AnimalN)&amp;" / Activité = "&amp;LOOKUP(RANDBETWEEN(1,10),dé10s,AnimalA)</f>
        <v xml:space="preserve"> --&gt; Animaux = Mammifère -HER / nombre = D10/4 / Activité = chasse</v>
      </c>
    </row>
    <row r="279" spans="1:2">
      <c r="A279">
        <v>8</v>
      </c>
      <c r="B279" s="791" t="str">
        <f ca="1">LOOKUP(RANDBETWEEN(1,10),dé10s,Moment)&amp;" / D! = "&amp;LOOKUP(RANDBETWEEN(1,10),dé10s,DangerANC)&amp;" / Rich = "&amp;LOOKUP(RANDBETWEEN(1,10),dé10s,RichesseAC)</f>
        <v xml:space="preserve">début de matinée / D! = Très favorable, amitié possible / Rich = Malade/blessé </v>
      </c>
    </row>
    <row r="280" spans="1:2">
      <c r="B280" s="791" t="str">
        <f ca="1">" --&gt; Animaux = "&amp;LOOKUP(RANDBETWEEN(1,100),dé10s,animalT)&amp;"-"&amp;LOOKUP(RANDBETWEEN(1,10),dé10s,AnimalM)&amp;" / nombre = "&amp;LOOKUP(RANDBETWEEN(1,10),dé10s,AnimalN)&amp;" / Activité = "&amp;LOOKUP(RANDBETWEEN(1,10),dé10s,AnimalA)</f>
        <v xml:space="preserve"> --&gt; Animaux = Mammifère -INS / nombre = D10/2 / Activité = voyage</v>
      </c>
    </row>
    <row r="281" spans="1:2">
      <c r="A281">
        <v>9</v>
      </c>
      <c r="B281" s="782" t="str">
        <f ca="1">LOOKUP(RANDBETWEEN(1,10),dé10s,Moment)&amp;" / D! = "&amp;LOOKUP(RANDBETWEEN(1,10),dé10s,DangerANC)&amp;" / Rich = "&amp;LOOKUP(RANDBETWEEN(1,10),dé10s,RichesseAC)</f>
        <v xml:space="preserve">à l’aube / D! = Favorable, rencontre positive / Rich = Pleine forme </v>
      </c>
    </row>
    <row r="282" spans="1:2">
      <c r="B282" s="782" t="str">
        <f ca="1">" --&gt; Animaux = "&amp;LOOKUP(RANDBETWEEN(1,100),dé10s,animalT)&amp;"-"&amp;LOOKUP(RANDBETWEEN(1,10),dé10s,AnimalM)&amp;" / nombre = "&amp;LOOKUP(RANDBETWEEN(1,10),dé10s,AnimalN)&amp;" / Activité = "&amp;LOOKUP(RANDBETWEEN(1,10),dé10s,AnimalA)</f>
        <v xml:space="preserve"> --&gt; Animaux = Mammifère -OMN / nombre = D10 / Activité = social</v>
      </c>
    </row>
    <row r="283" spans="1:2">
      <c r="A283">
        <v>10</v>
      </c>
      <c r="B283" s="791" t="str">
        <f ca="1">LOOKUP(RANDBETWEEN(1,10),dé10s,Moment)&amp;" / D! = "&amp;LOOKUP(RANDBETWEEN(1,10),dé10s,DangerANC)&amp;" / Rich = "&amp;LOOKUP(RANDBETWEEN(1,10),dé10s,RichesseAC)</f>
        <v xml:space="preserve">fin de matinée / D! = Forte agressivité (bonus 10 embuscade) / Rich = Bonne santé </v>
      </c>
    </row>
    <row r="284" spans="1:2">
      <c r="B284" s="791" t="str">
        <f ca="1">" --&gt; Animaux = "&amp;LOOKUP(RANDBETWEEN(1,100),dé10s,animalT)&amp;"-"&amp;LOOKUP(RANDBETWEEN(1,10),dé10s,AnimalM)&amp;" / nombre = "&amp;LOOKUP(RANDBETWEEN(1,10),dé10s,AnimalN)&amp;" / Activité = "&amp;LOOKUP(RANDBETWEEN(1,10),dé10s,AnimalA)</f>
        <v xml:space="preserve"> --&gt; Animaux = Mammifère -HER / nombre = D10/2 / Activité = caché</v>
      </c>
    </row>
    <row r="285" spans="1:2">
      <c r="A285">
        <v>11</v>
      </c>
      <c r="B285" s="782" t="str">
        <f ca="1">LOOKUP(RANDBETWEEN(1,10),dé10s,Moment)&amp;" / D! = "&amp;LOOKUP(RANDBETWEEN(1,10),dé10s,DangerANC)&amp;" / Rich = "&amp;LOOKUP(RANDBETWEEN(1,10),dé10s,RichesseAC)</f>
        <v xml:space="preserve">début de matinée / D! = Agressivité, attaque à vue (bonus 5 embuscade) / Rich = Bonne santé </v>
      </c>
    </row>
    <row r="286" spans="1:2">
      <c r="B286" s="782" t="str">
        <f ca="1">" --&gt; Animaux = "&amp;LOOKUP(RANDBETWEEN(1,100),dé10s,animalT)&amp;"-"&amp;LOOKUP(RANDBETWEEN(1,10),dé10s,AnimalM)&amp;" / nombre = "&amp;LOOKUP(RANDBETWEEN(1,10),dé10s,AnimalN)&amp;" / Activité = "&amp;LOOKUP(RANDBETWEEN(1,10),dé10s,AnimalA)</f>
        <v xml:space="preserve"> --&gt; Animaux = Mammifère -CAR / nombre = D10/2 / Activité = caché</v>
      </c>
    </row>
    <row r="287" spans="1:2">
      <c r="A287">
        <v>12</v>
      </c>
      <c r="B287" s="791" t="str">
        <f ca="1">LOOKUP(RANDBETWEEN(1,10),dé10s,Moment)&amp;" / D! = "&amp;LOOKUP(RANDBETWEEN(1,10),dé10s,DangerANC)&amp;" / Rich = "&amp;LOOKUP(RANDBETWEEN(1,10),dé10s,RichesseAC)</f>
        <v>avant minuit / D! = Agressivité, attaque à vue (bonus 5 embuscade) / Rich = Normal</v>
      </c>
    </row>
    <row r="288" spans="1:2">
      <c r="B288" s="791" t="str">
        <f ca="1">" --&gt; Animaux = "&amp;LOOKUP(RANDBETWEEN(1,100),dé10s,animalT)&amp;"-"&amp;LOOKUP(RANDBETWEEN(1,10),dé10s,AnimalM)&amp;" / nombre = "&amp;LOOKUP(RANDBETWEEN(1,10),dé10s,AnimalN)&amp;" / Activité = "&amp;LOOKUP(RANDBETWEEN(1,10),dé10s,AnimalA)</f>
        <v xml:space="preserve"> --&gt; Animaux = Mammifère -OMN / nombre = D10 / Activité = voyage</v>
      </c>
    </row>
    <row r="289" spans="1:2">
      <c r="A289">
        <v>13</v>
      </c>
      <c r="B289" s="782" t="str">
        <f ca="1">LOOKUP(RANDBETWEEN(1,10),dé10s,Moment)&amp;" / D! = "&amp;LOOKUP(RANDBETWEEN(1,10),dé10s,DangerANC)&amp;" / Rich = "&amp;LOOKUP(RANDBETWEEN(1,10),dé10s,RichesseAC)</f>
        <v xml:space="preserve">avant minuit / D! = Favorable, rencontre positive / Rich = Bonne santé </v>
      </c>
    </row>
    <row r="290" spans="1:2">
      <c r="B290" s="782" t="str">
        <f ca="1">" --&gt; Animaux = "&amp;LOOKUP(RANDBETWEEN(1,100),dé10s,animalT)&amp;"-"&amp;LOOKUP(RANDBETWEEN(1,10),dé10s,AnimalM)&amp;" / nombre = "&amp;LOOKUP(RANDBETWEEN(1,10),dé10s,AnimalN)&amp;" / Activité = "&amp;LOOKUP(RANDBETWEEN(1,10),dé10s,AnimalA)</f>
        <v xml:space="preserve"> --&gt; Animaux = Mammifère -HER / nombre = D10 / Activité = migre</v>
      </c>
    </row>
    <row r="291" spans="1:2">
      <c r="A291">
        <v>14</v>
      </c>
      <c r="B291" s="791" t="str">
        <f ca="1">LOOKUP(RANDBETWEEN(1,10),dé10s,Moment)&amp;" / D! = "&amp;LOOKUP(RANDBETWEEN(1,10),dé10s,DangerANC)&amp;" / Rich = "&amp;LOOKUP(RANDBETWEEN(1,10),dé10s,RichesseAC)</f>
        <v xml:space="preserve">avant minuit / D! = Forte agressivité (bonus 10 embuscade) / Rich = Bonne santé </v>
      </c>
    </row>
    <row r="292" spans="1:2">
      <c r="B292" s="791" t="str">
        <f ca="1">" --&gt; Animaux = "&amp;LOOKUP(RANDBETWEEN(1,100),dé10s,animalT)&amp;"-"&amp;LOOKUP(RANDBETWEEN(1,10),dé10s,AnimalM)&amp;" / nombre = "&amp;LOOKUP(RANDBETWEEN(1,10),dé10s,AnimalN)&amp;" / Activité = "&amp;LOOKUP(RANDBETWEEN(1,10),dé10s,AnimalA)</f>
        <v xml:space="preserve"> --&gt; Animaux = Mammifère -FRU / nombre = D10/2 / Activité = migre</v>
      </c>
    </row>
    <row r="293" spans="1:2">
      <c r="A293">
        <v>15</v>
      </c>
      <c r="B293" s="782" t="str">
        <f ca="1">LOOKUP(RANDBETWEEN(1,10),dé10s,Moment)&amp;" / D! = "&amp;LOOKUP(RANDBETWEEN(1,10),dé10s,DangerANC)&amp;" / Rich = "&amp;LOOKUP(RANDBETWEEN(1,10),dé10s,RichesseAC)</f>
        <v xml:space="preserve">à l’aube / D! = neutralité  / Rich = Pleine forme </v>
      </c>
    </row>
    <row r="294" spans="1:2">
      <c r="B294" s="782" t="str">
        <f ca="1">" --&gt; Animaux = "&amp;LOOKUP(RANDBETWEEN(1,100),dé10s,animalT)&amp;"-"&amp;LOOKUP(RANDBETWEEN(1,10),dé10s,AnimalM)&amp;" / nombre = "&amp;LOOKUP(RANDBETWEEN(1,10),dé10s,AnimalN)&amp;" / Activité = "&amp;LOOKUP(RANDBETWEEN(1,10),dé10s,AnimalA)</f>
        <v xml:space="preserve"> --&gt; Animaux = Mammifère -CAR / nombre = D10/2 / Activité = repos</v>
      </c>
    </row>
    <row r="295" spans="1:2">
      <c r="A295">
        <v>16</v>
      </c>
      <c r="B295" s="791" t="str">
        <f ca="1">LOOKUP(RANDBETWEEN(1,10),dé10s,Moment)&amp;" / D! = "&amp;LOOKUP(RANDBETWEEN(1,10),dé10s,DangerANC)&amp;" / Rich = "&amp;LOOKUP(RANDBETWEEN(1,10),dé10s,RichesseAC)</f>
        <v>à l’aube / D! = neutralité  / Rich = Normal</v>
      </c>
    </row>
    <row r="296" spans="1:2">
      <c r="B296" s="791" t="str">
        <f ca="1">" --&gt; Animaux = "&amp;LOOKUP(RANDBETWEEN(1,100),dé10s,animalT)&amp;"-"&amp;LOOKUP(RANDBETWEEN(1,10),dé10s,AnimalM)&amp;" / nombre = "&amp;LOOKUP(RANDBETWEEN(1,10),dé10s,AnimalN)&amp;" / Activité = "&amp;LOOKUP(RANDBETWEEN(1,10),dé10s,AnimalA)</f>
        <v xml:space="preserve"> --&gt; Animaux = Mammifère -OMN / nombre = D10 / Activité = caché</v>
      </c>
    </row>
    <row r="297" spans="1:2">
      <c r="A297">
        <v>17</v>
      </c>
      <c r="B297" s="782" t="str">
        <f ca="1">LOOKUP(RANDBETWEEN(1,10),dé10s,Moment)&amp;" / D! = "&amp;LOOKUP(RANDBETWEEN(1,10),dé10s,DangerANC)&amp;" / Rich = "&amp;LOOKUP(RANDBETWEEN(1,10),dé10s,RichesseAC)</f>
        <v xml:space="preserve">après minuit / D! = neutralité  / Rich = Malade/blessé </v>
      </c>
    </row>
    <row r="298" spans="1:2">
      <c r="B298" s="782" t="str">
        <f ca="1">" --&gt; Animaux = "&amp;LOOKUP(RANDBETWEEN(1,100),dé10s,animalT)&amp;"-"&amp;LOOKUP(RANDBETWEEN(1,10),dé10s,AnimalM)&amp;" / nombre = "&amp;LOOKUP(RANDBETWEEN(1,10),dé10s,AnimalN)&amp;" / Activité = "&amp;LOOKUP(RANDBETWEEN(1,10),dé10s,AnimalA)</f>
        <v xml:space="preserve"> --&gt; Animaux = Mammifère -FRU / nombre = D10/3 / Activité = fuite</v>
      </c>
    </row>
    <row r="299" spans="1:2">
      <c r="A299">
        <v>18</v>
      </c>
      <c r="B299" s="791" t="str">
        <f ca="1">LOOKUP(RANDBETWEEN(1,10),dé10s,Moment)&amp;" / D! = "&amp;LOOKUP(RANDBETWEEN(1,10),dé10s,DangerANC)&amp;" / Rich = "&amp;LOOKUP(RANDBETWEEN(1,10),dé10s,RichesseAC)</f>
        <v xml:space="preserve">fin d’après-midi / D! = Forte agressivité (bonus 10 embuscade) / Rich = Bonne santé </v>
      </c>
    </row>
    <row r="300" spans="1:2">
      <c r="B300" s="791" t="str">
        <f ca="1">" --&gt; Animaux = "&amp;LOOKUP(RANDBETWEEN(1,100),dé10s,animalT)&amp;"-"&amp;LOOKUP(RANDBETWEEN(1,10),dé10s,AnimalM)&amp;" / nombre = "&amp;LOOKUP(RANDBETWEEN(1,10),dé10s,AnimalN)&amp;" / Activité = "&amp;LOOKUP(RANDBETWEEN(1,10),dé10s,AnimalA)</f>
        <v xml:space="preserve"> --&gt; Animaux = Mammifère -FRU / nombre = D10x2 / Activité = repos</v>
      </c>
    </row>
    <row r="301" spans="1:2">
      <c r="A301">
        <v>19</v>
      </c>
      <c r="B301" s="782" t="str">
        <f ca="1">LOOKUP(RANDBETWEEN(1,10),dé10s,Moment)&amp;" / D! = "&amp;LOOKUP(RANDBETWEEN(1,10),dé10s,DangerANC)&amp;" / Rich = "&amp;LOOKUP(RANDBETWEEN(1,10),dé10s,RichesseAC)</f>
        <v>à l’aube / D! = neutralité  / Rich = Normal</v>
      </c>
    </row>
    <row r="302" spans="1:2">
      <c r="B302" s="782" t="str">
        <f ca="1">" --&gt; Animaux = "&amp;LOOKUP(RANDBETWEEN(1,100),dé10s,animalT)&amp;"-"&amp;LOOKUP(RANDBETWEEN(1,10),dé10s,AnimalM)&amp;" / nombre = "&amp;LOOKUP(RANDBETWEEN(1,10),dé10s,AnimalN)&amp;" / Activité = "&amp;LOOKUP(RANDBETWEEN(1,10),dé10s,AnimalA)</f>
        <v xml:space="preserve"> --&gt; Animaux = Mammifère -HER / nombre = D10 / Activité = voyage</v>
      </c>
    </row>
    <row r="303" spans="1:2">
      <c r="A303">
        <v>20</v>
      </c>
      <c r="B303" s="791" t="str">
        <f ca="1">LOOKUP(RANDBETWEEN(1,10),dé10s,Moment)&amp;" / D! = "&amp;LOOKUP(RANDBETWEEN(1,10),dé10s,DangerANC)&amp;" / Rich = "&amp;LOOKUP(RANDBETWEEN(1,10),dé10s,RichesseAC)</f>
        <v xml:space="preserve">avant minuit / D! = neutralité  / Rich = Faible </v>
      </c>
    </row>
    <row r="304" spans="1:2">
      <c r="B304" s="791" t="str">
        <f ca="1">" --&gt; Animaux = "&amp;LOOKUP(RANDBETWEEN(1,100),dé10s,animalT)&amp;"-"&amp;LOOKUP(RANDBETWEEN(1,10),dé10s,AnimalM)&amp;" / nombre = "&amp;LOOKUP(RANDBETWEEN(1,10),dé10s,AnimalN)&amp;" / Activité = "&amp;LOOKUP(RANDBETWEEN(1,10),dé10s,AnimalA)</f>
        <v xml:space="preserve"> --&gt; Animaux = Mammifère -HER / nombre = D10xD10 / Activité = social</v>
      </c>
    </row>
    <row r="305" spans="1:2">
      <c r="A305">
        <v>21</v>
      </c>
      <c r="B305" s="782" t="str">
        <f ca="1">LOOKUP(RANDBETWEEN(1,10),dé10s,Moment)&amp;" / D! = "&amp;LOOKUP(RANDBETWEEN(1,10),dé10s,DangerANC)&amp;" / Rich = "&amp;LOOKUP(RANDBETWEEN(1,10),dé10s,RichesseAC)</f>
        <v>début d’après-midi / D! = neutralité  / Rich = Normal</v>
      </c>
    </row>
    <row r="306" spans="1:2">
      <c r="B306" s="782" t="str">
        <f ca="1">" --&gt; Animaux = "&amp;LOOKUP(RANDBETWEEN(1,100),dé10s,animalT)&amp;"-"&amp;LOOKUP(RANDBETWEEN(1,10),dé10s,AnimalM)&amp;" / nombre = "&amp;LOOKUP(RANDBETWEEN(1,10),dé10s,AnimalN)&amp;" / Activité = "&amp;LOOKUP(RANDBETWEEN(1,10),dé10s,AnimalA)</f>
        <v xml:space="preserve"> --&gt; Animaux = Mammifère -HER / nombre = D10/4 / Activité = voyage</v>
      </c>
    </row>
    <row r="307" spans="1:2">
      <c r="A307">
        <v>22</v>
      </c>
      <c r="B307" s="791" t="str">
        <f ca="1">LOOKUP(RANDBETWEEN(1,10),dé10s,Moment)&amp;" / D! = "&amp;LOOKUP(RANDBETWEEN(1,10),dé10s,DangerANC)&amp;" / Rich = "&amp;LOOKUP(RANDBETWEEN(1,10),dé10s,RichesseAC)</f>
        <v xml:space="preserve">fin de matinée / D! = Très favorable, amitié possible / Rich = Bonne santé </v>
      </c>
    </row>
    <row r="308" spans="1:2">
      <c r="B308" s="791" t="str">
        <f ca="1">" --&gt; Animaux = "&amp;LOOKUP(RANDBETWEEN(1,100),dé10s,animalT)&amp;"-"&amp;LOOKUP(RANDBETWEEN(1,10),dé10s,AnimalM)&amp;" / nombre = "&amp;LOOKUP(RANDBETWEEN(1,10),dé10s,AnimalN)&amp;" / Activité = "&amp;LOOKUP(RANDBETWEEN(1,10),dé10s,AnimalA)</f>
        <v xml:space="preserve"> --&gt; Animaux = Mammifère -CAR / nombre = D100xD10 / Activité = migre</v>
      </c>
    </row>
    <row r="309" spans="1:2">
      <c r="A309">
        <v>23</v>
      </c>
      <c r="B309" s="782" t="str">
        <f ca="1">LOOKUP(RANDBETWEEN(1,10),dé10s,Moment)&amp;" / D! = "&amp;LOOKUP(RANDBETWEEN(1,10),dé10s,DangerANC)&amp;" / Rich = "&amp;LOOKUP(RANDBETWEEN(1,10),dé10s,RichesseAC)</f>
        <v>à l’aube / D! = Très favorable, amitié possible / Rich = Normal</v>
      </c>
    </row>
    <row r="310" spans="1:2">
      <c r="B310" s="782" t="str">
        <f ca="1">" --&gt; Animaux = "&amp;LOOKUP(RANDBETWEEN(1,100),dé10s,animalT)&amp;"-"&amp;LOOKUP(RANDBETWEEN(1,10),dé10s,AnimalM)&amp;" / nombre = "&amp;LOOKUP(RANDBETWEEN(1,10),dé10s,AnimalN)&amp;" / Activité = "&amp;LOOKUP(RANDBETWEEN(1,10),dé10s,AnimalA)</f>
        <v xml:space="preserve"> --&gt; Animaux = Mammifère -CAR / nombre = D10/3 / Activité = chasse</v>
      </c>
    </row>
    <row r="311" spans="1:2">
      <c r="A311">
        <v>24</v>
      </c>
      <c r="B311" s="791" t="str">
        <f ca="1">LOOKUP(RANDBETWEEN(1,10),dé10s,Moment)&amp;" / D! = "&amp;LOOKUP(RANDBETWEEN(1,10),dé10s,DangerANC)&amp;" / Rich = "&amp;LOOKUP(RANDBETWEEN(1,10),dé10s,RichesseAC)</f>
        <v>début de matinée / D! = Favorable, rencontre positive / Rich = Normal</v>
      </c>
    </row>
    <row r="312" spans="1:2">
      <c r="B312" s="791" t="str">
        <f ca="1">" --&gt; Animaux = "&amp;LOOKUP(RANDBETWEEN(1,100),dé10s,animalT)&amp;"-"&amp;LOOKUP(RANDBETWEEN(1,10),dé10s,AnimalM)&amp;" / nombre = "&amp;LOOKUP(RANDBETWEEN(1,10),dé10s,AnimalN)&amp;" / Activité = "&amp;LOOKUP(RANDBETWEEN(1,10),dé10s,AnimalA)</f>
        <v xml:space="preserve"> --&gt; Animaux = Mammifère -FRU / nombre = D10 / Activité = voyage</v>
      </c>
    </row>
    <row r="313" spans="1:2">
      <c r="A313">
        <v>25</v>
      </c>
      <c r="B313" s="782" t="str">
        <f ca="1">LOOKUP(RANDBETWEEN(1,10),dé10s,Moment)&amp;" / D! = "&amp;LOOKUP(RANDBETWEEN(1,10),dé10s,DangerANC)&amp;" / Rich = "&amp;LOOKUP(RANDBETWEEN(1,10),dé10s,RichesseAC)</f>
        <v>après minuit / D! = neutralité  / Rich = Normal</v>
      </c>
    </row>
    <row r="314" spans="1:2">
      <c r="B314" s="782" t="str">
        <f ca="1">" --&gt; Animaux = "&amp;LOOKUP(RANDBETWEEN(1,100),dé10s,animalT)&amp;"-"&amp;LOOKUP(RANDBETWEEN(1,10),dé10s,AnimalM)&amp;" / nombre = "&amp;LOOKUP(RANDBETWEEN(1,10),dé10s,AnimalN)&amp;" / Activité = "&amp;LOOKUP(RANDBETWEEN(1,10),dé10s,AnimalA)</f>
        <v xml:space="preserve"> --&gt; Animaux = Mammifère -HER / nombre = D10/2 / Activité = migre</v>
      </c>
    </row>
    <row r="315" spans="1:2">
      <c r="B315" s="782"/>
    </row>
    <row r="316" spans="1:2">
      <c r="B316" s="782"/>
    </row>
    <row r="317" spans="1:2">
      <c r="B317" s="782"/>
    </row>
    <row r="318" spans="1:2">
      <c r="B318" s="790" t="s">
        <v>2592</v>
      </c>
    </row>
    <row r="319" spans="1:2">
      <c r="A319">
        <v>1</v>
      </c>
      <c r="B319" s="782" t="str">
        <f t="shared" ref="B319:B350" ca="1" si="2">LOOKUP(RANDBETWEEN(1,10),dé10s,Moment)&amp;" / D! = "&amp;LOOKUP(RANDBETWEEN(1,10),dé10s,DangerANC)&amp;" / Rich = "&amp;LOOKUP(RANDBETWEEN(1,10),dé10s,RichesseAC)&amp;" / Activité = "&amp;LOOKUP(RANDBETWEEN(1,10),dé10s,CréatureA)&amp;" - "&amp;LOOKUP(RANDBETWEEN(1,10),dé10s,CréatureAD)</f>
        <v>à l’aube / D! = Forte agressivité (bonus 10 embuscade) / Rich = Normal / Activité = Cérémonie - rite</v>
      </c>
    </row>
    <row r="320" spans="1:2">
      <c r="A320">
        <v>2</v>
      </c>
      <c r="B320" s="791" t="str">
        <f t="shared" ca="1" si="2"/>
        <v>à l’aube / D! = Agressivité, attaque à vue (bonus 5 embuscade) / Rich = Normal / Activité = Cérémonie - de zone</v>
      </c>
    </row>
    <row r="321" spans="1:2">
      <c r="A321">
        <v>3</v>
      </c>
      <c r="B321" s="782" t="str">
        <f t="shared" ca="1" si="2"/>
        <v>avant minuit / D! = Très favorable, amitié possible / Rich = Bonne santé  / Activité = Cérémonie - en bande</v>
      </c>
    </row>
    <row r="322" spans="1:2">
      <c r="A322">
        <v>4</v>
      </c>
      <c r="B322" s="791" t="str">
        <f t="shared" ca="1" si="2"/>
        <v>début d’après-midi / D! = neutralité  / Rich = Normal / Activité = Exploration - en bande</v>
      </c>
    </row>
    <row r="323" spans="1:2">
      <c r="A323">
        <v>5</v>
      </c>
      <c r="B323" s="782" t="str">
        <f t="shared" ca="1" si="2"/>
        <v>fin d’après-midi / D! = neutralité  / Rich = Malade/blessé  / Activité = Combat - 2 jets à -1</v>
      </c>
    </row>
    <row r="324" spans="1:2">
      <c r="A324">
        <v>6</v>
      </c>
      <c r="B324" s="791" t="str">
        <f t="shared" ca="1" si="2"/>
        <v>fin de matinée / D! = neutralité  / Rich = Normal / Activité = Voyage - consommation</v>
      </c>
    </row>
    <row r="325" spans="1:2">
      <c r="A325">
        <v>7</v>
      </c>
      <c r="B325" s="782" t="str">
        <f t="shared" ca="1" si="2"/>
        <v>après minuit / D! = Favorable, rencontre positive / Rich = Malade/blessé  / Activité = Famille - attaque</v>
      </c>
    </row>
    <row r="326" spans="1:2">
      <c r="A326">
        <v>8</v>
      </c>
      <c r="B326" s="791" t="str">
        <f t="shared" ca="1" si="2"/>
        <v>avant l’aube / D! = neutralité  / Rich = Faible  / Activité = Garde - attaque</v>
      </c>
    </row>
    <row r="327" spans="1:2">
      <c r="A327">
        <v>9</v>
      </c>
      <c r="B327" s="782" t="str">
        <f t="shared" ca="1" si="2"/>
        <v>début de soirée / D! = neutralité  / Rich = Pleine forme  / Activité = Cérémonie - attaque</v>
      </c>
    </row>
    <row r="328" spans="1:2">
      <c r="A328">
        <v>10</v>
      </c>
      <c r="B328" s="791" t="str">
        <f t="shared" ca="1" si="2"/>
        <v>début d’après-midi / D! = Favorable, rencontre positive / Rich = Normal / Activité = Combat - rite</v>
      </c>
    </row>
    <row r="329" spans="1:2">
      <c r="A329">
        <v>11</v>
      </c>
      <c r="B329" s="782" t="str">
        <f t="shared" ca="1" si="2"/>
        <v>fin de matinée / D! = Forte agressivité (bonus 10 embuscade) / Rich = Normal / Activité = Repas - de zone</v>
      </c>
    </row>
    <row r="330" spans="1:2">
      <c r="A330">
        <v>12</v>
      </c>
      <c r="B330" s="791" t="str">
        <f t="shared" ca="1" si="2"/>
        <v>à l’aube / D! = neutralité  / Rich = Normal / Activité = Construction - nouvelle zone</v>
      </c>
    </row>
    <row r="331" spans="1:2">
      <c r="A331">
        <v>13</v>
      </c>
      <c r="B331" s="782" t="str">
        <f t="shared" ca="1" si="2"/>
        <v>après minuit / D! = neutralité  / Rich = Pleine forme  / Activité = Voyage - attaque</v>
      </c>
    </row>
    <row r="332" spans="1:2">
      <c r="A332">
        <v>14</v>
      </c>
      <c r="B332" s="791" t="str">
        <f t="shared" ca="1" si="2"/>
        <v>début de matinée / D! = Agressivité, attaque à vue (bonus 5 embuscade) / Rich = Normal / Activité = Repas - en bande</v>
      </c>
    </row>
    <row r="333" spans="1:2">
      <c r="A333">
        <v>15</v>
      </c>
      <c r="B333" s="782" t="str">
        <f t="shared" ca="1" si="2"/>
        <v>fin d’après-midi / D! = Favorable, rencontre positive / Rich = Bonne santé  / Activité = Combat - nouvelle zone</v>
      </c>
    </row>
    <row r="334" spans="1:2">
      <c r="A334">
        <v>16</v>
      </c>
      <c r="B334" s="791" t="str">
        <f t="shared" ca="1" si="2"/>
        <v>coucher de soleil / D! = Très favorable, amitié possible / Rich = Faible  / Activité = Chasse - rite</v>
      </c>
    </row>
    <row r="335" spans="1:2">
      <c r="A335">
        <v>17</v>
      </c>
      <c r="B335" s="782" t="str">
        <f t="shared" ca="1" si="2"/>
        <v>coucher de soleil / D! = Agressivité, attaque à vue (bonus 5 embuscade) / Rich = Normal / Activité = Voyage - attaque</v>
      </c>
    </row>
    <row r="336" spans="1:2">
      <c r="A336">
        <v>18</v>
      </c>
      <c r="B336" s="791" t="str">
        <f t="shared" ca="1" si="2"/>
        <v>après minuit / D! = Favorable, rencontre positive / Rich = Malade/blessé  / Activité = Garde - rite</v>
      </c>
    </row>
    <row r="337" spans="1:2">
      <c r="A337">
        <v>19</v>
      </c>
      <c r="B337" s="782" t="str">
        <f t="shared" ca="1" si="2"/>
        <v>début d’après-midi / D! = Favorable, rencontre positive / Rich = Normal / Activité = Cérémonie - consommation</v>
      </c>
    </row>
    <row r="338" spans="1:2">
      <c r="A338">
        <v>20</v>
      </c>
      <c r="B338" s="791" t="str">
        <f t="shared" ca="1" si="2"/>
        <v>début de matinée / D! = Forte agressivité (bonus 10 embuscade) / Rich = Bonne santé  / Activité = Cérémonie - nouvelle zone</v>
      </c>
    </row>
    <row r="339" spans="1:2">
      <c r="A339">
        <v>21</v>
      </c>
      <c r="B339" s="782" t="str">
        <f t="shared" ca="1" si="2"/>
        <v>avant minuit / D! = neutralité  / Rich = Bonne santé  / Activité = Combat - rite</v>
      </c>
    </row>
    <row r="340" spans="1:2">
      <c r="A340">
        <v>22</v>
      </c>
      <c r="B340" s="791" t="str">
        <f t="shared" ca="1" si="2"/>
        <v>fin de matinée / D! = neutralité  / Rich = Normal / Activité = Multiple - rite</v>
      </c>
    </row>
    <row r="341" spans="1:2">
      <c r="A341">
        <v>23</v>
      </c>
      <c r="B341" s="782" t="str">
        <f t="shared" ca="1" si="2"/>
        <v>après minuit / D! = Agressivité, attaque à vue (bonus 5 embuscade) / Rich = Normal / Activité = Construction - de zone</v>
      </c>
    </row>
    <row r="342" spans="1:2">
      <c r="A342">
        <v>24</v>
      </c>
      <c r="B342" s="791" t="str">
        <f t="shared" ca="1" si="2"/>
        <v>fin de matinée / D! = neutralité  / Rich = Pleine forme  / Activité = Famille - en bande</v>
      </c>
    </row>
    <row r="343" spans="1:2">
      <c r="A343">
        <v>25</v>
      </c>
      <c r="B343" s="782" t="str">
        <f t="shared" ca="1" si="2"/>
        <v>début de matinée / D! = neutralité  / Rich = Faible  / Activité = Famille - attaque</v>
      </c>
    </row>
    <row r="344" spans="1:2">
      <c r="A344">
        <v>26</v>
      </c>
      <c r="B344" s="791" t="str">
        <f t="shared" ca="1" si="2"/>
        <v>début d’après-midi / D! = Agressivité, attaque à vue (bonus 5 embuscade) / Rich = Normal / Activité = Famille - de zone</v>
      </c>
    </row>
    <row r="345" spans="1:2">
      <c r="A345">
        <v>27</v>
      </c>
      <c r="B345" s="782" t="str">
        <f t="shared" ca="1" si="2"/>
        <v>début d’après-midi / D! = Favorable, rencontre positive / Rich = Normal / Activité = Cérémonie - défense</v>
      </c>
    </row>
    <row r="346" spans="1:2">
      <c r="A346">
        <v>28</v>
      </c>
      <c r="B346" s="791" t="str">
        <f t="shared" ca="1" si="2"/>
        <v>début de soirée / D! = Favorable, rencontre positive / Rich = Bonne santé  / Activité = Cérémonie - défense</v>
      </c>
    </row>
    <row r="347" spans="1:2">
      <c r="A347">
        <v>29</v>
      </c>
      <c r="B347" s="782" t="str">
        <f t="shared" ca="1" si="2"/>
        <v>début de matinée / D! = Très favorable, amitié possible / Rich = Pleine forme  / Activité = Chasse - 2 jets à -1</v>
      </c>
    </row>
    <row r="348" spans="1:2">
      <c r="A348">
        <v>30</v>
      </c>
      <c r="B348" s="791" t="str">
        <f t="shared" ca="1" si="2"/>
        <v>coucher de soleil / D! = neutralité  / Rich = Pleine forme  / Activité = Exploration - nouvelle zone</v>
      </c>
    </row>
    <row r="349" spans="1:2">
      <c r="A349">
        <v>31</v>
      </c>
      <c r="B349" s="782" t="str">
        <f t="shared" ca="1" si="2"/>
        <v>début de soirée / D! = neutralité  / Rich = Malade/blessé  / Activité = Famille - attaque</v>
      </c>
    </row>
    <row r="350" spans="1:2">
      <c r="A350">
        <v>32</v>
      </c>
      <c r="B350" s="791" t="str">
        <f t="shared" ca="1" si="2"/>
        <v>à l’aube / D! = neutralité  / Rich = Bonne santé  / Activité = Repas - normale</v>
      </c>
    </row>
    <row r="351" spans="1:2">
      <c r="A351">
        <v>33</v>
      </c>
      <c r="B351" s="782" t="str">
        <f t="shared" ref="B351:B368" ca="1" si="3">LOOKUP(RANDBETWEEN(1,10),dé10s,Moment)&amp;" / D! = "&amp;LOOKUP(RANDBETWEEN(1,10),dé10s,DangerANC)&amp;" / Rich = "&amp;LOOKUP(RANDBETWEEN(1,10),dé10s,RichesseAC)&amp;" / Activité = "&amp;LOOKUP(RANDBETWEEN(1,10),dé10s,CréatureA)&amp;" - "&amp;LOOKUP(RANDBETWEEN(1,10),dé10s,CréatureAD)</f>
        <v>fin d’après-midi / D! = Très favorable, amitié possible / Rich = Bonne santé  / Activité = Repas - normale</v>
      </c>
    </row>
    <row r="352" spans="1:2">
      <c r="A352">
        <v>34</v>
      </c>
      <c r="B352" s="791" t="str">
        <f t="shared" ca="1" si="3"/>
        <v>fin d’après-midi / D! = Agressivité, attaque à vue (bonus 5 embuscade) / Rich = Faible  / Activité = Voyage - nouvelle zone</v>
      </c>
    </row>
    <row r="353" spans="1:2">
      <c r="A353">
        <v>35</v>
      </c>
      <c r="B353" s="782" t="str">
        <f t="shared" ca="1" si="3"/>
        <v>fin d’après-midi / D! = neutralité  / Rich = Normal / Activité = Combat - 2 jets à -1</v>
      </c>
    </row>
    <row r="354" spans="1:2">
      <c r="A354">
        <v>36</v>
      </c>
      <c r="B354" s="791" t="str">
        <f t="shared" ca="1" si="3"/>
        <v>avant minuit / D! = neutralité  / Rich = Normal / Activité = Voyage - nouvelle zone</v>
      </c>
    </row>
    <row r="355" spans="1:2">
      <c r="A355">
        <v>37</v>
      </c>
      <c r="B355" s="782" t="str">
        <f t="shared" ca="1" si="3"/>
        <v>avant minuit / D! = Agressivité, attaque à vue (bonus 5 embuscade) / Rich = Normal / Activité = Famille - rite</v>
      </c>
    </row>
    <row r="356" spans="1:2">
      <c r="A356">
        <v>38</v>
      </c>
      <c r="B356" s="791" t="str">
        <f t="shared" ca="1" si="3"/>
        <v>après minuit / D! = neutralité  / Rich = Faible  / Activité = Exploration - nouvelle zone</v>
      </c>
    </row>
    <row r="357" spans="1:2">
      <c r="A357">
        <v>39</v>
      </c>
      <c r="B357" s="782" t="str">
        <f t="shared" ca="1" si="3"/>
        <v>fin de matinée / D! = neutralité  / Rich = Normal / Activité = Cérémonie - en bande</v>
      </c>
    </row>
    <row r="358" spans="1:2">
      <c r="A358">
        <v>40</v>
      </c>
      <c r="B358" s="791" t="str">
        <f t="shared" ca="1" si="3"/>
        <v>fin de matinée / D! = neutralité  / Rich = Faible  / Activité = Chasse - consommation</v>
      </c>
    </row>
    <row r="359" spans="1:2">
      <c r="A359">
        <v>41</v>
      </c>
      <c r="B359" s="782" t="str">
        <f t="shared" ca="1" si="3"/>
        <v>avant minuit / D! = Favorable, rencontre positive / Rich = Bonne santé  / Activité = Chasse - poursuite</v>
      </c>
    </row>
    <row r="360" spans="1:2">
      <c r="A360">
        <v>42</v>
      </c>
      <c r="B360" s="791" t="str">
        <f t="shared" ca="1" si="3"/>
        <v>avant minuit / D! = neutralité  / Rich = Malade/blessé  / Activité = Garde - attaque</v>
      </c>
    </row>
    <row r="361" spans="1:2">
      <c r="A361">
        <v>43</v>
      </c>
      <c r="B361" s="782" t="str">
        <f t="shared" ca="1" si="3"/>
        <v>après minuit / D! = Agressivité, attaque à vue (bonus 5 embuscade) / Rich = Faible  / Activité = Multiple - défense</v>
      </c>
    </row>
    <row r="362" spans="1:2">
      <c r="A362">
        <v>44</v>
      </c>
      <c r="B362" s="791" t="str">
        <f t="shared" ca="1" si="3"/>
        <v>avant minuit / D! = Agressivité, attaque à vue (bonus 5 embuscade) / Rich = Faible  / Activité = Repas - défense</v>
      </c>
    </row>
    <row r="363" spans="1:2">
      <c r="A363">
        <v>45</v>
      </c>
      <c r="B363" s="782" t="str">
        <f t="shared" ca="1" si="3"/>
        <v>coucher de soleil / D! = Agressivité, attaque à vue (bonus 5 embuscade) / Rich = Pleine forme  / Activité = Chasse - de zone</v>
      </c>
    </row>
    <row r="364" spans="1:2">
      <c r="A364">
        <v>46</v>
      </c>
      <c r="B364" s="791" t="str">
        <f t="shared" ca="1" si="3"/>
        <v>début de matinée / D! = neutralité  / Rich = Normal / Activité = Combat - nouvelle zone</v>
      </c>
    </row>
    <row r="365" spans="1:2">
      <c r="A365">
        <v>47</v>
      </c>
      <c r="B365" s="782" t="str">
        <f t="shared" ca="1" si="3"/>
        <v>début de matinée / D! = Favorable, rencontre positive / Rich = Bonne santé  / Activité = Multiple - nouvelle zone</v>
      </c>
    </row>
    <row r="366" spans="1:2">
      <c r="A366">
        <v>48</v>
      </c>
      <c r="B366" s="791" t="str">
        <f t="shared" ca="1" si="3"/>
        <v>début de matinée / D! = neutralité  / Rich = Normal / Activité = Repas - consommation</v>
      </c>
    </row>
    <row r="367" spans="1:2">
      <c r="A367">
        <v>49</v>
      </c>
      <c r="B367" s="782" t="str">
        <f t="shared" ca="1" si="3"/>
        <v>après minuit / D! = Agressivité, attaque à vue (bonus 5 embuscade) / Rich = Normal / Activité = Garde - nouvelle zone</v>
      </c>
    </row>
    <row r="368" spans="1:2">
      <c r="A368">
        <v>50</v>
      </c>
      <c r="B368" s="791" t="str">
        <f t="shared" ca="1" si="3"/>
        <v>avant minuit / D! = Favorable, rencontre positive / Rich = Faible  / Activité = Multiple - 2 jets à -1</v>
      </c>
    </row>
  </sheetData>
  <pageMargins left="0.23622047244094491" right="3.937007874015748E-2" top="0.35433070866141736" bottom="0.35433070866141736" header="0.31496062992125984" footer="0.31496062992125984"/>
  <pageSetup paperSize="9" orientation="portrait" horizontalDpi="300" verticalDpi="300" r:id="rId1"/>
  <headerFooter>
    <oddFooter>&amp;C_x000D_&amp;1#&amp;"Arial"&amp;9&amp;K000000 Internal</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
  <sheetViews>
    <sheetView workbookViewId="0">
      <selection activeCell="R13" sqref="R13"/>
    </sheetView>
  </sheetViews>
  <sheetFormatPr baseColWidth="10" defaultColWidth="9.109375" defaultRowHeight="14.4"/>
  <cols>
    <col min="4" max="13" width="4.109375" customWidth="1"/>
  </cols>
  <sheetData>
    <row r="1" spans="1:17">
      <c r="A1" t="s">
        <v>2225</v>
      </c>
      <c r="B1" t="s">
        <v>2226</v>
      </c>
      <c r="D1">
        <v>1</v>
      </c>
      <c r="E1">
        <v>2</v>
      </c>
      <c r="F1">
        <v>3</v>
      </c>
      <c r="G1">
        <v>4</v>
      </c>
      <c r="H1">
        <v>5</v>
      </c>
      <c r="I1">
        <v>6</v>
      </c>
      <c r="J1">
        <v>7</v>
      </c>
      <c r="K1">
        <v>8</v>
      </c>
      <c r="L1">
        <v>9</v>
      </c>
      <c r="M1">
        <v>10</v>
      </c>
      <c r="P1" t="s">
        <v>2227</v>
      </c>
      <c r="Q1" t="s">
        <v>2228</v>
      </c>
    </row>
    <row r="2" spans="1:17">
      <c r="A2" t="s">
        <v>2229</v>
      </c>
      <c r="B2" t="s">
        <v>2230</v>
      </c>
      <c r="D2" t="str">
        <f>IF(LEN($A2)&gt;=D$1,MID($A2,D$1,1)&amp;MID($B2,D$1,1),"")</f>
        <v>sl</v>
      </c>
      <c r="E2" t="str">
        <f t="shared" ref="E2:M5" si="0">IF(LEN($A2)&gt;=E$1,MID($A2,E$1,1)&amp;MID($B2,E$1,1),"")</f>
        <v>ea</v>
      </c>
      <c r="F2" t="str">
        <f t="shared" si="0"/>
        <v/>
      </c>
      <c r="G2" t="str">
        <f t="shared" si="0"/>
        <v/>
      </c>
      <c r="H2" t="str">
        <f t="shared" si="0"/>
        <v/>
      </c>
      <c r="I2" t="str">
        <f t="shared" si="0"/>
        <v/>
      </c>
      <c r="J2" t="str">
        <f t="shared" si="0"/>
        <v/>
      </c>
      <c r="K2" t="str">
        <f t="shared" si="0"/>
        <v/>
      </c>
      <c r="L2" t="str">
        <f t="shared" si="0"/>
        <v/>
      </c>
      <c r="M2" t="str">
        <f t="shared" si="0"/>
        <v/>
      </c>
      <c r="N2" t="str">
        <f>TRIM(D2&amp;E2&amp;F2&amp;G2&amp;H2&amp;I2&amp;J2&amp;K2&amp;L2&amp;M2)</f>
        <v>slea</v>
      </c>
    </row>
    <row r="3" spans="1:17">
      <c r="A3" t="s">
        <v>2231</v>
      </c>
      <c r="B3" t="s">
        <v>2230</v>
      </c>
      <c r="D3" t="str">
        <f t="shared" ref="D3:D5" si="1">IF(LEN($A3)&gt;=D$1,MID($A3,D$1,1)&amp;MID($B3,D$1,1),"")</f>
        <v>ll</v>
      </c>
      <c r="E3" t="str">
        <f t="shared" si="0"/>
        <v>ia</v>
      </c>
      <c r="F3" t="str">
        <f t="shared" si="0"/>
        <v>bn</v>
      </c>
      <c r="G3" t="str">
        <f t="shared" si="0"/>
        <v>ég</v>
      </c>
      <c r="H3" t="str">
        <f t="shared" si="0"/>
        <v>ru</v>
      </c>
      <c r="I3" t="str">
        <f t="shared" si="0"/>
        <v>ee</v>
      </c>
      <c r="J3" t="str">
        <f t="shared" si="0"/>
        <v>rl</v>
      </c>
      <c r="K3" t="str">
        <f t="shared" si="0"/>
        <v/>
      </c>
      <c r="L3" t="str">
        <f t="shared" si="0"/>
        <v/>
      </c>
      <c r="M3" t="str">
        <f t="shared" si="0"/>
        <v/>
      </c>
      <c r="N3" t="str">
        <f t="shared" ref="N3:N5" si="2">TRIM(D3&amp;E3&amp;F3&amp;G3&amp;H3&amp;I3&amp;J3&amp;K3&amp;L3&amp;M3)</f>
        <v>lliabnégrueerl</v>
      </c>
    </row>
    <row r="4" spans="1:17">
      <c r="A4" t="s">
        <v>2232</v>
      </c>
      <c r="B4" t="s">
        <v>2230</v>
      </c>
      <c r="D4" t="str">
        <f t="shared" si="1"/>
        <v>dl</v>
      </c>
      <c r="E4" t="str">
        <f t="shared" si="0"/>
        <v>ea</v>
      </c>
      <c r="F4" t="str">
        <f t="shared" si="0"/>
        <v>sn</v>
      </c>
      <c r="G4" t="str">
        <f t="shared" si="0"/>
        <v/>
      </c>
      <c r="H4" t="str">
        <f t="shared" si="0"/>
        <v/>
      </c>
      <c r="I4" t="str">
        <f t="shared" si="0"/>
        <v/>
      </c>
      <c r="J4" t="str">
        <f t="shared" si="0"/>
        <v/>
      </c>
      <c r="K4" t="str">
        <f t="shared" si="0"/>
        <v/>
      </c>
      <c r="L4" t="str">
        <f t="shared" si="0"/>
        <v/>
      </c>
      <c r="M4" t="str">
        <f t="shared" si="0"/>
        <v/>
      </c>
      <c r="N4" t="str">
        <f t="shared" si="2"/>
        <v>dleasn</v>
      </c>
    </row>
    <row r="5" spans="1:17">
      <c r="A5" t="s">
        <v>2233</v>
      </c>
      <c r="B5" t="s">
        <v>2230</v>
      </c>
      <c r="D5" t="str">
        <f t="shared" si="1"/>
        <v>dl</v>
      </c>
      <c r="E5" t="str">
        <f t="shared" si="0"/>
        <v>ia</v>
      </c>
      <c r="F5" t="str">
        <f t="shared" si="0"/>
        <v>en</v>
      </c>
      <c r="G5" t="str">
        <f t="shared" si="0"/>
        <v>ug</v>
      </c>
      <c r="H5" t="str">
        <f t="shared" si="0"/>
        <v>xu</v>
      </c>
      <c r="I5" t="str">
        <f t="shared" si="0"/>
        <v/>
      </c>
      <c r="J5" t="str">
        <f t="shared" si="0"/>
        <v/>
      </c>
      <c r="K5" t="str">
        <f t="shared" si="0"/>
        <v/>
      </c>
      <c r="L5" t="str">
        <f t="shared" si="0"/>
        <v/>
      </c>
      <c r="M5" t="str">
        <f t="shared" si="0"/>
        <v/>
      </c>
      <c r="N5" t="str">
        <f t="shared" si="2"/>
        <v>dliaenugxu</v>
      </c>
    </row>
  </sheetData>
  <pageMargins left="0.7" right="0.7" top="0.75" bottom="0.75" header="0.3" footer="0.3"/>
  <pageSetup paperSize="9" orientation="portrait" horizontalDpi="300" verticalDpi="300" r:id="rId1"/>
  <headerFooter>
    <oddFooter>&amp;C_x000D_&amp;1#&amp;"Arial"&amp;9&amp;K000000 Internal</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2"/>
  <sheetViews>
    <sheetView topLeftCell="B52" workbookViewId="0">
      <selection activeCell="G25" sqref="G25"/>
    </sheetView>
  </sheetViews>
  <sheetFormatPr baseColWidth="10" defaultRowHeight="14.4"/>
  <cols>
    <col min="1" max="1" width="8.109375" hidden="1" customWidth="1"/>
    <col min="2" max="2" width="8.109375" customWidth="1"/>
    <col min="3" max="17" width="4.77734375" customWidth="1"/>
    <col min="18" max="18" width="8.109375" bestFit="1" customWidth="1"/>
  </cols>
  <sheetData>
    <row r="1" spans="3:18" ht="15" hidden="1" thickTop="1">
      <c r="C1" s="1751" t="s">
        <v>523</v>
      </c>
      <c r="D1" s="1450">
        <v>5</v>
      </c>
      <c r="E1" s="1452">
        <v>6</v>
      </c>
      <c r="F1" s="1454">
        <v>7</v>
      </c>
      <c r="G1" s="1456">
        <v>8</v>
      </c>
      <c r="H1" s="1458">
        <v>9</v>
      </c>
    </row>
    <row r="2" spans="3:18" ht="31.2" hidden="1" thickBot="1">
      <c r="C2" s="1752"/>
      <c r="D2" s="1451" t="s">
        <v>142</v>
      </c>
      <c r="E2" s="1453" t="s">
        <v>2557</v>
      </c>
      <c r="F2" s="1455" t="s">
        <v>6916</v>
      </c>
      <c r="G2" s="1457" t="s">
        <v>1600</v>
      </c>
      <c r="H2" s="1459" t="s">
        <v>564</v>
      </c>
      <c r="I2" s="1451" t="s">
        <v>142</v>
      </c>
      <c r="J2" s="1453" t="s">
        <v>2557</v>
      </c>
      <c r="K2" s="1455" t="s">
        <v>6916</v>
      </c>
      <c r="L2" s="1457" t="s">
        <v>1600</v>
      </c>
      <c r="M2" s="1459" t="s">
        <v>564</v>
      </c>
      <c r="N2" t="s">
        <v>142</v>
      </c>
      <c r="O2" t="s">
        <v>2557</v>
      </c>
      <c r="P2" t="s">
        <v>6916</v>
      </c>
      <c r="Q2" t="s">
        <v>1600</v>
      </c>
      <c r="R2" t="s">
        <v>564</v>
      </c>
    </row>
    <row r="3" spans="3:18" ht="21" hidden="1" thickBot="1">
      <c r="C3" s="1460" t="s">
        <v>717</v>
      </c>
      <c r="D3" s="1461">
        <v>4</v>
      </c>
      <c r="E3" s="1462">
        <v>4</v>
      </c>
      <c r="F3" s="1463">
        <v>6</v>
      </c>
      <c r="G3" s="1464">
        <v>6</v>
      </c>
      <c r="H3" s="1465">
        <v>2</v>
      </c>
      <c r="I3">
        <f>D3</f>
        <v>4</v>
      </c>
      <c r="J3">
        <f>I3+E3</f>
        <v>8</v>
      </c>
      <c r="K3">
        <f t="shared" ref="K3:M3" si="0">J3+F3</f>
        <v>14</v>
      </c>
      <c r="L3">
        <f t="shared" si="0"/>
        <v>20</v>
      </c>
      <c r="M3">
        <f t="shared" si="0"/>
        <v>22</v>
      </c>
      <c r="N3">
        <v>4</v>
      </c>
      <c r="O3">
        <v>8</v>
      </c>
      <c r="P3">
        <v>14</v>
      </c>
      <c r="Q3">
        <v>20</v>
      </c>
      <c r="R3">
        <v>22</v>
      </c>
    </row>
    <row r="4" spans="3:18" ht="41.4" hidden="1" thickBot="1">
      <c r="C4" s="1466" t="s">
        <v>6917</v>
      </c>
      <c r="D4" s="1461">
        <v>3</v>
      </c>
      <c r="E4" s="1462">
        <v>3</v>
      </c>
      <c r="F4" s="1463">
        <v>5</v>
      </c>
      <c r="G4" s="1464">
        <v>7</v>
      </c>
      <c r="H4" s="1465">
        <v>1</v>
      </c>
      <c r="I4">
        <f t="shared" ref="I4:I17" si="1">D4</f>
        <v>3</v>
      </c>
      <c r="J4">
        <f t="shared" ref="J4:J17" si="2">I4+E4</f>
        <v>6</v>
      </c>
      <c r="K4">
        <f t="shared" ref="K4:K17" si="3">J4+F4</f>
        <v>11</v>
      </c>
      <c r="L4">
        <f t="shared" ref="L4:L17" si="4">K4+G4</f>
        <v>18</v>
      </c>
      <c r="M4">
        <f t="shared" ref="M4:M17" si="5">L4+H4</f>
        <v>19</v>
      </c>
      <c r="N4">
        <v>3</v>
      </c>
      <c r="O4">
        <v>6</v>
      </c>
      <c r="P4">
        <v>11</v>
      </c>
      <c r="Q4">
        <v>18</v>
      </c>
      <c r="R4">
        <v>19</v>
      </c>
    </row>
    <row r="5" spans="3:18" ht="21" hidden="1" thickBot="1">
      <c r="C5" s="1460" t="s">
        <v>6918</v>
      </c>
      <c r="D5" s="1461">
        <v>1</v>
      </c>
      <c r="E5" s="1462">
        <v>3</v>
      </c>
      <c r="F5" s="1463">
        <v>2</v>
      </c>
      <c r="G5" s="1464">
        <v>4</v>
      </c>
      <c r="H5" s="1465">
        <v>1</v>
      </c>
      <c r="I5">
        <f t="shared" si="1"/>
        <v>1</v>
      </c>
      <c r="J5">
        <f t="shared" si="2"/>
        <v>4</v>
      </c>
      <c r="K5">
        <f t="shared" si="3"/>
        <v>6</v>
      </c>
      <c r="L5">
        <f t="shared" si="4"/>
        <v>10</v>
      </c>
      <c r="M5">
        <f t="shared" si="5"/>
        <v>11</v>
      </c>
      <c r="N5">
        <v>1</v>
      </c>
      <c r="O5">
        <v>4</v>
      </c>
      <c r="P5">
        <v>6</v>
      </c>
      <c r="Q5">
        <v>10</v>
      </c>
      <c r="R5">
        <v>11</v>
      </c>
    </row>
    <row r="6" spans="3:18" ht="21" hidden="1" thickBot="1">
      <c r="C6" s="1466" t="s">
        <v>6919</v>
      </c>
      <c r="D6" s="1461">
        <v>3</v>
      </c>
      <c r="E6" s="1462">
        <v>4</v>
      </c>
      <c r="F6" s="1463">
        <v>5</v>
      </c>
      <c r="G6" s="1464">
        <v>8</v>
      </c>
      <c r="H6" s="1465">
        <v>2</v>
      </c>
      <c r="I6">
        <f t="shared" si="1"/>
        <v>3</v>
      </c>
      <c r="J6">
        <f t="shared" si="2"/>
        <v>7</v>
      </c>
      <c r="K6">
        <f t="shared" si="3"/>
        <v>12</v>
      </c>
      <c r="L6">
        <f t="shared" si="4"/>
        <v>20</v>
      </c>
      <c r="M6">
        <f t="shared" si="5"/>
        <v>22</v>
      </c>
      <c r="N6">
        <v>3</v>
      </c>
      <c r="O6">
        <v>7</v>
      </c>
      <c r="P6">
        <v>12</v>
      </c>
      <c r="Q6">
        <v>20</v>
      </c>
      <c r="R6">
        <v>22</v>
      </c>
    </row>
    <row r="7" spans="3:18" ht="41.4" hidden="1" thickBot="1">
      <c r="C7" s="1460" t="s">
        <v>6920</v>
      </c>
      <c r="D7" s="1461">
        <v>2</v>
      </c>
      <c r="E7" s="1462">
        <v>3</v>
      </c>
      <c r="F7" s="1463">
        <v>3</v>
      </c>
      <c r="G7" s="1464">
        <v>6</v>
      </c>
      <c r="H7" s="1465">
        <v>2</v>
      </c>
      <c r="I7">
        <f t="shared" si="1"/>
        <v>2</v>
      </c>
      <c r="J7">
        <f t="shared" si="2"/>
        <v>5</v>
      </c>
      <c r="K7">
        <f t="shared" si="3"/>
        <v>8</v>
      </c>
      <c r="L7">
        <f t="shared" si="4"/>
        <v>14</v>
      </c>
      <c r="M7">
        <f t="shared" si="5"/>
        <v>16</v>
      </c>
      <c r="N7">
        <v>2</v>
      </c>
      <c r="O7">
        <v>5</v>
      </c>
      <c r="P7">
        <v>8</v>
      </c>
      <c r="Q7">
        <v>14</v>
      </c>
      <c r="R7">
        <v>16</v>
      </c>
    </row>
    <row r="8" spans="3:18" ht="41.4" hidden="1" thickBot="1">
      <c r="C8" s="1466" t="s">
        <v>6921</v>
      </c>
      <c r="D8" s="1461">
        <v>1</v>
      </c>
      <c r="E8" s="1462">
        <v>4</v>
      </c>
      <c r="F8" s="1463">
        <v>1</v>
      </c>
      <c r="G8" s="1464">
        <v>4</v>
      </c>
      <c r="H8" s="1465">
        <v>4</v>
      </c>
      <c r="I8">
        <f t="shared" si="1"/>
        <v>1</v>
      </c>
      <c r="J8">
        <f t="shared" si="2"/>
        <v>5</v>
      </c>
      <c r="K8">
        <f t="shared" si="3"/>
        <v>6</v>
      </c>
      <c r="L8">
        <f t="shared" si="4"/>
        <v>10</v>
      </c>
      <c r="M8">
        <f t="shared" si="5"/>
        <v>14</v>
      </c>
      <c r="N8">
        <v>1</v>
      </c>
      <c r="O8">
        <v>5</v>
      </c>
      <c r="P8">
        <v>6</v>
      </c>
      <c r="Q8">
        <v>10</v>
      </c>
      <c r="R8">
        <v>14</v>
      </c>
    </row>
    <row r="9" spans="3:18" ht="41.4" hidden="1" thickBot="1">
      <c r="C9" s="1460" t="s">
        <v>6922</v>
      </c>
      <c r="D9" s="1461">
        <v>2</v>
      </c>
      <c r="E9" s="1462">
        <v>4</v>
      </c>
      <c r="F9" s="1463">
        <v>1</v>
      </c>
      <c r="G9" s="1464">
        <v>6</v>
      </c>
      <c r="H9" s="1465">
        <v>5</v>
      </c>
      <c r="I9">
        <f t="shared" si="1"/>
        <v>2</v>
      </c>
      <c r="J9">
        <f t="shared" si="2"/>
        <v>6</v>
      </c>
      <c r="K9">
        <f t="shared" si="3"/>
        <v>7</v>
      </c>
      <c r="L9">
        <f t="shared" si="4"/>
        <v>13</v>
      </c>
      <c r="M9">
        <f t="shared" si="5"/>
        <v>18</v>
      </c>
      <c r="N9">
        <v>2</v>
      </c>
      <c r="O9">
        <v>6</v>
      </c>
      <c r="P9">
        <v>7</v>
      </c>
      <c r="Q9">
        <v>13</v>
      </c>
      <c r="R9">
        <v>18</v>
      </c>
    </row>
    <row r="10" spans="3:18" ht="41.4" hidden="1" thickBot="1">
      <c r="C10" s="1466" t="s">
        <v>6923</v>
      </c>
      <c r="D10" s="1461">
        <v>2</v>
      </c>
      <c r="E10" s="1462">
        <v>1</v>
      </c>
      <c r="F10" s="1463">
        <v>1</v>
      </c>
      <c r="G10" s="1464">
        <v>1</v>
      </c>
      <c r="H10" s="1465">
        <v>5</v>
      </c>
      <c r="I10">
        <f t="shared" si="1"/>
        <v>2</v>
      </c>
      <c r="J10">
        <f t="shared" si="2"/>
        <v>3</v>
      </c>
      <c r="K10">
        <f t="shared" si="3"/>
        <v>4</v>
      </c>
      <c r="L10">
        <f t="shared" si="4"/>
        <v>5</v>
      </c>
      <c r="M10">
        <f t="shared" si="5"/>
        <v>10</v>
      </c>
      <c r="N10">
        <v>2</v>
      </c>
      <c r="O10">
        <v>3</v>
      </c>
      <c r="P10">
        <v>4</v>
      </c>
      <c r="Q10">
        <v>5</v>
      </c>
      <c r="R10">
        <v>10</v>
      </c>
    </row>
    <row r="11" spans="3:18" ht="31.2" hidden="1" thickBot="1">
      <c r="C11" s="1460" t="s">
        <v>714</v>
      </c>
      <c r="D11" s="1461">
        <v>3</v>
      </c>
      <c r="E11" s="1462">
        <v>3</v>
      </c>
      <c r="F11" s="1463">
        <v>3</v>
      </c>
      <c r="G11" s="1464">
        <v>4</v>
      </c>
      <c r="H11" s="1465">
        <v>2</v>
      </c>
      <c r="I11">
        <f t="shared" si="1"/>
        <v>3</v>
      </c>
      <c r="J11">
        <f t="shared" si="2"/>
        <v>6</v>
      </c>
      <c r="K11">
        <f t="shared" si="3"/>
        <v>9</v>
      </c>
      <c r="L11">
        <f t="shared" si="4"/>
        <v>13</v>
      </c>
      <c r="M11">
        <f t="shared" si="5"/>
        <v>15</v>
      </c>
      <c r="N11">
        <v>3</v>
      </c>
      <c r="O11">
        <v>6</v>
      </c>
      <c r="P11">
        <v>9</v>
      </c>
      <c r="Q11">
        <v>13</v>
      </c>
      <c r="R11">
        <v>15</v>
      </c>
    </row>
    <row r="12" spans="3:18" ht="21" hidden="1" thickBot="1">
      <c r="C12" s="1466" t="s">
        <v>3448</v>
      </c>
      <c r="D12" s="1461">
        <v>1</v>
      </c>
      <c r="E12" s="1462">
        <v>1</v>
      </c>
      <c r="F12" s="1463">
        <v>1</v>
      </c>
      <c r="G12" s="1464">
        <v>6</v>
      </c>
      <c r="H12" s="1465">
        <v>2</v>
      </c>
      <c r="I12">
        <f t="shared" si="1"/>
        <v>1</v>
      </c>
      <c r="J12">
        <f t="shared" si="2"/>
        <v>2</v>
      </c>
      <c r="K12">
        <f t="shared" si="3"/>
        <v>3</v>
      </c>
      <c r="L12">
        <f t="shared" si="4"/>
        <v>9</v>
      </c>
      <c r="M12">
        <f t="shared" si="5"/>
        <v>11</v>
      </c>
      <c r="N12">
        <v>1</v>
      </c>
      <c r="O12">
        <v>2</v>
      </c>
      <c r="P12">
        <v>3</v>
      </c>
      <c r="Q12">
        <v>9</v>
      </c>
      <c r="R12">
        <v>11</v>
      </c>
    </row>
    <row r="13" spans="3:18" ht="21" hidden="1" thickBot="1">
      <c r="C13" s="1460" t="s">
        <v>713</v>
      </c>
      <c r="D13" s="1461">
        <v>5</v>
      </c>
      <c r="E13" s="1462">
        <v>3</v>
      </c>
      <c r="F13" s="1463">
        <v>7</v>
      </c>
      <c r="G13" s="1464">
        <v>6</v>
      </c>
      <c r="H13" s="1465">
        <v>2</v>
      </c>
      <c r="I13">
        <f t="shared" si="1"/>
        <v>5</v>
      </c>
      <c r="J13">
        <f t="shared" si="2"/>
        <v>8</v>
      </c>
      <c r="K13">
        <f t="shared" si="3"/>
        <v>15</v>
      </c>
      <c r="L13">
        <f t="shared" si="4"/>
        <v>21</v>
      </c>
      <c r="M13">
        <f t="shared" si="5"/>
        <v>23</v>
      </c>
      <c r="N13">
        <v>5</v>
      </c>
      <c r="O13">
        <v>8</v>
      </c>
      <c r="P13">
        <v>15</v>
      </c>
      <c r="Q13">
        <v>21</v>
      </c>
      <c r="R13">
        <v>23</v>
      </c>
    </row>
    <row r="14" spans="3:18" ht="21" hidden="1" thickBot="1">
      <c r="C14" s="1466" t="s">
        <v>6924</v>
      </c>
      <c r="D14" s="1461">
        <v>5</v>
      </c>
      <c r="E14" s="1462">
        <v>2</v>
      </c>
      <c r="F14" s="1463">
        <v>2</v>
      </c>
      <c r="G14" s="1464">
        <v>2</v>
      </c>
      <c r="H14" s="1465">
        <v>4</v>
      </c>
      <c r="I14">
        <f t="shared" si="1"/>
        <v>5</v>
      </c>
      <c r="J14">
        <f t="shared" si="2"/>
        <v>7</v>
      </c>
      <c r="K14">
        <f t="shared" si="3"/>
        <v>9</v>
      </c>
      <c r="L14">
        <f t="shared" si="4"/>
        <v>11</v>
      </c>
      <c r="M14">
        <f t="shared" si="5"/>
        <v>15</v>
      </c>
      <c r="N14">
        <v>5</v>
      </c>
      <c r="O14">
        <v>7</v>
      </c>
      <c r="P14">
        <v>9</v>
      </c>
      <c r="Q14">
        <v>11</v>
      </c>
      <c r="R14">
        <v>15</v>
      </c>
    </row>
    <row r="15" spans="3:18" ht="51.6" hidden="1" thickBot="1">
      <c r="C15" s="1460" t="s">
        <v>6925</v>
      </c>
      <c r="D15" s="1461">
        <v>2</v>
      </c>
      <c r="E15" s="1462">
        <v>2</v>
      </c>
      <c r="F15" s="1463">
        <v>3</v>
      </c>
      <c r="G15" s="1464">
        <v>3</v>
      </c>
      <c r="H15" s="1465">
        <v>3</v>
      </c>
      <c r="I15">
        <f t="shared" si="1"/>
        <v>2</v>
      </c>
      <c r="J15">
        <f t="shared" si="2"/>
        <v>4</v>
      </c>
      <c r="K15">
        <f t="shared" si="3"/>
        <v>7</v>
      </c>
      <c r="L15">
        <f t="shared" si="4"/>
        <v>10</v>
      </c>
      <c r="M15">
        <f t="shared" si="5"/>
        <v>13</v>
      </c>
      <c r="N15">
        <v>2</v>
      </c>
      <c r="O15">
        <v>4</v>
      </c>
      <c r="P15">
        <v>7</v>
      </c>
      <c r="Q15">
        <v>10</v>
      </c>
      <c r="R15">
        <v>13</v>
      </c>
    </row>
    <row r="16" spans="3:18" ht="15" hidden="1" thickBot="1">
      <c r="C16" s="1467" t="s">
        <v>711</v>
      </c>
      <c r="D16" s="1461">
        <v>2</v>
      </c>
      <c r="E16" s="1462">
        <v>3</v>
      </c>
      <c r="F16" s="1463">
        <v>4</v>
      </c>
      <c r="G16" s="1464">
        <v>8</v>
      </c>
      <c r="H16" s="1465">
        <v>2</v>
      </c>
      <c r="I16">
        <f t="shared" si="1"/>
        <v>2</v>
      </c>
      <c r="J16">
        <f t="shared" si="2"/>
        <v>5</v>
      </c>
      <c r="K16">
        <f t="shared" si="3"/>
        <v>9</v>
      </c>
      <c r="L16">
        <f t="shared" si="4"/>
        <v>17</v>
      </c>
      <c r="M16">
        <f t="shared" si="5"/>
        <v>19</v>
      </c>
      <c r="N16">
        <v>2</v>
      </c>
      <c r="O16">
        <v>5</v>
      </c>
      <c r="P16">
        <v>9</v>
      </c>
      <c r="Q16">
        <v>17</v>
      </c>
      <c r="R16">
        <v>19</v>
      </c>
    </row>
    <row r="17" spans="1:18" ht="31.2" hidden="1" thickBot="1">
      <c r="C17" s="1473" t="s">
        <v>6926</v>
      </c>
      <c r="D17" s="1474">
        <v>6</v>
      </c>
      <c r="E17" s="1475">
        <v>3</v>
      </c>
      <c r="F17" s="1476">
        <v>8</v>
      </c>
      <c r="G17" s="1477">
        <v>2</v>
      </c>
      <c r="H17" s="1478">
        <v>1</v>
      </c>
      <c r="I17">
        <f t="shared" si="1"/>
        <v>6</v>
      </c>
      <c r="J17">
        <f t="shared" si="2"/>
        <v>9</v>
      </c>
      <c r="K17">
        <f t="shared" si="3"/>
        <v>17</v>
      </c>
      <c r="L17">
        <f t="shared" si="4"/>
        <v>19</v>
      </c>
      <c r="M17">
        <f t="shared" si="5"/>
        <v>20</v>
      </c>
      <c r="N17">
        <v>6</v>
      </c>
      <c r="O17">
        <v>9</v>
      </c>
      <c r="P17">
        <v>17</v>
      </c>
      <c r="Q17">
        <v>19</v>
      </c>
      <c r="R17">
        <v>20</v>
      </c>
    </row>
    <row r="18" spans="1:18" ht="23.4" customHeight="1" thickBot="1">
      <c r="A18" s="130"/>
      <c r="B18" s="129"/>
      <c r="C18" s="1479" t="s">
        <v>717</v>
      </c>
      <c r="D18" s="1480" t="s">
        <v>6436</v>
      </c>
      <c r="E18" s="1479" t="s">
        <v>6918</v>
      </c>
      <c r="F18" s="1480" t="s">
        <v>6919</v>
      </c>
      <c r="G18" s="1479" t="s">
        <v>715</v>
      </c>
      <c r="H18" s="1480" t="s">
        <v>6961</v>
      </c>
      <c r="I18" s="1479" t="s">
        <v>6962</v>
      </c>
      <c r="J18" s="1480" t="s">
        <v>6963</v>
      </c>
      <c r="K18" s="1479" t="s">
        <v>714</v>
      </c>
      <c r="L18" s="1480" t="s">
        <v>3448</v>
      </c>
      <c r="M18" s="1479" t="s">
        <v>713</v>
      </c>
      <c r="N18" s="1480" t="s">
        <v>6924</v>
      </c>
      <c r="O18" s="1479" t="s">
        <v>6964</v>
      </c>
      <c r="P18" s="1481" t="s">
        <v>711</v>
      </c>
      <c r="Q18" s="1482" t="s">
        <v>710</v>
      </c>
    </row>
    <row r="19" spans="1:18" ht="15" hidden="1" thickBot="1">
      <c r="A19" s="1483" t="s">
        <v>142</v>
      </c>
      <c r="B19" s="1468"/>
      <c r="C19">
        <v>1</v>
      </c>
      <c r="D19" s="1489">
        <v>1</v>
      </c>
      <c r="E19" s="1490">
        <v>1</v>
      </c>
      <c r="F19" s="1491">
        <v>1</v>
      </c>
      <c r="G19" s="1492">
        <v>1</v>
      </c>
      <c r="H19" s="1478">
        <v>1</v>
      </c>
      <c r="I19">
        <v>1</v>
      </c>
      <c r="J19">
        <v>1</v>
      </c>
      <c r="K19">
        <v>1</v>
      </c>
      <c r="L19">
        <v>1</v>
      </c>
      <c r="M19">
        <v>1</v>
      </c>
      <c r="N19">
        <v>1</v>
      </c>
      <c r="O19">
        <v>1</v>
      </c>
      <c r="P19">
        <v>1</v>
      </c>
      <c r="Q19">
        <v>1</v>
      </c>
    </row>
    <row r="20" spans="1:18" ht="15" hidden="1" thickBot="1">
      <c r="A20" s="1485" t="s">
        <v>6927</v>
      </c>
      <c r="B20" s="1469"/>
      <c r="C20" s="1484">
        <v>5</v>
      </c>
      <c r="D20" s="1484">
        <v>4</v>
      </c>
      <c r="E20" s="1484">
        <v>2</v>
      </c>
      <c r="F20" s="1484">
        <v>4</v>
      </c>
      <c r="G20" s="1484">
        <v>3</v>
      </c>
      <c r="H20" s="1484">
        <v>2</v>
      </c>
      <c r="I20" s="1484">
        <v>3</v>
      </c>
      <c r="J20" s="1484">
        <v>3</v>
      </c>
      <c r="K20" s="1484">
        <v>4</v>
      </c>
      <c r="L20" s="1484">
        <v>2</v>
      </c>
      <c r="M20" s="1484">
        <v>6</v>
      </c>
      <c r="N20" s="1484">
        <v>6</v>
      </c>
      <c r="O20" s="1484">
        <v>3</v>
      </c>
      <c r="P20" s="1484">
        <v>3</v>
      </c>
      <c r="Q20" s="127">
        <v>7</v>
      </c>
    </row>
    <row r="21" spans="1:18" ht="15" hidden="1" thickBot="1">
      <c r="A21" s="1486" t="s">
        <v>6960</v>
      </c>
      <c r="B21" s="1470"/>
      <c r="C21" s="1484">
        <v>10</v>
      </c>
      <c r="D21" s="1484">
        <v>8</v>
      </c>
      <c r="E21" s="1484">
        <v>6</v>
      </c>
      <c r="F21" s="1484">
        <v>9</v>
      </c>
      <c r="G21" s="1484">
        <v>7</v>
      </c>
      <c r="H21" s="1484">
        <v>7</v>
      </c>
      <c r="I21" s="1484">
        <v>8</v>
      </c>
      <c r="J21" s="1484">
        <v>5</v>
      </c>
      <c r="K21" s="1484">
        <v>8</v>
      </c>
      <c r="L21" s="1484">
        <v>4</v>
      </c>
      <c r="M21" s="1484">
        <v>10</v>
      </c>
      <c r="N21" s="1484">
        <v>9</v>
      </c>
      <c r="O21" s="1484">
        <v>6</v>
      </c>
      <c r="P21" s="1484">
        <v>7</v>
      </c>
      <c r="Q21" s="127">
        <v>11</v>
      </c>
    </row>
    <row r="22" spans="1:18" ht="15" hidden="1" thickBot="1">
      <c r="A22" s="1487" t="s">
        <v>6958</v>
      </c>
      <c r="B22" s="1471"/>
      <c r="C22" s="1484">
        <v>17</v>
      </c>
      <c r="D22" s="1484">
        <v>14</v>
      </c>
      <c r="E22" s="1484">
        <v>9</v>
      </c>
      <c r="F22" s="1484">
        <v>15</v>
      </c>
      <c r="G22" s="1484">
        <v>11</v>
      </c>
      <c r="H22" s="1484">
        <v>9</v>
      </c>
      <c r="I22" s="1484">
        <v>10</v>
      </c>
      <c r="J22" s="1484">
        <v>7</v>
      </c>
      <c r="K22" s="1484">
        <v>12</v>
      </c>
      <c r="L22" s="1484">
        <v>6</v>
      </c>
      <c r="M22" s="1484">
        <v>18</v>
      </c>
      <c r="N22" s="1484">
        <v>12</v>
      </c>
      <c r="O22" s="1484">
        <v>10</v>
      </c>
      <c r="P22" s="1484">
        <v>12</v>
      </c>
      <c r="Q22" s="127">
        <v>20</v>
      </c>
    </row>
    <row r="23" spans="1:18" ht="15" hidden="1" thickBot="1">
      <c r="A23" s="1488" t="s">
        <v>6959</v>
      </c>
      <c r="B23" s="1472"/>
      <c r="C23" s="1484">
        <v>24</v>
      </c>
      <c r="D23" s="1484">
        <v>22</v>
      </c>
      <c r="E23" s="1484">
        <v>14</v>
      </c>
      <c r="F23" s="1484">
        <v>24</v>
      </c>
      <c r="G23" s="1484">
        <v>18</v>
      </c>
      <c r="H23" s="1484">
        <v>14</v>
      </c>
      <c r="I23" s="1484">
        <v>17</v>
      </c>
      <c r="J23" s="1484">
        <v>9</v>
      </c>
      <c r="K23" s="1484">
        <v>17</v>
      </c>
      <c r="L23" s="1484">
        <v>13</v>
      </c>
      <c r="M23" s="1484">
        <v>25</v>
      </c>
      <c r="N23" s="1484">
        <v>15</v>
      </c>
      <c r="O23" s="1484">
        <v>14</v>
      </c>
      <c r="P23" s="1484">
        <v>21</v>
      </c>
      <c r="Q23" s="127">
        <v>23</v>
      </c>
    </row>
    <row r="24" spans="1:18" ht="15" hidden="1" thickBot="1">
      <c r="A24" s="1493" t="s">
        <v>137</v>
      </c>
      <c r="B24" s="1493"/>
      <c r="C24" s="121">
        <v>27</v>
      </c>
      <c r="D24" s="121">
        <v>24</v>
      </c>
      <c r="E24" s="121">
        <v>16</v>
      </c>
      <c r="F24" s="121">
        <v>27</v>
      </c>
      <c r="G24" s="121">
        <v>21</v>
      </c>
      <c r="H24" s="121">
        <v>19</v>
      </c>
      <c r="I24" s="121">
        <v>23</v>
      </c>
      <c r="J24" s="121">
        <v>15</v>
      </c>
      <c r="K24" s="121">
        <v>20</v>
      </c>
      <c r="L24" s="121">
        <v>16</v>
      </c>
      <c r="M24" s="121">
        <v>28</v>
      </c>
      <c r="N24" s="121">
        <v>20</v>
      </c>
      <c r="O24" s="121">
        <v>18</v>
      </c>
      <c r="P24" s="121">
        <v>24</v>
      </c>
      <c r="Q24" s="124">
        <v>25</v>
      </c>
    </row>
    <row r="25" spans="1:18" ht="13.05" customHeight="1">
      <c r="A25">
        <f ca="1">RANDBETWEEN(1,100)</f>
        <v>17</v>
      </c>
      <c r="B25" t="s">
        <v>6928</v>
      </c>
      <c r="C25" s="1494" t="str">
        <f t="shared" ref="C25:C56" ca="1" si="6">LOOKUP($A25,RencColl,RencType)</f>
        <v>Ani</v>
      </c>
      <c r="D25" s="1494" t="str">
        <f t="shared" ref="D25:D56" ca="1" si="7">LOOKUP($A25,RencCour,RencType)</f>
        <v>Ani</v>
      </c>
      <c r="E25" s="1494" t="str">
        <f t="shared" ref="E25:E56" ca="1" si="8">LOOKUP($A25,RencDese,RencType)</f>
        <v>-</v>
      </c>
      <c r="F25" s="1494" t="str">
        <f t="shared" ref="F25:F56" ca="1" si="9">LOOKUP($A25,RencFore,RencType)</f>
        <v>Ani</v>
      </c>
      <c r="G25" s="1494" t="str">
        <f t="shared" ref="G25:G56" ca="1" si="10">LOOKUP($A25,RencMara,RencType)</f>
        <v>Ani</v>
      </c>
      <c r="H25" s="1494" t="str">
        <f t="shared" ref="H25:H56" ca="1" si="11">LOOKUP($A25,RencElde,RencType)</f>
        <v>Créat</v>
      </c>
      <c r="I25" s="1494" t="str">
        <f t="shared" ref="I25:I56" ca="1" si="12">LOOKUP($A25,RencKoth,RencType)</f>
        <v>Créat</v>
      </c>
      <c r="J25" s="1494" t="str">
        <f t="shared" ref="J25:J56" ca="1" si="13">LOOKUP($A25,RencDivi,RencType)</f>
        <v>-</v>
      </c>
      <c r="K25" s="1494" t="str">
        <f t="shared" ref="K25:K56" ca="1" si="14">LOOKUP($A25,RencMont,RencType)</f>
        <v>Créat</v>
      </c>
      <c r="L25" s="1494" t="str">
        <f t="shared" ref="L25:L56" ca="1" si="15">LOOKUP($A25,RencOcea,RencType)</f>
        <v>-</v>
      </c>
      <c r="M25" s="1494" t="str">
        <f t="shared" ref="M25:M56" ca="1" si="16">LOOKUP($A25,RencPlai,RencType)</f>
        <v>Hum</v>
      </c>
      <c r="N25" s="1494" t="str">
        <f t="shared" ref="N25:N56" ca="1" si="17">LOOKUP($A25,RencRuin,RencType)</f>
        <v>Créat</v>
      </c>
      <c r="O25" s="1494" t="str">
        <f t="shared" ref="O25:O56" ca="1" si="18">LOOKUP($A25,RencSout,RencType)</f>
        <v>Créat</v>
      </c>
      <c r="P25" s="1494" t="str">
        <f t="shared" ref="P25:P56" ca="1" si="19">LOOKUP($A25,RencStep,RencType)</f>
        <v>Ani</v>
      </c>
      <c r="Q25" s="1494" t="str">
        <f t="shared" ref="Q25:Q56" ca="1" si="20">LOOKUP($A25,RencVill,RencType)</f>
        <v>Hum</v>
      </c>
      <c r="R25" s="847"/>
    </row>
    <row r="26" spans="1:18" s="1495" customFormat="1" ht="13.05" customHeight="1">
      <c r="A26" s="1495">
        <f t="shared" ref="A26:A82" ca="1" si="21">RANDBETWEEN(1,100)</f>
        <v>55</v>
      </c>
      <c r="C26" s="1496" t="str">
        <f t="shared" ca="1" si="6"/>
        <v>-</v>
      </c>
      <c r="D26" s="1496" t="str">
        <f t="shared" ca="1" si="7"/>
        <v>-</v>
      </c>
      <c r="E26" s="1496" t="str">
        <f t="shared" ca="1" si="8"/>
        <v>-</v>
      </c>
      <c r="F26" s="1496" t="str">
        <f t="shared" ca="1" si="9"/>
        <v>-</v>
      </c>
      <c r="G26" s="1496" t="str">
        <f t="shared" ca="1" si="10"/>
        <v>-</v>
      </c>
      <c r="H26" s="1496" t="str">
        <f t="shared" ca="1" si="11"/>
        <v>-</v>
      </c>
      <c r="I26" s="1496" t="str">
        <f t="shared" ca="1" si="12"/>
        <v>-</v>
      </c>
      <c r="J26" s="1496" t="str">
        <f t="shared" ca="1" si="13"/>
        <v>-</v>
      </c>
      <c r="K26" s="1496" t="str">
        <f t="shared" ca="1" si="14"/>
        <v>-</v>
      </c>
      <c r="L26" s="1496" t="str">
        <f t="shared" ca="1" si="15"/>
        <v>-</v>
      </c>
      <c r="M26" s="1496" t="str">
        <f t="shared" ca="1" si="16"/>
        <v>-</v>
      </c>
      <c r="N26" s="1496" t="str">
        <f t="shared" ca="1" si="17"/>
        <v>-</v>
      </c>
      <c r="O26" s="1496" t="str">
        <f t="shared" ca="1" si="18"/>
        <v>-</v>
      </c>
      <c r="P26" s="1496" t="str">
        <f t="shared" ca="1" si="19"/>
        <v>-</v>
      </c>
      <c r="Q26" s="1496" t="str">
        <f t="shared" ca="1" si="20"/>
        <v>-</v>
      </c>
      <c r="R26" s="1497"/>
    </row>
    <row r="27" spans="1:18" ht="13.05" customHeight="1">
      <c r="A27">
        <f t="shared" ca="1" si="21"/>
        <v>25</v>
      </c>
      <c r="B27" t="s">
        <v>6929</v>
      </c>
      <c r="C27" s="1494" t="str">
        <f t="shared" ca="1" si="6"/>
        <v>Créat</v>
      </c>
      <c r="D27" s="1494" t="str">
        <f t="shared" ca="1" si="7"/>
        <v>-</v>
      </c>
      <c r="E27" s="1494" t="str">
        <f t="shared" ca="1" si="8"/>
        <v>-</v>
      </c>
      <c r="F27" s="1494" t="str">
        <f t="shared" ca="1" si="9"/>
        <v>Créat</v>
      </c>
      <c r="G27" s="1494" t="str">
        <f t="shared" ca="1" si="10"/>
        <v>-</v>
      </c>
      <c r="H27" s="1494" t="str">
        <f t="shared" ca="1" si="11"/>
        <v>-</v>
      </c>
      <c r="I27" s="1494" t="str">
        <f t="shared" ca="1" si="12"/>
        <v>-</v>
      </c>
      <c r="J27" s="1494" t="str">
        <f t="shared" ca="1" si="13"/>
        <v>-</v>
      </c>
      <c r="K27" s="1494" t="str">
        <f t="shared" ca="1" si="14"/>
        <v>-</v>
      </c>
      <c r="L27" s="1494" t="str">
        <f t="shared" ca="1" si="15"/>
        <v>-</v>
      </c>
      <c r="M27" s="1494" t="str">
        <f t="shared" ca="1" si="16"/>
        <v>Créat</v>
      </c>
      <c r="N27" s="1494" t="str">
        <f t="shared" ca="1" si="17"/>
        <v>-</v>
      </c>
      <c r="O27" s="1494" t="str">
        <f t="shared" ca="1" si="18"/>
        <v>-</v>
      </c>
      <c r="P27" s="1494" t="str">
        <f t="shared" ca="1" si="19"/>
        <v>-</v>
      </c>
      <c r="Q27" s="1494" t="str">
        <f t="shared" ca="1" si="20"/>
        <v>-</v>
      </c>
      <c r="R27" s="847"/>
    </row>
    <row r="28" spans="1:18" s="1495" customFormat="1" ht="13.05" customHeight="1">
      <c r="A28" s="1495">
        <f t="shared" ca="1" si="21"/>
        <v>12</v>
      </c>
      <c r="C28" s="1496" t="str">
        <f t="shared" ca="1" si="6"/>
        <v>Hum</v>
      </c>
      <c r="D28" s="1496" t="str">
        <f t="shared" ca="1" si="7"/>
        <v>Hum</v>
      </c>
      <c r="E28" s="1496" t="str">
        <f t="shared" ca="1" si="8"/>
        <v>Ani</v>
      </c>
      <c r="F28" s="1496" t="str">
        <f t="shared" ca="1" si="9"/>
        <v>Hum</v>
      </c>
      <c r="G28" s="1496" t="str">
        <f t="shared" ca="1" si="10"/>
        <v>Ani</v>
      </c>
      <c r="H28" s="1496" t="str">
        <f t="shared" ca="1" si="11"/>
        <v>Ani</v>
      </c>
      <c r="I28" s="1496" t="str">
        <f t="shared" ca="1" si="12"/>
        <v>Ani</v>
      </c>
      <c r="J28" s="1496" t="str">
        <f t="shared" ca="1" si="13"/>
        <v>Créat</v>
      </c>
      <c r="K28" s="1496" t="str">
        <f t="shared" ca="1" si="14"/>
        <v>Ani</v>
      </c>
      <c r="L28" s="1496" t="str">
        <f t="shared" ca="1" si="15"/>
        <v>Ani</v>
      </c>
      <c r="M28" s="1496" t="str">
        <f t="shared" ca="1" si="16"/>
        <v>Hum</v>
      </c>
      <c r="N28" s="1496" t="str">
        <f t="shared" ca="1" si="17"/>
        <v>Ani</v>
      </c>
      <c r="O28" s="1496" t="str">
        <f t="shared" ca="1" si="18"/>
        <v>Ani</v>
      </c>
      <c r="P28" s="1496" t="str">
        <f t="shared" ca="1" si="19"/>
        <v>Ani</v>
      </c>
      <c r="Q28" s="1496" t="str">
        <f t="shared" ca="1" si="20"/>
        <v>Hum</v>
      </c>
      <c r="R28" s="1497"/>
    </row>
    <row r="29" spans="1:18" ht="13.05" customHeight="1">
      <c r="A29">
        <f t="shared" ca="1" si="21"/>
        <v>96</v>
      </c>
      <c r="B29" t="s">
        <v>6930</v>
      </c>
      <c r="C29" s="1494" t="str">
        <f t="shared" ca="1" si="6"/>
        <v>-</v>
      </c>
      <c r="D29" s="1494" t="str">
        <f t="shared" ca="1" si="7"/>
        <v>-</v>
      </c>
      <c r="E29" s="1494" t="str">
        <f t="shared" ca="1" si="8"/>
        <v>-</v>
      </c>
      <c r="F29" s="1494" t="str">
        <f t="shared" ca="1" si="9"/>
        <v>-</v>
      </c>
      <c r="G29" s="1494" t="str">
        <f t="shared" ca="1" si="10"/>
        <v>-</v>
      </c>
      <c r="H29" s="1494" t="str">
        <f t="shared" ca="1" si="11"/>
        <v>-</v>
      </c>
      <c r="I29" s="1494" t="str">
        <f t="shared" ca="1" si="12"/>
        <v>-</v>
      </c>
      <c r="J29" s="1494" t="str">
        <f t="shared" ca="1" si="13"/>
        <v>-</v>
      </c>
      <c r="K29" s="1494" t="str">
        <f t="shared" ca="1" si="14"/>
        <v>-</v>
      </c>
      <c r="L29" s="1494" t="str">
        <f t="shared" ca="1" si="15"/>
        <v>-</v>
      </c>
      <c r="M29" s="1494" t="str">
        <f t="shared" ca="1" si="16"/>
        <v>-</v>
      </c>
      <c r="N29" s="1494" t="str">
        <f t="shared" ca="1" si="17"/>
        <v>-</v>
      </c>
      <c r="O29" s="1494" t="str">
        <f t="shared" ca="1" si="18"/>
        <v>-</v>
      </c>
      <c r="P29" s="1494" t="str">
        <f t="shared" ca="1" si="19"/>
        <v>-</v>
      </c>
      <c r="Q29" s="1494" t="str">
        <f t="shared" ca="1" si="20"/>
        <v>-</v>
      </c>
      <c r="R29" s="847"/>
    </row>
    <row r="30" spans="1:18" s="1495" customFormat="1" ht="13.05" customHeight="1">
      <c r="A30" s="1495">
        <f t="shared" ca="1" si="21"/>
        <v>48</v>
      </c>
      <c r="C30" s="1496" t="str">
        <f t="shared" ca="1" si="6"/>
        <v>-</v>
      </c>
      <c r="D30" s="1496" t="str">
        <f t="shared" ca="1" si="7"/>
        <v>-</v>
      </c>
      <c r="E30" s="1496" t="str">
        <f t="shared" ca="1" si="8"/>
        <v>-</v>
      </c>
      <c r="F30" s="1496" t="str">
        <f t="shared" ca="1" si="9"/>
        <v>-</v>
      </c>
      <c r="G30" s="1496" t="str">
        <f t="shared" ca="1" si="10"/>
        <v>-</v>
      </c>
      <c r="H30" s="1496" t="str">
        <f t="shared" ca="1" si="11"/>
        <v>-</v>
      </c>
      <c r="I30" s="1496" t="str">
        <f t="shared" ca="1" si="12"/>
        <v>-</v>
      </c>
      <c r="J30" s="1496" t="str">
        <f t="shared" ca="1" si="13"/>
        <v>-</v>
      </c>
      <c r="K30" s="1496" t="str">
        <f t="shared" ca="1" si="14"/>
        <v>-</v>
      </c>
      <c r="L30" s="1496" t="str">
        <f t="shared" ca="1" si="15"/>
        <v>-</v>
      </c>
      <c r="M30" s="1496" t="str">
        <f t="shared" ca="1" si="16"/>
        <v>-</v>
      </c>
      <c r="N30" s="1496" t="str">
        <f t="shared" ca="1" si="17"/>
        <v>-</v>
      </c>
      <c r="O30" s="1496" t="str">
        <f t="shared" ca="1" si="18"/>
        <v>-</v>
      </c>
      <c r="P30" s="1496" t="str">
        <f t="shared" ca="1" si="19"/>
        <v>-</v>
      </c>
      <c r="Q30" s="1496" t="str">
        <f t="shared" ca="1" si="20"/>
        <v>-</v>
      </c>
      <c r="R30" s="1497"/>
    </row>
    <row r="31" spans="1:18" ht="13.05" customHeight="1">
      <c r="A31">
        <f t="shared" ca="1" si="21"/>
        <v>22</v>
      </c>
      <c r="B31" t="s">
        <v>6931</v>
      </c>
      <c r="C31" s="1494" t="str">
        <f t="shared" ca="1" si="6"/>
        <v>Ani</v>
      </c>
      <c r="D31" s="1494" t="str">
        <f t="shared" ca="1" si="7"/>
        <v>Créat</v>
      </c>
      <c r="E31" s="1494" t="str">
        <f t="shared" ca="1" si="8"/>
        <v>-</v>
      </c>
      <c r="F31" s="1494" t="str">
        <f t="shared" ca="1" si="9"/>
        <v>Ani</v>
      </c>
      <c r="G31" s="1494" t="str">
        <f t="shared" ca="1" si="10"/>
        <v>-</v>
      </c>
      <c r="H31" s="1494" t="str">
        <f t="shared" ca="1" si="11"/>
        <v>-</v>
      </c>
      <c r="I31" s="1494" t="str">
        <f t="shared" ca="1" si="12"/>
        <v>Créat</v>
      </c>
      <c r="J31" s="1494" t="str">
        <f t="shared" ca="1" si="13"/>
        <v>-</v>
      </c>
      <c r="K31" s="1494" t="str">
        <f t="shared" ca="1" si="14"/>
        <v>-</v>
      </c>
      <c r="L31" s="1494" t="str">
        <f t="shared" ca="1" si="15"/>
        <v>-</v>
      </c>
      <c r="M31" s="1494" t="str">
        <f t="shared" ca="1" si="16"/>
        <v>Ani</v>
      </c>
      <c r="N31" s="1494" t="str">
        <f t="shared" ca="1" si="17"/>
        <v>-</v>
      </c>
      <c r="O31" s="1494" t="str">
        <f t="shared" ca="1" si="18"/>
        <v>-</v>
      </c>
      <c r="P31" s="1494" t="str">
        <f t="shared" ca="1" si="19"/>
        <v>Créat</v>
      </c>
      <c r="Q31" s="1494" t="str">
        <f t="shared" ca="1" si="20"/>
        <v>Ani</v>
      </c>
      <c r="R31" s="847"/>
    </row>
    <row r="32" spans="1:18" s="1495" customFormat="1" ht="13.05" customHeight="1">
      <c r="A32" s="1495">
        <f t="shared" ca="1" si="21"/>
        <v>69</v>
      </c>
      <c r="C32" s="1496" t="str">
        <f t="shared" ca="1" si="6"/>
        <v>-</v>
      </c>
      <c r="D32" s="1496" t="str">
        <f t="shared" ca="1" si="7"/>
        <v>-</v>
      </c>
      <c r="E32" s="1496" t="str">
        <f t="shared" ca="1" si="8"/>
        <v>-</v>
      </c>
      <c r="F32" s="1496" t="str">
        <f t="shared" ca="1" si="9"/>
        <v>-</v>
      </c>
      <c r="G32" s="1496" t="str">
        <f t="shared" ca="1" si="10"/>
        <v>-</v>
      </c>
      <c r="H32" s="1496" t="str">
        <f t="shared" ca="1" si="11"/>
        <v>-</v>
      </c>
      <c r="I32" s="1496" t="str">
        <f t="shared" ca="1" si="12"/>
        <v>-</v>
      </c>
      <c r="J32" s="1496" t="str">
        <f t="shared" ca="1" si="13"/>
        <v>-</v>
      </c>
      <c r="K32" s="1496" t="str">
        <f t="shared" ca="1" si="14"/>
        <v>-</v>
      </c>
      <c r="L32" s="1496" t="str">
        <f t="shared" ca="1" si="15"/>
        <v>-</v>
      </c>
      <c r="M32" s="1496" t="str">
        <f t="shared" ca="1" si="16"/>
        <v>-</v>
      </c>
      <c r="N32" s="1496" t="str">
        <f t="shared" ca="1" si="17"/>
        <v>-</v>
      </c>
      <c r="O32" s="1496" t="str">
        <f t="shared" ca="1" si="18"/>
        <v>-</v>
      </c>
      <c r="P32" s="1496" t="str">
        <f t="shared" ca="1" si="19"/>
        <v>-</v>
      </c>
      <c r="Q32" s="1496" t="str">
        <f t="shared" ca="1" si="20"/>
        <v>-</v>
      </c>
      <c r="R32" s="1497"/>
    </row>
    <row r="33" spans="1:18" ht="13.05" customHeight="1">
      <c r="A33">
        <f t="shared" ca="1" si="21"/>
        <v>40</v>
      </c>
      <c r="B33" t="s">
        <v>6932</v>
      </c>
      <c r="C33" s="1494" t="str">
        <f t="shared" ca="1" si="6"/>
        <v>-</v>
      </c>
      <c r="D33" s="1494" t="str">
        <f t="shared" ca="1" si="7"/>
        <v>-</v>
      </c>
      <c r="E33" s="1494" t="str">
        <f t="shared" ca="1" si="8"/>
        <v>-</v>
      </c>
      <c r="F33" s="1494" t="str">
        <f t="shared" ca="1" si="9"/>
        <v>-</v>
      </c>
      <c r="G33" s="1494" t="str">
        <f t="shared" ca="1" si="10"/>
        <v>-</v>
      </c>
      <c r="H33" s="1494" t="str">
        <f t="shared" ca="1" si="11"/>
        <v>-</v>
      </c>
      <c r="I33" s="1494" t="str">
        <f t="shared" ca="1" si="12"/>
        <v>-</v>
      </c>
      <c r="J33" s="1494" t="str">
        <f t="shared" ca="1" si="13"/>
        <v>-</v>
      </c>
      <c r="K33" s="1494" t="str">
        <f t="shared" ca="1" si="14"/>
        <v>-</v>
      </c>
      <c r="L33" s="1494" t="str">
        <f t="shared" ca="1" si="15"/>
        <v>-</v>
      </c>
      <c r="M33" s="1494" t="str">
        <f t="shared" ca="1" si="16"/>
        <v>-</v>
      </c>
      <c r="N33" s="1494" t="str">
        <f t="shared" ca="1" si="17"/>
        <v>-</v>
      </c>
      <c r="O33" s="1494" t="str">
        <f t="shared" ca="1" si="18"/>
        <v>-</v>
      </c>
      <c r="P33" s="1494" t="str">
        <f t="shared" ca="1" si="19"/>
        <v>-</v>
      </c>
      <c r="Q33" s="1494" t="str">
        <f t="shared" ca="1" si="20"/>
        <v>-</v>
      </c>
      <c r="R33" s="847"/>
    </row>
    <row r="34" spans="1:18" s="1495" customFormat="1" ht="13.05" customHeight="1">
      <c r="A34" s="1495">
        <f t="shared" ca="1" si="21"/>
        <v>75</v>
      </c>
      <c r="C34" s="1496" t="str">
        <f t="shared" ca="1" si="6"/>
        <v>-</v>
      </c>
      <c r="D34" s="1496" t="str">
        <f t="shared" ca="1" si="7"/>
        <v>-</v>
      </c>
      <c r="E34" s="1496" t="str">
        <f t="shared" ca="1" si="8"/>
        <v>-</v>
      </c>
      <c r="F34" s="1496" t="str">
        <f t="shared" ca="1" si="9"/>
        <v>-</v>
      </c>
      <c r="G34" s="1496" t="str">
        <f t="shared" ca="1" si="10"/>
        <v>-</v>
      </c>
      <c r="H34" s="1496" t="str">
        <f t="shared" ca="1" si="11"/>
        <v>-</v>
      </c>
      <c r="I34" s="1496" t="str">
        <f t="shared" ca="1" si="12"/>
        <v>-</v>
      </c>
      <c r="J34" s="1496" t="str">
        <f t="shared" ca="1" si="13"/>
        <v>-</v>
      </c>
      <c r="K34" s="1496" t="str">
        <f t="shared" ca="1" si="14"/>
        <v>-</v>
      </c>
      <c r="L34" s="1496" t="str">
        <f t="shared" ca="1" si="15"/>
        <v>-</v>
      </c>
      <c r="M34" s="1496" t="str">
        <f t="shared" ca="1" si="16"/>
        <v>-</v>
      </c>
      <c r="N34" s="1496" t="str">
        <f t="shared" ca="1" si="17"/>
        <v>-</v>
      </c>
      <c r="O34" s="1496" t="str">
        <f t="shared" ca="1" si="18"/>
        <v>-</v>
      </c>
      <c r="P34" s="1496" t="str">
        <f t="shared" ca="1" si="19"/>
        <v>-</v>
      </c>
      <c r="Q34" s="1496" t="str">
        <f t="shared" ca="1" si="20"/>
        <v>-</v>
      </c>
      <c r="R34" s="1497"/>
    </row>
    <row r="35" spans="1:18" ht="13.05" customHeight="1">
      <c r="A35">
        <f t="shared" ca="1" si="21"/>
        <v>27</v>
      </c>
      <c r="B35" t="s">
        <v>6933</v>
      </c>
      <c r="C35" s="1494" t="str">
        <f t="shared" ca="1" si="6"/>
        <v>-</v>
      </c>
      <c r="D35" s="1494" t="str">
        <f t="shared" ca="1" si="7"/>
        <v>-</v>
      </c>
      <c r="E35" s="1494" t="str">
        <f t="shared" ca="1" si="8"/>
        <v>-</v>
      </c>
      <c r="F35" s="1494" t="str">
        <f t="shared" ca="1" si="9"/>
        <v>-</v>
      </c>
      <c r="G35" s="1494" t="str">
        <f t="shared" ca="1" si="10"/>
        <v>-</v>
      </c>
      <c r="H35" s="1494" t="str">
        <f t="shared" ca="1" si="11"/>
        <v>-</v>
      </c>
      <c r="I35" s="1494" t="str">
        <f t="shared" ca="1" si="12"/>
        <v>-</v>
      </c>
      <c r="J35" s="1494" t="str">
        <f t="shared" ca="1" si="13"/>
        <v>-</v>
      </c>
      <c r="K35" s="1494" t="str">
        <f t="shared" ca="1" si="14"/>
        <v>-</v>
      </c>
      <c r="L35" s="1494" t="str">
        <f t="shared" ca="1" si="15"/>
        <v>-</v>
      </c>
      <c r="M35" s="1494" t="str">
        <f t="shared" ca="1" si="16"/>
        <v>Créat</v>
      </c>
      <c r="N35" s="1494" t="str">
        <f t="shared" ca="1" si="17"/>
        <v>-</v>
      </c>
      <c r="O35" s="1494" t="str">
        <f t="shared" ca="1" si="18"/>
        <v>-</v>
      </c>
      <c r="P35" s="1494" t="str">
        <f t="shared" ca="1" si="19"/>
        <v>-</v>
      </c>
      <c r="Q35" s="1494" t="str">
        <f t="shared" ca="1" si="20"/>
        <v>-</v>
      </c>
      <c r="R35" s="847"/>
    </row>
    <row r="36" spans="1:18" s="1495" customFormat="1" ht="13.05" customHeight="1">
      <c r="A36" s="1495">
        <f t="shared" ca="1" si="21"/>
        <v>75</v>
      </c>
      <c r="C36" s="1496" t="str">
        <f t="shared" ca="1" si="6"/>
        <v>-</v>
      </c>
      <c r="D36" s="1496" t="str">
        <f t="shared" ca="1" si="7"/>
        <v>-</v>
      </c>
      <c r="E36" s="1496" t="str">
        <f t="shared" ca="1" si="8"/>
        <v>-</v>
      </c>
      <c r="F36" s="1496" t="str">
        <f t="shared" ca="1" si="9"/>
        <v>-</v>
      </c>
      <c r="G36" s="1496" t="str">
        <f t="shared" ca="1" si="10"/>
        <v>-</v>
      </c>
      <c r="H36" s="1496" t="str">
        <f t="shared" ca="1" si="11"/>
        <v>-</v>
      </c>
      <c r="I36" s="1496" t="str">
        <f t="shared" ca="1" si="12"/>
        <v>-</v>
      </c>
      <c r="J36" s="1496" t="str">
        <f t="shared" ca="1" si="13"/>
        <v>-</v>
      </c>
      <c r="K36" s="1496" t="str">
        <f t="shared" ca="1" si="14"/>
        <v>-</v>
      </c>
      <c r="L36" s="1496" t="str">
        <f t="shared" ca="1" si="15"/>
        <v>-</v>
      </c>
      <c r="M36" s="1496" t="str">
        <f t="shared" ca="1" si="16"/>
        <v>-</v>
      </c>
      <c r="N36" s="1496" t="str">
        <f t="shared" ca="1" si="17"/>
        <v>-</v>
      </c>
      <c r="O36" s="1496" t="str">
        <f t="shared" ca="1" si="18"/>
        <v>-</v>
      </c>
      <c r="P36" s="1496" t="str">
        <f t="shared" ca="1" si="19"/>
        <v>-</v>
      </c>
      <c r="Q36" s="1496" t="str">
        <f t="shared" ca="1" si="20"/>
        <v>-</v>
      </c>
      <c r="R36" s="1497"/>
    </row>
    <row r="37" spans="1:18" ht="13.05" customHeight="1">
      <c r="A37">
        <f t="shared" ca="1" si="21"/>
        <v>14</v>
      </c>
      <c r="B37" t="s">
        <v>6934</v>
      </c>
      <c r="C37" s="1494" t="str">
        <f t="shared" ca="1" si="6"/>
        <v>Hum</v>
      </c>
      <c r="D37" s="1494" t="str">
        <f t="shared" ca="1" si="7"/>
        <v>Ani</v>
      </c>
      <c r="E37" s="1494" t="str">
        <f t="shared" ca="1" si="8"/>
        <v>Créat</v>
      </c>
      <c r="F37" s="1494" t="str">
        <f t="shared" ca="1" si="9"/>
        <v>Hum</v>
      </c>
      <c r="G37" s="1494" t="str">
        <f t="shared" ca="1" si="10"/>
        <v>Ani</v>
      </c>
      <c r="H37" s="1494" t="str">
        <f t="shared" ca="1" si="11"/>
        <v>Créat</v>
      </c>
      <c r="I37" s="1494" t="str">
        <f t="shared" ca="1" si="12"/>
        <v>Ani</v>
      </c>
      <c r="J37" s="1494" t="str">
        <f t="shared" ca="1" si="13"/>
        <v>Créat</v>
      </c>
      <c r="K37" s="1494" t="str">
        <f t="shared" ca="1" si="14"/>
        <v>Ani</v>
      </c>
      <c r="L37" s="1494" t="str">
        <f t="shared" ca="1" si="15"/>
        <v>Créat</v>
      </c>
      <c r="M37" s="1494" t="str">
        <f t="shared" ca="1" si="16"/>
        <v>Hum</v>
      </c>
      <c r="N37" s="1494" t="str">
        <f t="shared" ca="1" si="17"/>
        <v>Ani</v>
      </c>
      <c r="O37" s="1494" t="str">
        <f t="shared" ca="1" si="18"/>
        <v>Créat</v>
      </c>
      <c r="P37" s="1494" t="str">
        <f t="shared" ca="1" si="19"/>
        <v>Ani</v>
      </c>
      <c r="Q37" s="1494" t="str">
        <f t="shared" ca="1" si="20"/>
        <v>Hum</v>
      </c>
      <c r="R37" s="847"/>
    </row>
    <row r="38" spans="1:18" s="1495" customFormat="1" ht="13.05" customHeight="1">
      <c r="A38" s="1495">
        <f t="shared" ca="1" si="21"/>
        <v>99</v>
      </c>
      <c r="C38" s="1496" t="str">
        <f t="shared" ca="1" si="6"/>
        <v>-</v>
      </c>
      <c r="D38" s="1496" t="str">
        <f t="shared" ca="1" si="7"/>
        <v>-</v>
      </c>
      <c r="E38" s="1496" t="str">
        <f t="shared" ca="1" si="8"/>
        <v>-</v>
      </c>
      <c r="F38" s="1496" t="str">
        <f t="shared" ca="1" si="9"/>
        <v>-</v>
      </c>
      <c r="G38" s="1496" t="str">
        <f t="shared" ca="1" si="10"/>
        <v>-</v>
      </c>
      <c r="H38" s="1496" t="str">
        <f t="shared" ca="1" si="11"/>
        <v>-</v>
      </c>
      <c r="I38" s="1496" t="str">
        <f t="shared" ca="1" si="12"/>
        <v>-</v>
      </c>
      <c r="J38" s="1496" t="str">
        <f t="shared" ca="1" si="13"/>
        <v>-</v>
      </c>
      <c r="K38" s="1496" t="str">
        <f t="shared" ca="1" si="14"/>
        <v>-</v>
      </c>
      <c r="L38" s="1496" t="str">
        <f t="shared" ca="1" si="15"/>
        <v>-</v>
      </c>
      <c r="M38" s="1496" t="str">
        <f t="shared" ca="1" si="16"/>
        <v>-</v>
      </c>
      <c r="N38" s="1496" t="str">
        <f t="shared" ca="1" si="17"/>
        <v>-</v>
      </c>
      <c r="O38" s="1496" t="str">
        <f t="shared" ca="1" si="18"/>
        <v>-</v>
      </c>
      <c r="P38" s="1496" t="str">
        <f t="shared" ca="1" si="19"/>
        <v>-</v>
      </c>
      <c r="Q38" s="1496" t="str">
        <f t="shared" ca="1" si="20"/>
        <v>-</v>
      </c>
      <c r="R38" s="1497"/>
    </row>
    <row r="39" spans="1:18" ht="13.05" customHeight="1">
      <c r="A39">
        <f t="shared" ca="1" si="21"/>
        <v>10</v>
      </c>
      <c r="B39" t="s">
        <v>6935</v>
      </c>
      <c r="C39" s="1494" t="str">
        <f t="shared" ca="1" si="6"/>
        <v>Hum</v>
      </c>
      <c r="D39" s="1494" t="str">
        <f t="shared" ca="1" si="7"/>
        <v>Hum</v>
      </c>
      <c r="E39" s="1494" t="str">
        <f t="shared" ca="1" si="8"/>
        <v>Ani</v>
      </c>
      <c r="F39" s="1494" t="str">
        <f t="shared" ca="1" si="9"/>
        <v>Hum</v>
      </c>
      <c r="G39" s="1494" t="str">
        <f t="shared" ca="1" si="10"/>
        <v>Hum</v>
      </c>
      <c r="H39" s="1494" t="str">
        <f t="shared" ca="1" si="11"/>
        <v>Ani</v>
      </c>
      <c r="I39" s="1494" t="str">
        <f t="shared" ca="1" si="12"/>
        <v>Ani</v>
      </c>
      <c r="J39" s="1494" t="str">
        <f t="shared" ca="1" si="13"/>
        <v>Créat</v>
      </c>
      <c r="K39" s="1494" t="str">
        <f t="shared" ca="1" si="14"/>
        <v>Hum</v>
      </c>
      <c r="L39" s="1494" t="str">
        <f t="shared" ca="1" si="15"/>
        <v>Ani</v>
      </c>
      <c r="M39" s="1494" t="str">
        <f t="shared" ca="1" si="16"/>
        <v>Hum</v>
      </c>
      <c r="N39" s="1494" t="str">
        <f t="shared" ca="1" si="17"/>
        <v>Hum</v>
      </c>
      <c r="O39" s="1494" t="str">
        <f t="shared" ca="1" si="18"/>
        <v>Ani</v>
      </c>
      <c r="P39" s="1494" t="str">
        <f t="shared" ca="1" si="19"/>
        <v>Hum</v>
      </c>
      <c r="Q39" s="1494" t="str">
        <f t="shared" ca="1" si="20"/>
        <v>évèn.</v>
      </c>
      <c r="R39" s="847"/>
    </row>
    <row r="40" spans="1:18" s="1495" customFormat="1" ht="13.05" customHeight="1">
      <c r="A40" s="1495">
        <f t="shared" ca="1" si="21"/>
        <v>49</v>
      </c>
      <c r="C40" s="1496" t="str">
        <f t="shared" ca="1" si="6"/>
        <v>-</v>
      </c>
      <c r="D40" s="1496" t="str">
        <f t="shared" ca="1" si="7"/>
        <v>-</v>
      </c>
      <c r="E40" s="1496" t="str">
        <f t="shared" ca="1" si="8"/>
        <v>-</v>
      </c>
      <c r="F40" s="1496" t="str">
        <f t="shared" ca="1" si="9"/>
        <v>-</v>
      </c>
      <c r="G40" s="1496" t="str">
        <f t="shared" ca="1" si="10"/>
        <v>-</v>
      </c>
      <c r="H40" s="1496" t="str">
        <f t="shared" ca="1" si="11"/>
        <v>-</v>
      </c>
      <c r="I40" s="1496" t="str">
        <f t="shared" ca="1" si="12"/>
        <v>-</v>
      </c>
      <c r="J40" s="1496" t="str">
        <f t="shared" ca="1" si="13"/>
        <v>-</v>
      </c>
      <c r="K40" s="1496" t="str">
        <f t="shared" ca="1" si="14"/>
        <v>-</v>
      </c>
      <c r="L40" s="1496" t="str">
        <f t="shared" ca="1" si="15"/>
        <v>-</v>
      </c>
      <c r="M40" s="1496" t="str">
        <f t="shared" ca="1" si="16"/>
        <v>-</v>
      </c>
      <c r="N40" s="1496" t="str">
        <f t="shared" ca="1" si="17"/>
        <v>-</v>
      </c>
      <c r="O40" s="1496" t="str">
        <f t="shared" ca="1" si="18"/>
        <v>-</v>
      </c>
      <c r="P40" s="1496" t="str">
        <f t="shared" ca="1" si="19"/>
        <v>-</v>
      </c>
      <c r="Q40" s="1496" t="str">
        <f t="shared" ca="1" si="20"/>
        <v>-</v>
      </c>
      <c r="R40" s="1497"/>
    </row>
    <row r="41" spans="1:18" ht="13.05" customHeight="1">
      <c r="A41">
        <f t="shared" ca="1" si="21"/>
        <v>3</v>
      </c>
      <c r="B41" t="s">
        <v>6936</v>
      </c>
      <c r="C41" s="1494" t="str">
        <f t="shared" ca="1" si="6"/>
        <v>Lieu</v>
      </c>
      <c r="D41" s="1494" t="str">
        <f t="shared" ca="1" si="7"/>
        <v>Lieu</v>
      </c>
      <c r="E41" s="1494" t="str">
        <f t="shared" ca="1" si="8"/>
        <v>évèn.</v>
      </c>
      <c r="F41" s="1494" t="str">
        <f t="shared" ca="1" si="9"/>
        <v>Lieu</v>
      </c>
      <c r="G41" s="1494" t="str">
        <f t="shared" ca="1" si="10"/>
        <v>évèn.</v>
      </c>
      <c r="H41" s="1494" t="str">
        <f t="shared" ca="1" si="11"/>
        <v>évèn.</v>
      </c>
      <c r="I41" s="1494" t="str">
        <f t="shared" ca="1" si="12"/>
        <v>évèn.</v>
      </c>
      <c r="J41" s="1494" t="str">
        <f t="shared" ca="1" si="13"/>
        <v>évèn.</v>
      </c>
      <c r="K41" s="1494" t="str">
        <f t="shared" ca="1" si="14"/>
        <v>Lieu</v>
      </c>
      <c r="L41" s="1494" t="str">
        <f t="shared" ca="1" si="15"/>
        <v>évèn.</v>
      </c>
      <c r="M41" s="1494" t="str">
        <f t="shared" ca="1" si="16"/>
        <v>Lieu</v>
      </c>
      <c r="N41" s="1494" t="str">
        <f t="shared" ca="1" si="17"/>
        <v>Lieu</v>
      </c>
      <c r="O41" s="1494" t="str">
        <f t="shared" ca="1" si="18"/>
        <v>évèn.</v>
      </c>
      <c r="P41" s="1494" t="str">
        <f t="shared" ca="1" si="19"/>
        <v>évèn.</v>
      </c>
      <c r="Q41" s="1494" t="str">
        <f t="shared" ca="1" si="20"/>
        <v>Lieu</v>
      </c>
      <c r="R41" s="847"/>
    </row>
    <row r="42" spans="1:18" s="1495" customFormat="1" ht="13.05" customHeight="1">
      <c r="A42" s="1495">
        <f t="shared" ca="1" si="21"/>
        <v>73</v>
      </c>
      <c r="C42" s="1496" t="str">
        <f t="shared" ca="1" si="6"/>
        <v>-</v>
      </c>
      <c r="D42" s="1496" t="str">
        <f t="shared" ca="1" si="7"/>
        <v>-</v>
      </c>
      <c r="E42" s="1496" t="str">
        <f t="shared" ca="1" si="8"/>
        <v>-</v>
      </c>
      <c r="F42" s="1496" t="str">
        <f t="shared" ca="1" si="9"/>
        <v>-</v>
      </c>
      <c r="G42" s="1496" t="str">
        <f t="shared" ca="1" si="10"/>
        <v>-</v>
      </c>
      <c r="H42" s="1496" t="str">
        <f t="shared" ca="1" si="11"/>
        <v>-</v>
      </c>
      <c r="I42" s="1496" t="str">
        <f t="shared" ca="1" si="12"/>
        <v>-</v>
      </c>
      <c r="J42" s="1496" t="str">
        <f t="shared" ca="1" si="13"/>
        <v>-</v>
      </c>
      <c r="K42" s="1496" t="str">
        <f t="shared" ca="1" si="14"/>
        <v>-</v>
      </c>
      <c r="L42" s="1496" t="str">
        <f t="shared" ca="1" si="15"/>
        <v>-</v>
      </c>
      <c r="M42" s="1496" t="str">
        <f t="shared" ca="1" si="16"/>
        <v>-</v>
      </c>
      <c r="N42" s="1496" t="str">
        <f t="shared" ca="1" si="17"/>
        <v>-</v>
      </c>
      <c r="O42" s="1496" t="str">
        <f t="shared" ca="1" si="18"/>
        <v>-</v>
      </c>
      <c r="P42" s="1496" t="str">
        <f t="shared" ca="1" si="19"/>
        <v>-</v>
      </c>
      <c r="Q42" s="1496" t="str">
        <f t="shared" ca="1" si="20"/>
        <v>-</v>
      </c>
      <c r="R42" s="1497"/>
    </row>
    <row r="43" spans="1:18" ht="13.05" customHeight="1">
      <c r="A43">
        <f t="shared" ca="1" si="21"/>
        <v>69</v>
      </c>
      <c r="B43" t="s">
        <v>6937</v>
      </c>
      <c r="C43" s="1494" t="str">
        <f t="shared" ca="1" si="6"/>
        <v>-</v>
      </c>
      <c r="D43" s="1494" t="str">
        <f t="shared" ca="1" si="7"/>
        <v>-</v>
      </c>
      <c r="E43" s="1494" t="str">
        <f t="shared" ca="1" si="8"/>
        <v>-</v>
      </c>
      <c r="F43" s="1494" t="str">
        <f t="shared" ca="1" si="9"/>
        <v>-</v>
      </c>
      <c r="G43" s="1494" t="str">
        <f t="shared" ca="1" si="10"/>
        <v>-</v>
      </c>
      <c r="H43" s="1494" t="str">
        <f t="shared" ca="1" si="11"/>
        <v>-</v>
      </c>
      <c r="I43" s="1494" t="str">
        <f t="shared" ca="1" si="12"/>
        <v>-</v>
      </c>
      <c r="J43" s="1494" t="str">
        <f t="shared" ca="1" si="13"/>
        <v>-</v>
      </c>
      <c r="K43" s="1494" t="str">
        <f t="shared" ca="1" si="14"/>
        <v>-</v>
      </c>
      <c r="L43" s="1494" t="str">
        <f t="shared" ca="1" si="15"/>
        <v>-</v>
      </c>
      <c r="M43" s="1494" t="str">
        <f t="shared" ca="1" si="16"/>
        <v>-</v>
      </c>
      <c r="N43" s="1494" t="str">
        <f t="shared" ca="1" si="17"/>
        <v>-</v>
      </c>
      <c r="O43" s="1494" t="str">
        <f t="shared" ca="1" si="18"/>
        <v>-</v>
      </c>
      <c r="P43" s="1494" t="str">
        <f t="shared" ca="1" si="19"/>
        <v>-</v>
      </c>
      <c r="Q43" s="1494" t="str">
        <f t="shared" ca="1" si="20"/>
        <v>-</v>
      </c>
      <c r="R43" s="847"/>
    </row>
    <row r="44" spans="1:18" s="1495" customFormat="1" ht="13.05" customHeight="1">
      <c r="A44" s="1495">
        <f t="shared" ca="1" si="21"/>
        <v>90</v>
      </c>
      <c r="C44" s="1496" t="str">
        <f t="shared" ca="1" si="6"/>
        <v>-</v>
      </c>
      <c r="D44" s="1496" t="str">
        <f t="shared" ca="1" si="7"/>
        <v>-</v>
      </c>
      <c r="E44" s="1496" t="str">
        <f t="shared" ca="1" si="8"/>
        <v>-</v>
      </c>
      <c r="F44" s="1496" t="str">
        <f t="shared" ca="1" si="9"/>
        <v>-</v>
      </c>
      <c r="G44" s="1496" t="str">
        <f t="shared" ca="1" si="10"/>
        <v>-</v>
      </c>
      <c r="H44" s="1496" t="str">
        <f t="shared" ca="1" si="11"/>
        <v>-</v>
      </c>
      <c r="I44" s="1496" t="str">
        <f t="shared" ca="1" si="12"/>
        <v>-</v>
      </c>
      <c r="J44" s="1496" t="str">
        <f t="shared" ca="1" si="13"/>
        <v>-</v>
      </c>
      <c r="K44" s="1496" t="str">
        <f t="shared" ca="1" si="14"/>
        <v>-</v>
      </c>
      <c r="L44" s="1496" t="str">
        <f t="shared" ca="1" si="15"/>
        <v>-</v>
      </c>
      <c r="M44" s="1496" t="str">
        <f t="shared" ca="1" si="16"/>
        <v>-</v>
      </c>
      <c r="N44" s="1496" t="str">
        <f t="shared" ca="1" si="17"/>
        <v>-</v>
      </c>
      <c r="O44" s="1496" t="str">
        <f t="shared" ca="1" si="18"/>
        <v>-</v>
      </c>
      <c r="P44" s="1496" t="str">
        <f t="shared" ca="1" si="19"/>
        <v>-</v>
      </c>
      <c r="Q44" s="1496" t="str">
        <f t="shared" ca="1" si="20"/>
        <v>-</v>
      </c>
      <c r="R44" s="1497"/>
    </row>
    <row r="45" spans="1:18" ht="13.05" customHeight="1">
      <c r="A45">
        <f t="shared" ca="1" si="21"/>
        <v>20</v>
      </c>
      <c r="B45" t="s">
        <v>6938</v>
      </c>
      <c r="C45" s="1494" t="str">
        <f t="shared" ca="1" si="6"/>
        <v>Ani</v>
      </c>
      <c r="D45" s="1494" t="str">
        <f t="shared" ca="1" si="7"/>
        <v>Ani</v>
      </c>
      <c r="E45" s="1494" t="str">
        <f t="shared" ca="1" si="8"/>
        <v>-</v>
      </c>
      <c r="F45" s="1494" t="str">
        <f t="shared" ca="1" si="9"/>
        <v>Ani</v>
      </c>
      <c r="G45" s="1494" t="str">
        <f t="shared" ca="1" si="10"/>
        <v>Créat</v>
      </c>
      <c r="H45" s="1494" t="str">
        <f t="shared" ca="1" si="11"/>
        <v>-</v>
      </c>
      <c r="I45" s="1494" t="str">
        <f t="shared" ca="1" si="12"/>
        <v>Créat</v>
      </c>
      <c r="J45" s="1494" t="str">
        <f t="shared" ca="1" si="13"/>
        <v>-</v>
      </c>
      <c r="K45" s="1494" t="str">
        <f t="shared" ca="1" si="14"/>
        <v>-</v>
      </c>
      <c r="L45" s="1494" t="str">
        <f t="shared" ca="1" si="15"/>
        <v>-</v>
      </c>
      <c r="M45" s="1494" t="str">
        <f t="shared" ca="1" si="16"/>
        <v>Ani</v>
      </c>
      <c r="N45" s="1494" t="str">
        <f t="shared" ca="1" si="17"/>
        <v>-</v>
      </c>
      <c r="O45" s="1494" t="str">
        <f t="shared" ca="1" si="18"/>
        <v>-</v>
      </c>
      <c r="P45" s="1494" t="str">
        <f t="shared" ca="1" si="19"/>
        <v>Ani</v>
      </c>
      <c r="Q45" s="1494" t="str">
        <f t="shared" ca="1" si="20"/>
        <v>Ani</v>
      </c>
      <c r="R45" s="847"/>
    </row>
    <row r="46" spans="1:18" s="1495" customFormat="1" ht="13.05" customHeight="1">
      <c r="A46" s="1495">
        <f t="shared" ca="1" si="21"/>
        <v>45</v>
      </c>
      <c r="C46" s="1496" t="str">
        <f t="shared" ca="1" si="6"/>
        <v>-</v>
      </c>
      <c r="D46" s="1496" t="str">
        <f t="shared" ca="1" si="7"/>
        <v>-</v>
      </c>
      <c r="E46" s="1496" t="str">
        <f t="shared" ca="1" si="8"/>
        <v>-</v>
      </c>
      <c r="F46" s="1496" t="str">
        <f t="shared" ca="1" si="9"/>
        <v>-</v>
      </c>
      <c r="G46" s="1496" t="str">
        <f t="shared" ca="1" si="10"/>
        <v>-</v>
      </c>
      <c r="H46" s="1496" t="str">
        <f t="shared" ca="1" si="11"/>
        <v>-</v>
      </c>
      <c r="I46" s="1496" t="str">
        <f t="shared" ca="1" si="12"/>
        <v>-</v>
      </c>
      <c r="J46" s="1496" t="str">
        <f t="shared" ca="1" si="13"/>
        <v>-</v>
      </c>
      <c r="K46" s="1496" t="str">
        <f t="shared" ca="1" si="14"/>
        <v>-</v>
      </c>
      <c r="L46" s="1496" t="str">
        <f t="shared" ca="1" si="15"/>
        <v>-</v>
      </c>
      <c r="M46" s="1496" t="str">
        <f t="shared" ca="1" si="16"/>
        <v>-</v>
      </c>
      <c r="N46" s="1496" t="str">
        <f t="shared" ca="1" si="17"/>
        <v>-</v>
      </c>
      <c r="O46" s="1496" t="str">
        <f t="shared" ca="1" si="18"/>
        <v>-</v>
      </c>
      <c r="P46" s="1496" t="str">
        <f t="shared" ca="1" si="19"/>
        <v>-</v>
      </c>
      <c r="Q46" s="1496" t="str">
        <f t="shared" ca="1" si="20"/>
        <v>-</v>
      </c>
      <c r="R46" s="1497"/>
    </row>
    <row r="47" spans="1:18" ht="13.05" customHeight="1">
      <c r="A47">
        <f t="shared" ca="1" si="21"/>
        <v>11</v>
      </c>
      <c r="B47" t="s">
        <v>6939</v>
      </c>
      <c r="C47" s="1494" t="str">
        <f t="shared" ca="1" si="6"/>
        <v>Hum</v>
      </c>
      <c r="D47" s="1494" t="str">
        <f t="shared" ca="1" si="7"/>
        <v>Hum</v>
      </c>
      <c r="E47" s="1494" t="str">
        <f t="shared" ca="1" si="8"/>
        <v>Ani</v>
      </c>
      <c r="F47" s="1494" t="str">
        <f t="shared" ca="1" si="9"/>
        <v>Hum</v>
      </c>
      <c r="G47" s="1494" t="str">
        <f t="shared" ca="1" si="10"/>
        <v>Ani</v>
      </c>
      <c r="H47" s="1494" t="str">
        <f t="shared" ca="1" si="11"/>
        <v>Ani</v>
      </c>
      <c r="I47" s="1494" t="str">
        <f t="shared" ca="1" si="12"/>
        <v>Ani</v>
      </c>
      <c r="J47" s="1494" t="str">
        <f t="shared" ca="1" si="13"/>
        <v>Créat</v>
      </c>
      <c r="K47" s="1494" t="str">
        <f t="shared" ca="1" si="14"/>
        <v>Hum</v>
      </c>
      <c r="L47" s="1494" t="str">
        <f t="shared" ca="1" si="15"/>
        <v>Ani</v>
      </c>
      <c r="M47" s="1494" t="str">
        <f t="shared" ca="1" si="16"/>
        <v>Hum</v>
      </c>
      <c r="N47" s="1494" t="str">
        <f t="shared" ca="1" si="17"/>
        <v>Hum</v>
      </c>
      <c r="O47" s="1494" t="str">
        <f t="shared" ca="1" si="18"/>
        <v>Ani</v>
      </c>
      <c r="P47" s="1494" t="str">
        <f t="shared" ca="1" si="19"/>
        <v>Hum</v>
      </c>
      <c r="Q47" s="1494" t="str">
        <f t="shared" ca="1" si="20"/>
        <v>Hum</v>
      </c>
      <c r="R47" s="847"/>
    </row>
    <row r="48" spans="1:18" s="1495" customFormat="1" ht="13.05" customHeight="1">
      <c r="A48" s="1495">
        <f t="shared" ca="1" si="21"/>
        <v>98</v>
      </c>
      <c r="C48" s="1496" t="str">
        <f t="shared" ca="1" si="6"/>
        <v>-</v>
      </c>
      <c r="D48" s="1496" t="str">
        <f t="shared" ca="1" si="7"/>
        <v>-</v>
      </c>
      <c r="E48" s="1496" t="str">
        <f t="shared" ca="1" si="8"/>
        <v>-</v>
      </c>
      <c r="F48" s="1496" t="str">
        <f t="shared" ca="1" si="9"/>
        <v>-</v>
      </c>
      <c r="G48" s="1496" t="str">
        <f t="shared" ca="1" si="10"/>
        <v>-</v>
      </c>
      <c r="H48" s="1496" t="str">
        <f t="shared" ca="1" si="11"/>
        <v>-</v>
      </c>
      <c r="I48" s="1496" t="str">
        <f t="shared" ca="1" si="12"/>
        <v>-</v>
      </c>
      <c r="J48" s="1496" t="str">
        <f t="shared" ca="1" si="13"/>
        <v>-</v>
      </c>
      <c r="K48" s="1496" t="str">
        <f t="shared" ca="1" si="14"/>
        <v>-</v>
      </c>
      <c r="L48" s="1496" t="str">
        <f t="shared" ca="1" si="15"/>
        <v>-</v>
      </c>
      <c r="M48" s="1496" t="str">
        <f t="shared" ca="1" si="16"/>
        <v>-</v>
      </c>
      <c r="N48" s="1496" t="str">
        <f t="shared" ca="1" si="17"/>
        <v>-</v>
      </c>
      <c r="O48" s="1496" t="str">
        <f t="shared" ca="1" si="18"/>
        <v>-</v>
      </c>
      <c r="P48" s="1496" t="str">
        <f t="shared" ca="1" si="19"/>
        <v>-</v>
      </c>
      <c r="Q48" s="1496" t="str">
        <f t="shared" ca="1" si="20"/>
        <v>-</v>
      </c>
      <c r="R48" s="1497"/>
    </row>
    <row r="49" spans="1:18" ht="13.05" customHeight="1">
      <c r="A49">
        <f t="shared" ca="1" si="21"/>
        <v>53</v>
      </c>
      <c r="B49" t="s">
        <v>6940</v>
      </c>
      <c r="C49" s="1494" t="str">
        <f t="shared" ca="1" si="6"/>
        <v>-</v>
      </c>
      <c r="D49" s="1494" t="str">
        <f t="shared" ca="1" si="7"/>
        <v>-</v>
      </c>
      <c r="E49" s="1494" t="str">
        <f t="shared" ca="1" si="8"/>
        <v>-</v>
      </c>
      <c r="F49" s="1494" t="str">
        <f t="shared" ca="1" si="9"/>
        <v>-</v>
      </c>
      <c r="G49" s="1494" t="str">
        <f t="shared" ca="1" si="10"/>
        <v>-</v>
      </c>
      <c r="H49" s="1494" t="str">
        <f t="shared" ca="1" si="11"/>
        <v>-</v>
      </c>
      <c r="I49" s="1494" t="str">
        <f t="shared" ca="1" si="12"/>
        <v>-</v>
      </c>
      <c r="J49" s="1494" t="str">
        <f t="shared" ca="1" si="13"/>
        <v>-</v>
      </c>
      <c r="K49" s="1494" t="str">
        <f t="shared" ca="1" si="14"/>
        <v>-</v>
      </c>
      <c r="L49" s="1494" t="str">
        <f t="shared" ca="1" si="15"/>
        <v>-</v>
      </c>
      <c r="M49" s="1494" t="str">
        <f t="shared" ca="1" si="16"/>
        <v>-</v>
      </c>
      <c r="N49" s="1494" t="str">
        <f t="shared" ca="1" si="17"/>
        <v>-</v>
      </c>
      <c r="O49" s="1494" t="str">
        <f t="shared" ca="1" si="18"/>
        <v>-</v>
      </c>
      <c r="P49" s="1494" t="str">
        <f t="shared" ca="1" si="19"/>
        <v>-</v>
      </c>
      <c r="Q49" s="1494" t="str">
        <f t="shared" ca="1" si="20"/>
        <v>-</v>
      </c>
      <c r="R49" s="847"/>
    </row>
    <row r="50" spans="1:18" s="1495" customFormat="1" ht="13.05" customHeight="1">
      <c r="A50" s="1495">
        <f t="shared" ca="1" si="21"/>
        <v>87</v>
      </c>
      <c r="C50" s="1496" t="str">
        <f t="shared" ca="1" si="6"/>
        <v>-</v>
      </c>
      <c r="D50" s="1496" t="str">
        <f t="shared" ca="1" si="7"/>
        <v>-</v>
      </c>
      <c r="E50" s="1496" t="str">
        <f t="shared" ca="1" si="8"/>
        <v>-</v>
      </c>
      <c r="F50" s="1496" t="str">
        <f t="shared" ca="1" si="9"/>
        <v>-</v>
      </c>
      <c r="G50" s="1496" t="str">
        <f t="shared" ca="1" si="10"/>
        <v>-</v>
      </c>
      <c r="H50" s="1496" t="str">
        <f t="shared" ca="1" si="11"/>
        <v>-</v>
      </c>
      <c r="I50" s="1496" t="str">
        <f t="shared" ca="1" si="12"/>
        <v>-</v>
      </c>
      <c r="J50" s="1496" t="str">
        <f t="shared" ca="1" si="13"/>
        <v>-</v>
      </c>
      <c r="K50" s="1496" t="str">
        <f t="shared" ca="1" si="14"/>
        <v>-</v>
      </c>
      <c r="L50" s="1496" t="str">
        <f t="shared" ca="1" si="15"/>
        <v>-</v>
      </c>
      <c r="M50" s="1496" t="str">
        <f t="shared" ca="1" si="16"/>
        <v>-</v>
      </c>
      <c r="N50" s="1496" t="str">
        <f t="shared" ca="1" si="17"/>
        <v>-</v>
      </c>
      <c r="O50" s="1496" t="str">
        <f t="shared" ca="1" si="18"/>
        <v>-</v>
      </c>
      <c r="P50" s="1496" t="str">
        <f t="shared" ca="1" si="19"/>
        <v>-</v>
      </c>
      <c r="Q50" s="1496" t="str">
        <f t="shared" ca="1" si="20"/>
        <v>-</v>
      </c>
      <c r="R50" s="1497"/>
    </row>
    <row r="51" spans="1:18" ht="13.05" customHeight="1">
      <c r="A51">
        <f t="shared" ca="1" si="21"/>
        <v>40</v>
      </c>
      <c r="B51" t="s">
        <v>6941</v>
      </c>
      <c r="C51" s="1494" t="str">
        <f t="shared" ca="1" si="6"/>
        <v>-</v>
      </c>
      <c r="D51" s="1494" t="str">
        <f t="shared" ca="1" si="7"/>
        <v>-</v>
      </c>
      <c r="E51" s="1494" t="str">
        <f t="shared" ca="1" si="8"/>
        <v>-</v>
      </c>
      <c r="F51" s="1494" t="str">
        <f t="shared" ca="1" si="9"/>
        <v>-</v>
      </c>
      <c r="G51" s="1494" t="str">
        <f t="shared" ca="1" si="10"/>
        <v>-</v>
      </c>
      <c r="H51" s="1494" t="str">
        <f t="shared" ca="1" si="11"/>
        <v>-</v>
      </c>
      <c r="I51" s="1494" t="str">
        <f t="shared" ca="1" si="12"/>
        <v>-</v>
      </c>
      <c r="J51" s="1494" t="str">
        <f t="shared" ca="1" si="13"/>
        <v>-</v>
      </c>
      <c r="K51" s="1494" t="str">
        <f t="shared" ca="1" si="14"/>
        <v>-</v>
      </c>
      <c r="L51" s="1494" t="str">
        <f t="shared" ca="1" si="15"/>
        <v>-</v>
      </c>
      <c r="M51" s="1494" t="str">
        <f t="shared" ca="1" si="16"/>
        <v>-</v>
      </c>
      <c r="N51" s="1494" t="str">
        <f t="shared" ca="1" si="17"/>
        <v>-</v>
      </c>
      <c r="O51" s="1494" t="str">
        <f t="shared" ca="1" si="18"/>
        <v>-</v>
      </c>
      <c r="P51" s="1494" t="str">
        <f t="shared" ca="1" si="19"/>
        <v>-</v>
      </c>
      <c r="Q51" s="1494" t="str">
        <f t="shared" ca="1" si="20"/>
        <v>-</v>
      </c>
      <c r="R51" s="847"/>
    </row>
    <row r="52" spans="1:18" s="1495" customFormat="1" ht="13.05" customHeight="1">
      <c r="A52" s="1495">
        <f t="shared" ca="1" si="21"/>
        <v>13</v>
      </c>
      <c r="C52" s="1496" t="str">
        <f t="shared" ca="1" si="6"/>
        <v>Hum</v>
      </c>
      <c r="D52" s="1496" t="str">
        <f t="shared" ca="1" si="7"/>
        <v>Hum</v>
      </c>
      <c r="E52" s="1496" t="str">
        <f t="shared" ca="1" si="8"/>
        <v>Ani</v>
      </c>
      <c r="F52" s="1496" t="str">
        <f t="shared" ca="1" si="9"/>
        <v>Hum</v>
      </c>
      <c r="G52" s="1496" t="str">
        <f t="shared" ca="1" si="10"/>
        <v>Ani</v>
      </c>
      <c r="H52" s="1496" t="str">
        <f t="shared" ca="1" si="11"/>
        <v>Ani</v>
      </c>
      <c r="I52" s="1496" t="str">
        <f t="shared" ca="1" si="12"/>
        <v>Ani</v>
      </c>
      <c r="J52" s="1496" t="str">
        <f t="shared" ca="1" si="13"/>
        <v>Créat</v>
      </c>
      <c r="K52" s="1496" t="str">
        <f t="shared" ca="1" si="14"/>
        <v>Ani</v>
      </c>
      <c r="L52" s="1496" t="str">
        <f t="shared" ca="1" si="15"/>
        <v>Créat</v>
      </c>
      <c r="M52" s="1496" t="str">
        <f t="shared" ca="1" si="16"/>
        <v>Hum</v>
      </c>
      <c r="N52" s="1496" t="str">
        <f t="shared" ca="1" si="17"/>
        <v>Ani</v>
      </c>
      <c r="O52" s="1496" t="str">
        <f t="shared" ca="1" si="18"/>
        <v>Ani</v>
      </c>
      <c r="P52" s="1496" t="str">
        <f t="shared" ca="1" si="19"/>
        <v>Ani</v>
      </c>
      <c r="Q52" s="1496" t="str">
        <f t="shared" ca="1" si="20"/>
        <v>Hum</v>
      </c>
      <c r="R52" s="1497"/>
    </row>
    <row r="53" spans="1:18" ht="13.05" customHeight="1">
      <c r="A53">
        <f t="shared" ca="1" si="21"/>
        <v>1</v>
      </c>
      <c r="B53" t="s">
        <v>6942</v>
      </c>
      <c r="C53" s="1494" t="str">
        <f t="shared" ca="1" si="6"/>
        <v>Lieu</v>
      </c>
      <c r="D53" s="1494" t="str">
        <f t="shared" ca="1" si="7"/>
        <v>Lieu</v>
      </c>
      <c r="E53" s="1494" t="str">
        <f t="shared" ca="1" si="8"/>
        <v>Lieu</v>
      </c>
      <c r="F53" s="1494" t="str">
        <f t="shared" ca="1" si="9"/>
        <v>Lieu</v>
      </c>
      <c r="G53" s="1494" t="str">
        <f t="shared" ca="1" si="10"/>
        <v>Lieu</v>
      </c>
      <c r="H53" s="1494" t="str">
        <f t="shared" ca="1" si="11"/>
        <v>Lieu</v>
      </c>
      <c r="I53" s="1494" t="str">
        <f t="shared" ca="1" si="12"/>
        <v>Lieu</v>
      </c>
      <c r="J53" s="1494" t="str">
        <f t="shared" ca="1" si="13"/>
        <v>Lieu</v>
      </c>
      <c r="K53" s="1494" t="str">
        <f t="shared" ca="1" si="14"/>
        <v>Lieu</v>
      </c>
      <c r="L53" s="1494" t="str">
        <f t="shared" ca="1" si="15"/>
        <v>Lieu</v>
      </c>
      <c r="M53" s="1494" t="str">
        <f t="shared" ca="1" si="16"/>
        <v>Lieu</v>
      </c>
      <c r="N53" s="1494" t="str">
        <f t="shared" ca="1" si="17"/>
        <v>Lieu</v>
      </c>
      <c r="O53" s="1494" t="str">
        <f t="shared" ca="1" si="18"/>
        <v>Lieu</v>
      </c>
      <c r="P53" s="1494" t="str">
        <f t="shared" ca="1" si="19"/>
        <v>Lieu</v>
      </c>
      <c r="Q53" s="1494" t="str">
        <f t="shared" ca="1" si="20"/>
        <v>Lieu</v>
      </c>
      <c r="R53" s="847"/>
    </row>
    <row r="54" spans="1:18" s="1495" customFormat="1" ht="13.05" customHeight="1">
      <c r="A54" s="1495">
        <f t="shared" ca="1" si="21"/>
        <v>54</v>
      </c>
      <c r="C54" s="1496" t="str">
        <f t="shared" ca="1" si="6"/>
        <v>-</v>
      </c>
      <c r="D54" s="1496" t="str">
        <f t="shared" ca="1" si="7"/>
        <v>-</v>
      </c>
      <c r="E54" s="1496" t="str">
        <f t="shared" ca="1" si="8"/>
        <v>-</v>
      </c>
      <c r="F54" s="1496" t="str">
        <f t="shared" ca="1" si="9"/>
        <v>-</v>
      </c>
      <c r="G54" s="1496" t="str">
        <f t="shared" ca="1" si="10"/>
        <v>-</v>
      </c>
      <c r="H54" s="1496" t="str">
        <f t="shared" ca="1" si="11"/>
        <v>-</v>
      </c>
      <c r="I54" s="1496" t="str">
        <f t="shared" ca="1" si="12"/>
        <v>-</v>
      </c>
      <c r="J54" s="1496" t="str">
        <f t="shared" ca="1" si="13"/>
        <v>-</v>
      </c>
      <c r="K54" s="1496" t="str">
        <f t="shared" ca="1" si="14"/>
        <v>-</v>
      </c>
      <c r="L54" s="1496" t="str">
        <f t="shared" ca="1" si="15"/>
        <v>-</v>
      </c>
      <c r="M54" s="1496" t="str">
        <f t="shared" ca="1" si="16"/>
        <v>-</v>
      </c>
      <c r="N54" s="1496" t="str">
        <f t="shared" ca="1" si="17"/>
        <v>-</v>
      </c>
      <c r="O54" s="1496" t="str">
        <f t="shared" ca="1" si="18"/>
        <v>-</v>
      </c>
      <c r="P54" s="1496" t="str">
        <f t="shared" ca="1" si="19"/>
        <v>-</v>
      </c>
      <c r="Q54" s="1496" t="str">
        <f t="shared" ca="1" si="20"/>
        <v>-</v>
      </c>
      <c r="R54" s="1497"/>
    </row>
    <row r="55" spans="1:18" ht="13.05" customHeight="1">
      <c r="A55">
        <f t="shared" ca="1" si="21"/>
        <v>66</v>
      </c>
      <c r="B55" t="s">
        <v>6943</v>
      </c>
      <c r="C55" s="1494" t="str">
        <f t="shared" ca="1" si="6"/>
        <v>-</v>
      </c>
      <c r="D55" s="1494" t="str">
        <f t="shared" ca="1" si="7"/>
        <v>-</v>
      </c>
      <c r="E55" s="1494" t="str">
        <f t="shared" ca="1" si="8"/>
        <v>-</v>
      </c>
      <c r="F55" s="1494" t="str">
        <f t="shared" ca="1" si="9"/>
        <v>-</v>
      </c>
      <c r="G55" s="1494" t="str">
        <f t="shared" ca="1" si="10"/>
        <v>-</v>
      </c>
      <c r="H55" s="1494" t="str">
        <f t="shared" ca="1" si="11"/>
        <v>-</v>
      </c>
      <c r="I55" s="1494" t="str">
        <f t="shared" ca="1" si="12"/>
        <v>-</v>
      </c>
      <c r="J55" s="1494" t="str">
        <f t="shared" ca="1" si="13"/>
        <v>-</v>
      </c>
      <c r="K55" s="1494" t="str">
        <f t="shared" ca="1" si="14"/>
        <v>-</v>
      </c>
      <c r="L55" s="1494" t="str">
        <f t="shared" ca="1" si="15"/>
        <v>-</v>
      </c>
      <c r="M55" s="1494" t="str">
        <f t="shared" ca="1" si="16"/>
        <v>-</v>
      </c>
      <c r="N55" s="1494" t="str">
        <f t="shared" ca="1" si="17"/>
        <v>-</v>
      </c>
      <c r="O55" s="1494" t="str">
        <f t="shared" ca="1" si="18"/>
        <v>-</v>
      </c>
      <c r="P55" s="1494" t="str">
        <f t="shared" ca="1" si="19"/>
        <v>-</v>
      </c>
      <c r="Q55" s="1494" t="str">
        <f t="shared" ca="1" si="20"/>
        <v>-</v>
      </c>
      <c r="R55" s="847"/>
    </row>
    <row r="56" spans="1:18" s="1495" customFormat="1" ht="13.05" customHeight="1">
      <c r="A56" s="1495">
        <f t="shared" ca="1" si="21"/>
        <v>40</v>
      </c>
      <c r="C56" s="1496" t="str">
        <f t="shared" ca="1" si="6"/>
        <v>-</v>
      </c>
      <c r="D56" s="1496" t="str">
        <f t="shared" ca="1" si="7"/>
        <v>-</v>
      </c>
      <c r="E56" s="1496" t="str">
        <f t="shared" ca="1" si="8"/>
        <v>-</v>
      </c>
      <c r="F56" s="1496" t="str">
        <f t="shared" ca="1" si="9"/>
        <v>-</v>
      </c>
      <c r="G56" s="1496" t="str">
        <f t="shared" ca="1" si="10"/>
        <v>-</v>
      </c>
      <c r="H56" s="1496" t="str">
        <f t="shared" ca="1" si="11"/>
        <v>-</v>
      </c>
      <c r="I56" s="1496" t="str">
        <f t="shared" ca="1" si="12"/>
        <v>-</v>
      </c>
      <c r="J56" s="1496" t="str">
        <f t="shared" ca="1" si="13"/>
        <v>-</v>
      </c>
      <c r="K56" s="1496" t="str">
        <f t="shared" ca="1" si="14"/>
        <v>-</v>
      </c>
      <c r="L56" s="1496" t="str">
        <f t="shared" ca="1" si="15"/>
        <v>-</v>
      </c>
      <c r="M56" s="1496" t="str">
        <f t="shared" ca="1" si="16"/>
        <v>-</v>
      </c>
      <c r="N56" s="1496" t="str">
        <f t="shared" ca="1" si="17"/>
        <v>-</v>
      </c>
      <c r="O56" s="1496" t="str">
        <f t="shared" ca="1" si="18"/>
        <v>-</v>
      </c>
      <c r="P56" s="1496" t="str">
        <f t="shared" ca="1" si="19"/>
        <v>-</v>
      </c>
      <c r="Q56" s="1496" t="str">
        <f t="shared" ca="1" si="20"/>
        <v>-</v>
      </c>
      <c r="R56" s="1497"/>
    </row>
    <row r="57" spans="1:18" ht="13.05" customHeight="1">
      <c r="A57">
        <f t="shared" ca="1" si="21"/>
        <v>84</v>
      </c>
      <c r="B57" t="s">
        <v>6944</v>
      </c>
      <c r="C57" s="1494" t="str">
        <f t="shared" ref="C57:C82" ca="1" si="22">LOOKUP($A57,RencColl,RencType)</f>
        <v>-</v>
      </c>
      <c r="D57" s="1494" t="str">
        <f t="shared" ref="D57:D82" ca="1" si="23">LOOKUP($A57,RencCour,RencType)</f>
        <v>-</v>
      </c>
      <c r="E57" s="1494" t="str">
        <f t="shared" ref="E57:E82" ca="1" si="24">LOOKUP($A57,RencDese,RencType)</f>
        <v>-</v>
      </c>
      <c r="F57" s="1494" t="str">
        <f t="shared" ref="F57:F82" ca="1" si="25">LOOKUP($A57,RencFore,RencType)</f>
        <v>-</v>
      </c>
      <c r="G57" s="1494" t="str">
        <f t="shared" ref="G57:G82" ca="1" si="26">LOOKUP($A57,RencMara,RencType)</f>
        <v>-</v>
      </c>
      <c r="H57" s="1494" t="str">
        <f t="shared" ref="H57:H82" ca="1" si="27">LOOKUP($A57,RencElde,RencType)</f>
        <v>-</v>
      </c>
      <c r="I57" s="1494" t="str">
        <f t="shared" ref="I57:I82" ca="1" si="28">LOOKUP($A57,RencKoth,RencType)</f>
        <v>-</v>
      </c>
      <c r="J57" s="1494" t="str">
        <f t="shared" ref="J57:J82" ca="1" si="29">LOOKUP($A57,RencDivi,RencType)</f>
        <v>-</v>
      </c>
      <c r="K57" s="1494" t="str">
        <f t="shared" ref="K57:K82" ca="1" si="30">LOOKUP($A57,RencMont,RencType)</f>
        <v>-</v>
      </c>
      <c r="L57" s="1494" t="str">
        <f t="shared" ref="L57:L82" ca="1" si="31">LOOKUP($A57,RencOcea,RencType)</f>
        <v>-</v>
      </c>
      <c r="M57" s="1494" t="str">
        <f t="shared" ref="M57:M82" ca="1" si="32">LOOKUP($A57,RencPlai,RencType)</f>
        <v>-</v>
      </c>
      <c r="N57" s="1494" t="str">
        <f t="shared" ref="N57:N82" ca="1" si="33">LOOKUP($A57,RencRuin,RencType)</f>
        <v>-</v>
      </c>
      <c r="O57" s="1494" t="str">
        <f t="shared" ref="O57:O82" ca="1" si="34">LOOKUP($A57,RencSout,RencType)</f>
        <v>-</v>
      </c>
      <c r="P57" s="1494" t="str">
        <f t="shared" ref="P57:P82" ca="1" si="35">LOOKUP($A57,RencStep,RencType)</f>
        <v>-</v>
      </c>
      <c r="Q57" s="1494" t="str">
        <f t="shared" ref="Q57:Q82" ca="1" si="36">LOOKUP($A57,RencVill,RencType)</f>
        <v>-</v>
      </c>
      <c r="R57" s="847"/>
    </row>
    <row r="58" spans="1:18" s="1495" customFormat="1" ht="13.05" customHeight="1">
      <c r="A58" s="1495">
        <f t="shared" ca="1" si="21"/>
        <v>82</v>
      </c>
      <c r="C58" s="1496" t="str">
        <f t="shared" ca="1" si="22"/>
        <v>-</v>
      </c>
      <c r="D58" s="1496" t="str">
        <f t="shared" ca="1" si="23"/>
        <v>-</v>
      </c>
      <c r="E58" s="1496" t="str">
        <f t="shared" ca="1" si="24"/>
        <v>-</v>
      </c>
      <c r="F58" s="1496" t="str">
        <f t="shared" ca="1" si="25"/>
        <v>-</v>
      </c>
      <c r="G58" s="1496" t="str">
        <f t="shared" ca="1" si="26"/>
        <v>-</v>
      </c>
      <c r="H58" s="1496" t="str">
        <f t="shared" ca="1" si="27"/>
        <v>-</v>
      </c>
      <c r="I58" s="1496" t="str">
        <f t="shared" ca="1" si="28"/>
        <v>-</v>
      </c>
      <c r="J58" s="1496" t="str">
        <f t="shared" ca="1" si="29"/>
        <v>-</v>
      </c>
      <c r="K58" s="1496" t="str">
        <f t="shared" ca="1" si="30"/>
        <v>-</v>
      </c>
      <c r="L58" s="1496" t="str">
        <f t="shared" ca="1" si="31"/>
        <v>-</v>
      </c>
      <c r="M58" s="1496" t="str">
        <f t="shared" ca="1" si="32"/>
        <v>-</v>
      </c>
      <c r="N58" s="1496" t="str">
        <f t="shared" ca="1" si="33"/>
        <v>-</v>
      </c>
      <c r="O58" s="1496" t="str">
        <f t="shared" ca="1" si="34"/>
        <v>-</v>
      </c>
      <c r="P58" s="1496" t="str">
        <f t="shared" ca="1" si="35"/>
        <v>-</v>
      </c>
      <c r="Q58" s="1496" t="str">
        <f t="shared" ca="1" si="36"/>
        <v>-</v>
      </c>
      <c r="R58" s="1497"/>
    </row>
    <row r="59" spans="1:18" ht="13.05" customHeight="1">
      <c r="A59">
        <f t="shared" ca="1" si="21"/>
        <v>94</v>
      </c>
      <c r="B59" t="s">
        <v>6945</v>
      </c>
      <c r="C59" s="1494" t="str">
        <f t="shared" ca="1" si="22"/>
        <v>-</v>
      </c>
      <c r="D59" s="1494" t="str">
        <f t="shared" ca="1" si="23"/>
        <v>-</v>
      </c>
      <c r="E59" s="1494" t="str">
        <f t="shared" ca="1" si="24"/>
        <v>-</v>
      </c>
      <c r="F59" s="1494" t="str">
        <f t="shared" ca="1" si="25"/>
        <v>-</v>
      </c>
      <c r="G59" s="1494" t="str">
        <f t="shared" ca="1" si="26"/>
        <v>-</v>
      </c>
      <c r="H59" s="1494" t="str">
        <f t="shared" ca="1" si="27"/>
        <v>-</v>
      </c>
      <c r="I59" s="1494" t="str">
        <f t="shared" ca="1" si="28"/>
        <v>-</v>
      </c>
      <c r="J59" s="1494" t="str">
        <f t="shared" ca="1" si="29"/>
        <v>-</v>
      </c>
      <c r="K59" s="1494" t="str">
        <f t="shared" ca="1" si="30"/>
        <v>-</v>
      </c>
      <c r="L59" s="1494" t="str">
        <f t="shared" ca="1" si="31"/>
        <v>-</v>
      </c>
      <c r="M59" s="1494" t="str">
        <f t="shared" ca="1" si="32"/>
        <v>-</v>
      </c>
      <c r="N59" s="1494" t="str">
        <f t="shared" ca="1" si="33"/>
        <v>-</v>
      </c>
      <c r="O59" s="1494" t="str">
        <f t="shared" ca="1" si="34"/>
        <v>-</v>
      </c>
      <c r="P59" s="1494" t="str">
        <f t="shared" ca="1" si="35"/>
        <v>-</v>
      </c>
      <c r="Q59" s="1494" t="str">
        <f t="shared" ca="1" si="36"/>
        <v>-</v>
      </c>
      <c r="R59" s="847"/>
    </row>
    <row r="60" spans="1:18" s="1495" customFormat="1" ht="13.05" customHeight="1">
      <c r="A60" s="1495">
        <f t="shared" ca="1" si="21"/>
        <v>27</v>
      </c>
      <c r="C60" s="1496" t="str">
        <f t="shared" ca="1" si="22"/>
        <v>-</v>
      </c>
      <c r="D60" s="1496" t="str">
        <f t="shared" ca="1" si="23"/>
        <v>-</v>
      </c>
      <c r="E60" s="1496" t="str">
        <f t="shared" ca="1" si="24"/>
        <v>-</v>
      </c>
      <c r="F60" s="1496" t="str">
        <f t="shared" ca="1" si="25"/>
        <v>-</v>
      </c>
      <c r="G60" s="1496" t="str">
        <f t="shared" ca="1" si="26"/>
        <v>-</v>
      </c>
      <c r="H60" s="1496" t="str">
        <f t="shared" ca="1" si="27"/>
        <v>-</v>
      </c>
      <c r="I60" s="1496" t="str">
        <f t="shared" ca="1" si="28"/>
        <v>-</v>
      </c>
      <c r="J60" s="1496" t="str">
        <f t="shared" ca="1" si="29"/>
        <v>-</v>
      </c>
      <c r="K60" s="1496" t="str">
        <f t="shared" ca="1" si="30"/>
        <v>-</v>
      </c>
      <c r="L60" s="1496" t="str">
        <f t="shared" ca="1" si="31"/>
        <v>-</v>
      </c>
      <c r="M60" s="1496" t="str">
        <f t="shared" ca="1" si="32"/>
        <v>Créat</v>
      </c>
      <c r="N60" s="1496" t="str">
        <f t="shared" ca="1" si="33"/>
        <v>-</v>
      </c>
      <c r="O60" s="1496" t="str">
        <f t="shared" ca="1" si="34"/>
        <v>-</v>
      </c>
      <c r="P60" s="1496" t="str">
        <f t="shared" ca="1" si="35"/>
        <v>-</v>
      </c>
      <c r="Q60" s="1496" t="str">
        <f t="shared" ca="1" si="36"/>
        <v>-</v>
      </c>
      <c r="R60" s="1497"/>
    </row>
    <row r="61" spans="1:18" ht="13.05" customHeight="1">
      <c r="A61">
        <f t="shared" ca="1" si="21"/>
        <v>11</v>
      </c>
      <c r="B61" t="s">
        <v>6946</v>
      </c>
      <c r="C61" s="1494" t="str">
        <f t="shared" ca="1" si="22"/>
        <v>Hum</v>
      </c>
      <c r="D61" s="1494" t="str">
        <f t="shared" ca="1" si="23"/>
        <v>Hum</v>
      </c>
      <c r="E61" s="1494" t="str">
        <f t="shared" ca="1" si="24"/>
        <v>Ani</v>
      </c>
      <c r="F61" s="1494" t="str">
        <f t="shared" ca="1" si="25"/>
        <v>Hum</v>
      </c>
      <c r="G61" s="1494" t="str">
        <f t="shared" ca="1" si="26"/>
        <v>Ani</v>
      </c>
      <c r="H61" s="1494" t="str">
        <f t="shared" ca="1" si="27"/>
        <v>Ani</v>
      </c>
      <c r="I61" s="1494" t="str">
        <f t="shared" ca="1" si="28"/>
        <v>Ani</v>
      </c>
      <c r="J61" s="1494" t="str">
        <f t="shared" ca="1" si="29"/>
        <v>Créat</v>
      </c>
      <c r="K61" s="1494" t="str">
        <f t="shared" ca="1" si="30"/>
        <v>Hum</v>
      </c>
      <c r="L61" s="1494" t="str">
        <f t="shared" ca="1" si="31"/>
        <v>Ani</v>
      </c>
      <c r="M61" s="1494" t="str">
        <f t="shared" ca="1" si="32"/>
        <v>Hum</v>
      </c>
      <c r="N61" s="1494" t="str">
        <f t="shared" ca="1" si="33"/>
        <v>Hum</v>
      </c>
      <c r="O61" s="1494" t="str">
        <f t="shared" ca="1" si="34"/>
        <v>Ani</v>
      </c>
      <c r="P61" s="1494" t="str">
        <f t="shared" ca="1" si="35"/>
        <v>Hum</v>
      </c>
      <c r="Q61" s="1494" t="str">
        <f t="shared" ca="1" si="36"/>
        <v>Hum</v>
      </c>
      <c r="R61" s="847"/>
    </row>
    <row r="62" spans="1:18" s="1495" customFormat="1" ht="13.05" customHeight="1">
      <c r="A62" s="1495">
        <f t="shared" ca="1" si="21"/>
        <v>38</v>
      </c>
      <c r="C62" s="1496" t="str">
        <f t="shared" ca="1" si="22"/>
        <v>-</v>
      </c>
      <c r="D62" s="1496" t="str">
        <f t="shared" ca="1" si="23"/>
        <v>-</v>
      </c>
      <c r="E62" s="1496" t="str">
        <f t="shared" ca="1" si="24"/>
        <v>-</v>
      </c>
      <c r="F62" s="1496" t="str">
        <f t="shared" ca="1" si="25"/>
        <v>-</v>
      </c>
      <c r="G62" s="1496" t="str">
        <f t="shared" ca="1" si="26"/>
        <v>-</v>
      </c>
      <c r="H62" s="1496" t="str">
        <f t="shared" ca="1" si="27"/>
        <v>-</v>
      </c>
      <c r="I62" s="1496" t="str">
        <f t="shared" ca="1" si="28"/>
        <v>-</v>
      </c>
      <c r="J62" s="1496" t="str">
        <f t="shared" ca="1" si="29"/>
        <v>-</v>
      </c>
      <c r="K62" s="1496" t="str">
        <f t="shared" ca="1" si="30"/>
        <v>-</v>
      </c>
      <c r="L62" s="1496" t="str">
        <f t="shared" ca="1" si="31"/>
        <v>-</v>
      </c>
      <c r="M62" s="1496" t="str">
        <f t="shared" ca="1" si="32"/>
        <v>-</v>
      </c>
      <c r="N62" s="1496" t="str">
        <f t="shared" ca="1" si="33"/>
        <v>-</v>
      </c>
      <c r="O62" s="1496" t="str">
        <f t="shared" ca="1" si="34"/>
        <v>-</v>
      </c>
      <c r="P62" s="1496" t="str">
        <f t="shared" ca="1" si="35"/>
        <v>-</v>
      </c>
      <c r="Q62" s="1496" t="str">
        <f t="shared" ca="1" si="36"/>
        <v>-</v>
      </c>
      <c r="R62" s="1497"/>
    </row>
    <row r="63" spans="1:18" ht="13.05" customHeight="1">
      <c r="A63">
        <f t="shared" ca="1" si="21"/>
        <v>4</v>
      </c>
      <c r="B63" t="s">
        <v>6947</v>
      </c>
      <c r="C63" s="1494" t="str">
        <f t="shared" ca="1" si="22"/>
        <v>Lieu</v>
      </c>
      <c r="D63" s="1494" t="str">
        <f t="shared" ca="1" si="23"/>
        <v>évèn.</v>
      </c>
      <c r="E63" s="1494" t="str">
        <f t="shared" ca="1" si="24"/>
        <v>évèn.</v>
      </c>
      <c r="F63" s="1494" t="str">
        <f t="shared" ca="1" si="25"/>
        <v>évèn.</v>
      </c>
      <c r="G63" s="1494" t="str">
        <f t="shared" ca="1" si="26"/>
        <v>évèn.</v>
      </c>
      <c r="H63" s="1494" t="str">
        <f t="shared" ca="1" si="27"/>
        <v>évèn.</v>
      </c>
      <c r="I63" s="1494" t="str">
        <f t="shared" ca="1" si="28"/>
        <v>évèn.</v>
      </c>
      <c r="J63" s="1494" t="str">
        <f t="shared" ca="1" si="29"/>
        <v>évèn.</v>
      </c>
      <c r="K63" s="1494" t="str">
        <f t="shared" ca="1" si="30"/>
        <v>évèn.</v>
      </c>
      <c r="L63" s="1494" t="str">
        <f t="shared" ca="1" si="31"/>
        <v>Hum</v>
      </c>
      <c r="M63" s="1494" t="str">
        <f t="shared" ca="1" si="32"/>
        <v>Lieu</v>
      </c>
      <c r="N63" s="1494" t="str">
        <f t="shared" ca="1" si="33"/>
        <v>Lieu</v>
      </c>
      <c r="O63" s="1494" t="str">
        <f t="shared" ca="1" si="34"/>
        <v>évèn.</v>
      </c>
      <c r="P63" s="1494" t="str">
        <f t="shared" ca="1" si="35"/>
        <v>évèn.</v>
      </c>
      <c r="Q63" s="1494" t="str">
        <f t="shared" ca="1" si="36"/>
        <v>Lieu</v>
      </c>
      <c r="R63" s="847"/>
    </row>
    <row r="64" spans="1:18" s="1495" customFormat="1" ht="13.05" customHeight="1">
      <c r="A64" s="1495">
        <f t="shared" ca="1" si="21"/>
        <v>70</v>
      </c>
      <c r="C64" s="1496" t="str">
        <f t="shared" ca="1" si="22"/>
        <v>-</v>
      </c>
      <c r="D64" s="1496" t="str">
        <f t="shared" ca="1" si="23"/>
        <v>-</v>
      </c>
      <c r="E64" s="1496" t="str">
        <f t="shared" ca="1" si="24"/>
        <v>-</v>
      </c>
      <c r="F64" s="1496" t="str">
        <f t="shared" ca="1" si="25"/>
        <v>-</v>
      </c>
      <c r="G64" s="1496" t="str">
        <f t="shared" ca="1" si="26"/>
        <v>-</v>
      </c>
      <c r="H64" s="1496" t="str">
        <f t="shared" ca="1" si="27"/>
        <v>-</v>
      </c>
      <c r="I64" s="1496" t="str">
        <f t="shared" ca="1" si="28"/>
        <v>-</v>
      </c>
      <c r="J64" s="1496" t="str">
        <f t="shared" ca="1" si="29"/>
        <v>-</v>
      </c>
      <c r="K64" s="1496" t="str">
        <f t="shared" ca="1" si="30"/>
        <v>-</v>
      </c>
      <c r="L64" s="1496" t="str">
        <f t="shared" ca="1" si="31"/>
        <v>-</v>
      </c>
      <c r="M64" s="1496" t="str">
        <f t="shared" ca="1" si="32"/>
        <v>-</v>
      </c>
      <c r="N64" s="1496" t="str">
        <f t="shared" ca="1" si="33"/>
        <v>-</v>
      </c>
      <c r="O64" s="1496" t="str">
        <f t="shared" ca="1" si="34"/>
        <v>-</v>
      </c>
      <c r="P64" s="1496" t="str">
        <f t="shared" ca="1" si="35"/>
        <v>-</v>
      </c>
      <c r="Q64" s="1496" t="str">
        <f t="shared" ca="1" si="36"/>
        <v>-</v>
      </c>
      <c r="R64" s="1497"/>
    </row>
    <row r="65" spans="1:18" ht="13.05" customHeight="1">
      <c r="A65">
        <f t="shared" ca="1" si="21"/>
        <v>54</v>
      </c>
      <c r="B65" t="s">
        <v>6948</v>
      </c>
      <c r="C65" s="1494" t="str">
        <f t="shared" ca="1" si="22"/>
        <v>-</v>
      </c>
      <c r="D65" s="1494" t="str">
        <f t="shared" ca="1" si="23"/>
        <v>-</v>
      </c>
      <c r="E65" s="1494" t="str">
        <f t="shared" ca="1" si="24"/>
        <v>-</v>
      </c>
      <c r="F65" s="1494" t="str">
        <f t="shared" ca="1" si="25"/>
        <v>-</v>
      </c>
      <c r="G65" s="1494" t="str">
        <f t="shared" ca="1" si="26"/>
        <v>-</v>
      </c>
      <c r="H65" s="1494" t="str">
        <f t="shared" ca="1" si="27"/>
        <v>-</v>
      </c>
      <c r="I65" s="1494" t="str">
        <f t="shared" ca="1" si="28"/>
        <v>-</v>
      </c>
      <c r="J65" s="1494" t="str">
        <f t="shared" ca="1" si="29"/>
        <v>-</v>
      </c>
      <c r="K65" s="1494" t="str">
        <f t="shared" ca="1" si="30"/>
        <v>-</v>
      </c>
      <c r="L65" s="1494" t="str">
        <f t="shared" ca="1" si="31"/>
        <v>-</v>
      </c>
      <c r="M65" s="1494" t="str">
        <f t="shared" ca="1" si="32"/>
        <v>-</v>
      </c>
      <c r="N65" s="1494" t="str">
        <f t="shared" ca="1" si="33"/>
        <v>-</v>
      </c>
      <c r="O65" s="1494" t="str">
        <f t="shared" ca="1" si="34"/>
        <v>-</v>
      </c>
      <c r="P65" s="1494" t="str">
        <f t="shared" ca="1" si="35"/>
        <v>-</v>
      </c>
      <c r="Q65" s="1494" t="str">
        <f t="shared" ca="1" si="36"/>
        <v>-</v>
      </c>
      <c r="R65" s="847"/>
    </row>
    <row r="66" spans="1:18" s="1495" customFormat="1" ht="13.05" customHeight="1">
      <c r="A66" s="1495">
        <f t="shared" ca="1" si="21"/>
        <v>2</v>
      </c>
      <c r="C66" s="1496" t="str">
        <f t="shared" ca="1" si="22"/>
        <v>Lieu</v>
      </c>
      <c r="D66" s="1496" t="str">
        <f t="shared" ca="1" si="23"/>
        <v>Lieu</v>
      </c>
      <c r="E66" s="1496" t="str">
        <f t="shared" ca="1" si="24"/>
        <v>évèn.</v>
      </c>
      <c r="F66" s="1496" t="str">
        <f t="shared" ca="1" si="25"/>
        <v>Lieu</v>
      </c>
      <c r="G66" s="1496" t="str">
        <f t="shared" ca="1" si="26"/>
        <v>Lieu</v>
      </c>
      <c r="H66" s="1496" t="str">
        <f t="shared" ca="1" si="27"/>
        <v>évèn.</v>
      </c>
      <c r="I66" s="1496" t="str">
        <f t="shared" ca="1" si="28"/>
        <v>Lieu</v>
      </c>
      <c r="J66" s="1496" t="str">
        <f t="shared" ca="1" si="29"/>
        <v>Lieu</v>
      </c>
      <c r="K66" s="1496" t="str">
        <f t="shared" ca="1" si="30"/>
        <v>Lieu</v>
      </c>
      <c r="L66" s="1496" t="str">
        <f t="shared" ca="1" si="31"/>
        <v>évèn.</v>
      </c>
      <c r="M66" s="1496" t="str">
        <f t="shared" ca="1" si="32"/>
        <v>Lieu</v>
      </c>
      <c r="N66" s="1496" t="str">
        <f t="shared" ca="1" si="33"/>
        <v>Lieu</v>
      </c>
      <c r="O66" s="1496" t="str">
        <f t="shared" ca="1" si="34"/>
        <v>Lieu</v>
      </c>
      <c r="P66" s="1496" t="str">
        <f t="shared" ca="1" si="35"/>
        <v>Lieu</v>
      </c>
      <c r="Q66" s="1496" t="str">
        <f t="shared" ca="1" si="36"/>
        <v>Lieu</v>
      </c>
      <c r="R66" s="1497"/>
    </row>
    <row r="67" spans="1:18" ht="13.05" customHeight="1">
      <c r="A67">
        <f t="shared" ca="1" si="21"/>
        <v>52</v>
      </c>
      <c r="B67" t="s">
        <v>6949</v>
      </c>
      <c r="C67" s="1494" t="str">
        <f t="shared" ca="1" si="22"/>
        <v>-</v>
      </c>
      <c r="D67" s="1494" t="str">
        <f t="shared" ca="1" si="23"/>
        <v>-</v>
      </c>
      <c r="E67" s="1494" t="str">
        <f t="shared" ca="1" si="24"/>
        <v>-</v>
      </c>
      <c r="F67" s="1494" t="str">
        <f t="shared" ca="1" si="25"/>
        <v>-</v>
      </c>
      <c r="G67" s="1494" t="str">
        <f t="shared" ca="1" si="26"/>
        <v>-</v>
      </c>
      <c r="H67" s="1494" t="str">
        <f t="shared" ca="1" si="27"/>
        <v>-</v>
      </c>
      <c r="I67" s="1494" t="str">
        <f t="shared" ca="1" si="28"/>
        <v>-</v>
      </c>
      <c r="J67" s="1494" t="str">
        <f t="shared" ca="1" si="29"/>
        <v>-</v>
      </c>
      <c r="K67" s="1494" t="str">
        <f t="shared" ca="1" si="30"/>
        <v>-</v>
      </c>
      <c r="L67" s="1494" t="str">
        <f t="shared" ca="1" si="31"/>
        <v>-</v>
      </c>
      <c r="M67" s="1494" t="str">
        <f t="shared" ca="1" si="32"/>
        <v>-</v>
      </c>
      <c r="N67" s="1494" t="str">
        <f t="shared" ca="1" si="33"/>
        <v>-</v>
      </c>
      <c r="O67" s="1494" t="str">
        <f t="shared" ca="1" si="34"/>
        <v>-</v>
      </c>
      <c r="P67" s="1494" t="str">
        <f t="shared" ca="1" si="35"/>
        <v>-</v>
      </c>
      <c r="Q67" s="1494" t="str">
        <f t="shared" ca="1" si="36"/>
        <v>-</v>
      </c>
      <c r="R67" s="847"/>
    </row>
    <row r="68" spans="1:18" s="1495" customFormat="1" ht="13.05" customHeight="1">
      <c r="A68" s="1495">
        <f t="shared" ca="1" si="21"/>
        <v>54</v>
      </c>
      <c r="C68" s="1496" t="str">
        <f t="shared" ca="1" si="22"/>
        <v>-</v>
      </c>
      <c r="D68" s="1496" t="str">
        <f t="shared" ca="1" si="23"/>
        <v>-</v>
      </c>
      <c r="E68" s="1496" t="str">
        <f t="shared" ca="1" si="24"/>
        <v>-</v>
      </c>
      <c r="F68" s="1496" t="str">
        <f t="shared" ca="1" si="25"/>
        <v>-</v>
      </c>
      <c r="G68" s="1496" t="str">
        <f t="shared" ca="1" si="26"/>
        <v>-</v>
      </c>
      <c r="H68" s="1496" t="str">
        <f t="shared" ca="1" si="27"/>
        <v>-</v>
      </c>
      <c r="I68" s="1496" t="str">
        <f t="shared" ca="1" si="28"/>
        <v>-</v>
      </c>
      <c r="J68" s="1496" t="str">
        <f t="shared" ca="1" si="29"/>
        <v>-</v>
      </c>
      <c r="K68" s="1496" t="str">
        <f t="shared" ca="1" si="30"/>
        <v>-</v>
      </c>
      <c r="L68" s="1496" t="str">
        <f t="shared" ca="1" si="31"/>
        <v>-</v>
      </c>
      <c r="M68" s="1496" t="str">
        <f t="shared" ca="1" si="32"/>
        <v>-</v>
      </c>
      <c r="N68" s="1496" t="str">
        <f t="shared" ca="1" si="33"/>
        <v>-</v>
      </c>
      <c r="O68" s="1496" t="str">
        <f t="shared" ca="1" si="34"/>
        <v>-</v>
      </c>
      <c r="P68" s="1496" t="str">
        <f t="shared" ca="1" si="35"/>
        <v>-</v>
      </c>
      <c r="Q68" s="1496" t="str">
        <f t="shared" ca="1" si="36"/>
        <v>-</v>
      </c>
      <c r="R68" s="1497"/>
    </row>
    <row r="69" spans="1:18" ht="13.05" customHeight="1">
      <c r="A69">
        <f t="shared" ca="1" si="21"/>
        <v>91</v>
      </c>
      <c r="B69" t="s">
        <v>6950</v>
      </c>
      <c r="C69" s="1494" t="str">
        <f t="shared" ca="1" si="22"/>
        <v>-</v>
      </c>
      <c r="D69" s="1494" t="str">
        <f t="shared" ca="1" si="23"/>
        <v>-</v>
      </c>
      <c r="E69" s="1494" t="str">
        <f t="shared" ca="1" si="24"/>
        <v>-</v>
      </c>
      <c r="F69" s="1494" t="str">
        <f t="shared" ca="1" si="25"/>
        <v>-</v>
      </c>
      <c r="G69" s="1494" t="str">
        <f t="shared" ca="1" si="26"/>
        <v>-</v>
      </c>
      <c r="H69" s="1494" t="str">
        <f t="shared" ca="1" si="27"/>
        <v>-</v>
      </c>
      <c r="I69" s="1494" t="str">
        <f t="shared" ca="1" si="28"/>
        <v>-</v>
      </c>
      <c r="J69" s="1494" t="str">
        <f t="shared" ca="1" si="29"/>
        <v>-</v>
      </c>
      <c r="K69" s="1494" t="str">
        <f t="shared" ca="1" si="30"/>
        <v>-</v>
      </c>
      <c r="L69" s="1494" t="str">
        <f t="shared" ca="1" si="31"/>
        <v>-</v>
      </c>
      <c r="M69" s="1494" t="str">
        <f t="shared" ca="1" si="32"/>
        <v>-</v>
      </c>
      <c r="N69" s="1494" t="str">
        <f t="shared" ca="1" si="33"/>
        <v>-</v>
      </c>
      <c r="O69" s="1494" t="str">
        <f t="shared" ca="1" si="34"/>
        <v>-</v>
      </c>
      <c r="P69" s="1494" t="str">
        <f t="shared" ca="1" si="35"/>
        <v>-</v>
      </c>
      <c r="Q69" s="1494" t="str">
        <f t="shared" ca="1" si="36"/>
        <v>-</v>
      </c>
      <c r="R69" s="847"/>
    </row>
    <row r="70" spans="1:18" s="1495" customFormat="1" ht="13.05" customHeight="1">
      <c r="A70" s="1495">
        <f t="shared" ca="1" si="21"/>
        <v>67</v>
      </c>
      <c r="C70" s="1496" t="str">
        <f t="shared" ca="1" si="22"/>
        <v>-</v>
      </c>
      <c r="D70" s="1496" t="str">
        <f t="shared" ca="1" si="23"/>
        <v>-</v>
      </c>
      <c r="E70" s="1496" t="str">
        <f t="shared" ca="1" si="24"/>
        <v>-</v>
      </c>
      <c r="F70" s="1496" t="str">
        <f t="shared" ca="1" si="25"/>
        <v>-</v>
      </c>
      <c r="G70" s="1496" t="str">
        <f t="shared" ca="1" si="26"/>
        <v>-</v>
      </c>
      <c r="H70" s="1496" t="str">
        <f t="shared" ca="1" si="27"/>
        <v>-</v>
      </c>
      <c r="I70" s="1496" t="str">
        <f t="shared" ca="1" si="28"/>
        <v>-</v>
      </c>
      <c r="J70" s="1496" t="str">
        <f t="shared" ca="1" si="29"/>
        <v>-</v>
      </c>
      <c r="K70" s="1496" t="str">
        <f t="shared" ca="1" si="30"/>
        <v>-</v>
      </c>
      <c r="L70" s="1496" t="str">
        <f t="shared" ca="1" si="31"/>
        <v>-</v>
      </c>
      <c r="M70" s="1496" t="str">
        <f t="shared" ca="1" si="32"/>
        <v>-</v>
      </c>
      <c r="N70" s="1496" t="str">
        <f t="shared" ca="1" si="33"/>
        <v>-</v>
      </c>
      <c r="O70" s="1496" t="str">
        <f t="shared" ca="1" si="34"/>
        <v>-</v>
      </c>
      <c r="P70" s="1496" t="str">
        <f t="shared" ca="1" si="35"/>
        <v>-</v>
      </c>
      <c r="Q70" s="1496" t="str">
        <f t="shared" ca="1" si="36"/>
        <v>-</v>
      </c>
      <c r="R70" s="1497"/>
    </row>
    <row r="71" spans="1:18" ht="13.05" customHeight="1">
      <c r="A71">
        <f t="shared" ca="1" si="21"/>
        <v>92</v>
      </c>
      <c r="B71" t="s">
        <v>6951</v>
      </c>
      <c r="C71" s="1494" t="str">
        <f t="shared" ca="1" si="22"/>
        <v>-</v>
      </c>
      <c r="D71" s="1494" t="str">
        <f t="shared" ca="1" si="23"/>
        <v>-</v>
      </c>
      <c r="E71" s="1494" t="str">
        <f t="shared" ca="1" si="24"/>
        <v>-</v>
      </c>
      <c r="F71" s="1494" t="str">
        <f t="shared" ca="1" si="25"/>
        <v>-</v>
      </c>
      <c r="G71" s="1494" t="str">
        <f t="shared" ca="1" si="26"/>
        <v>-</v>
      </c>
      <c r="H71" s="1494" t="str">
        <f t="shared" ca="1" si="27"/>
        <v>-</v>
      </c>
      <c r="I71" s="1494" t="str">
        <f t="shared" ca="1" si="28"/>
        <v>-</v>
      </c>
      <c r="J71" s="1494" t="str">
        <f t="shared" ca="1" si="29"/>
        <v>-</v>
      </c>
      <c r="K71" s="1494" t="str">
        <f t="shared" ca="1" si="30"/>
        <v>-</v>
      </c>
      <c r="L71" s="1494" t="str">
        <f t="shared" ca="1" si="31"/>
        <v>-</v>
      </c>
      <c r="M71" s="1494" t="str">
        <f t="shared" ca="1" si="32"/>
        <v>-</v>
      </c>
      <c r="N71" s="1494" t="str">
        <f t="shared" ca="1" si="33"/>
        <v>-</v>
      </c>
      <c r="O71" s="1494" t="str">
        <f t="shared" ca="1" si="34"/>
        <v>-</v>
      </c>
      <c r="P71" s="1494" t="str">
        <f t="shared" ca="1" si="35"/>
        <v>-</v>
      </c>
      <c r="Q71" s="1494" t="str">
        <f t="shared" ca="1" si="36"/>
        <v>-</v>
      </c>
      <c r="R71" s="847"/>
    </row>
    <row r="72" spans="1:18" s="1495" customFormat="1" ht="13.05" customHeight="1">
      <c r="A72" s="1495">
        <f t="shared" ca="1" si="21"/>
        <v>88</v>
      </c>
      <c r="C72" s="1496" t="str">
        <f t="shared" ca="1" si="22"/>
        <v>-</v>
      </c>
      <c r="D72" s="1496" t="str">
        <f t="shared" ca="1" si="23"/>
        <v>-</v>
      </c>
      <c r="E72" s="1496" t="str">
        <f t="shared" ca="1" si="24"/>
        <v>-</v>
      </c>
      <c r="F72" s="1496" t="str">
        <f t="shared" ca="1" si="25"/>
        <v>-</v>
      </c>
      <c r="G72" s="1496" t="str">
        <f t="shared" ca="1" si="26"/>
        <v>-</v>
      </c>
      <c r="H72" s="1496" t="str">
        <f t="shared" ca="1" si="27"/>
        <v>-</v>
      </c>
      <c r="I72" s="1496" t="str">
        <f t="shared" ca="1" si="28"/>
        <v>-</v>
      </c>
      <c r="J72" s="1496" t="str">
        <f t="shared" ca="1" si="29"/>
        <v>-</v>
      </c>
      <c r="K72" s="1496" t="str">
        <f t="shared" ca="1" si="30"/>
        <v>-</v>
      </c>
      <c r="L72" s="1496" t="str">
        <f t="shared" ca="1" si="31"/>
        <v>-</v>
      </c>
      <c r="M72" s="1496" t="str">
        <f t="shared" ca="1" si="32"/>
        <v>-</v>
      </c>
      <c r="N72" s="1496" t="str">
        <f t="shared" ca="1" si="33"/>
        <v>-</v>
      </c>
      <c r="O72" s="1496" t="str">
        <f t="shared" ca="1" si="34"/>
        <v>-</v>
      </c>
      <c r="P72" s="1496" t="str">
        <f t="shared" ca="1" si="35"/>
        <v>-</v>
      </c>
      <c r="Q72" s="1496" t="str">
        <f t="shared" ca="1" si="36"/>
        <v>-</v>
      </c>
      <c r="R72" s="1497"/>
    </row>
    <row r="73" spans="1:18" ht="13.05" customHeight="1">
      <c r="A73">
        <f t="shared" ca="1" si="21"/>
        <v>38</v>
      </c>
      <c r="B73" t="s">
        <v>6952</v>
      </c>
      <c r="C73" s="1494" t="str">
        <f t="shared" ca="1" si="22"/>
        <v>-</v>
      </c>
      <c r="D73" s="1494" t="str">
        <f t="shared" ca="1" si="23"/>
        <v>-</v>
      </c>
      <c r="E73" s="1494" t="str">
        <f t="shared" ca="1" si="24"/>
        <v>-</v>
      </c>
      <c r="F73" s="1494" t="str">
        <f t="shared" ca="1" si="25"/>
        <v>-</v>
      </c>
      <c r="G73" s="1494" t="str">
        <f t="shared" ca="1" si="26"/>
        <v>-</v>
      </c>
      <c r="H73" s="1494" t="str">
        <f t="shared" ca="1" si="27"/>
        <v>-</v>
      </c>
      <c r="I73" s="1494" t="str">
        <f t="shared" ca="1" si="28"/>
        <v>-</v>
      </c>
      <c r="J73" s="1494" t="str">
        <f t="shared" ca="1" si="29"/>
        <v>-</v>
      </c>
      <c r="K73" s="1494" t="str">
        <f t="shared" ca="1" si="30"/>
        <v>-</v>
      </c>
      <c r="L73" s="1494" t="str">
        <f t="shared" ca="1" si="31"/>
        <v>-</v>
      </c>
      <c r="M73" s="1494" t="str">
        <f t="shared" ca="1" si="32"/>
        <v>-</v>
      </c>
      <c r="N73" s="1494" t="str">
        <f t="shared" ca="1" si="33"/>
        <v>-</v>
      </c>
      <c r="O73" s="1494" t="str">
        <f t="shared" ca="1" si="34"/>
        <v>-</v>
      </c>
      <c r="P73" s="1494" t="str">
        <f t="shared" ca="1" si="35"/>
        <v>-</v>
      </c>
      <c r="Q73" s="1494" t="str">
        <f t="shared" ca="1" si="36"/>
        <v>-</v>
      </c>
      <c r="R73" s="847"/>
    </row>
    <row r="74" spans="1:18" s="1495" customFormat="1" ht="13.05" customHeight="1">
      <c r="A74" s="1495">
        <f t="shared" ca="1" si="21"/>
        <v>28</v>
      </c>
      <c r="C74" s="1496" t="str">
        <f t="shared" ca="1" si="22"/>
        <v>-</v>
      </c>
      <c r="D74" s="1496" t="str">
        <f t="shared" ca="1" si="23"/>
        <v>-</v>
      </c>
      <c r="E74" s="1496" t="str">
        <f t="shared" ca="1" si="24"/>
        <v>-</v>
      </c>
      <c r="F74" s="1496" t="str">
        <f t="shared" ca="1" si="25"/>
        <v>-</v>
      </c>
      <c r="G74" s="1496" t="str">
        <f t="shared" ca="1" si="26"/>
        <v>-</v>
      </c>
      <c r="H74" s="1496" t="str">
        <f t="shared" ca="1" si="27"/>
        <v>-</v>
      </c>
      <c r="I74" s="1496" t="str">
        <f t="shared" ca="1" si="28"/>
        <v>-</v>
      </c>
      <c r="J74" s="1496" t="str">
        <f t="shared" ca="1" si="29"/>
        <v>-</v>
      </c>
      <c r="K74" s="1496" t="str">
        <f t="shared" ca="1" si="30"/>
        <v>-</v>
      </c>
      <c r="L74" s="1496" t="str">
        <f t="shared" ca="1" si="31"/>
        <v>-</v>
      </c>
      <c r="M74" s="1496" t="str">
        <f t="shared" ca="1" si="32"/>
        <v>-</v>
      </c>
      <c r="N74" s="1496" t="str">
        <f t="shared" ca="1" si="33"/>
        <v>-</v>
      </c>
      <c r="O74" s="1496" t="str">
        <f t="shared" ca="1" si="34"/>
        <v>-</v>
      </c>
      <c r="P74" s="1496" t="str">
        <f t="shared" ca="1" si="35"/>
        <v>-</v>
      </c>
      <c r="Q74" s="1496" t="str">
        <f t="shared" ca="1" si="36"/>
        <v>-</v>
      </c>
      <c r="R74" s="1497"/>
    </row>
    <row r="75" spans="1:18" ht="13.05" customHeight="1">
      <c r="A75">
        <f t="shared" ca="1" si="21"/>
        <v>93</v>
      </c>
      <c r="B75" t="s">
        <v>6953</v>
      </c>
      <c r="C75" s="1494" t="str">
        <f t="shared" ca="1" si="22"/>
        <v>-</v>
      </c>
      <c r="D75" s="1494" t="str">
        <f t="shared" ca="1" si="23"/>
        <v>-</v>
      </c>
      <c r="E75" s="1494" t="str">
        <f t="shared" ca="1" si="24"/>
        <v>-</v>
      </c>
      <c r="F75" s="1494" t="str">
        <f t="shared" ca="1" si="25"/>
        <v>-</v>
      </c>
      <c r="G75" s="1494" t="str">
        <f t="shared" ca="1" si="26"/>
        <v>-</v>
      </c>
      <c r="H75" s="1494" t="str">
        <f t="shared" ca="1" si="27"/>
        <v>-</v>
      </c>
      <c r="I75" s="1494" t="str">
        <f t="shared" ca="1" si="28"/>
        <v>-</v>
      </c>
      <c r="J75" s="1494" t="str">
        <f t="shared" ca="1" si="29"/>
        <v>-</v>
      </c>
      <c r="K75" s="1494" t="str">
        <f t="shared" ca="1" si="30"/>
        <v>-</v>
      </c>
      <c r="L75" s="1494" t="str">
        <f t="shared" ca="1" si="31"/>
        <v>-</v>
      </c>
      <c r="M75" s="1494" t="str">
        <f t="shared" ca="1" si="32"/>
        <v>-</v>
      </c>
      <c r="N75" s="1494" t="str">
        <f t="shared" ca="1" si="33"/>
        <v>-</v>
      </c>
      <c r="O75" s="1494" t="str">
        <f t="shared" ca="1" si="34"/>
        <v>-</v>
      </c>
      <c r="P75" s="1494" t="str">
        <f t="shared" ca="1" si="35"/>
        <v>-</v>
      </c>
      <c r="Q75" s="1494" t="str">
        <f t="shared" ca="1" si="36"/>
        <v>-</v>
      </c>
      <c r="R75" s="847"/>
    </row>
    <row r="76" spans="1:18" s="1495" customFormat="1" ht="13.05" customHeight="1">
      <c r="A76" s="1495">
        <f t="shared" ca="1" si="21"/>
        <v>98</v>
      </c>
      <c r="C76" s="1496" t="str">
        <f t="shared" ca="1" si="22"/>
        <v>-</v>
      </c>
      <c r="D76" s="1496" t="str">
        <f t="shared" ca="1" si="23"/>
        <v>-</v>
      </c>
      <c r="E76" s="1496" t="str">
        <f t="shared" ca="1" si="24"/>
        <v>-</v>
      </c>
      <c r="F76" s="1496" t="str">
        <f t="shared" ca="1" si="25"/>
        <v>-</v>
      </c>
      <c r="G76" s="1496" t="str">
        <f t="shared" ca="1" si="26"/>
        <v>-</v>
      </c>
      <c r="H76" s="1496" t="str">
        <f t="shared" ca="1" si="27"/>
        <v>-</v>
      </c>
      <c r="I76" s="1496" t="str">
        <f t="shared" ca="1" si="28"/>
        <v>-</v>
      </c>
      <c r="J76" s="1496" t="str">
        <f t="shared" ca="1" si="29"/>
        <v>-</v>
      </c>
      <c r="K76" s="1496" t="str">
        <f t="shared" ca="1" si="30"/>
        <v>-</v>
      </c>
      <c r="L76" s="1496" t="str">
        <f t="shared" ca="1" si="31"/>
        <v>-</v>
      </c>
      <c r="M76" s="1496" t="str">
        <f t="shared" ca="1" si="32"/>
        <v>-</v>
      </c>
      <c r="N76" s="1496" t="str">
        <f t="shared" ca="1" si="33"/>
        <v>-</v>
      </c>
      <c r="O76" s="1496" t="str">
        <f t="shared" ca="1" si="34"/>
        <v>-</v>
      </c>
      <c r="P76" s="1496" t="str">
        <f t="shared" ca="1" si="35"/>
        <v>-</v>
      </c>
      <c r="Q76" s="1496" t="str">
        <f t="shared" ca="1" si="36"/>
        <v>-</v>
      </c>
      <c r="R76" s="1497"/>
    </row>
    <row r="77" spans="1:18" ht="13.05" customHeight="1">
      <c r="A77">
        <f t="shared" ca="1" si="21"/>
        <v>95</v>
      </c>
      <c r="B77" t="s">
        <v>6954</v>
      </c>
      <c r="C77" s="1494" t="str">
        <f t="shared" ca="1" si="22"/>
        <v>-</v>
      </c>
      <c r="D77" s="1494" t="str">
        <f t="shared" ca="1" si="23"/>
        <v>-</v>
      </c>
      <c r="E77" s="1494" t="str">
        <f t="shared" ca="1" si="24"/>
        <v>-</v>
      </c>
      <c r="F77" s="1494" t="str">
        <f t="shared" ca="1" si="25"/>
        <v>-</v>
      </c>
      <c r="G77" s="1494" t="str">
        <f t="shared" ca="1" si="26"/>
        <v>-</v>
      </c>
      <c r="H77" s="1494" t="str">
        <f t="shared" ca="1" si="27"/>
        <v>-</v>
      </c>
      <c r="I77" s="1494" t="str">
        <f t="shared" ca="1" si="28"/>
        <v>-</v>
      </c>
      <c r="J77" s="1494" t="str">
        <f t="shared" ca="1" si="29"/>
        <v>-</v>
      </c>
      <c r="K77" s="1494" t="str">
        <f t="shared" ca="1" si="30"/>
        <v>-</v>
      </c>
      <c r="L77" s="1494" t="str">
        <f t="shared" ca="1" si="31"/>
        <v>-</v>
      </c>
      <c r="M77" s="1494" t="str">
        <f t="shared" ca="1" si="32"/>
        <v>-</v>
      </c>
      <c r="N77" s="1494" t="str">
        <f t="shared" ca="1" si="33"/>
        <v>-</v>
      </c>
      <c r="O77" s="1494" t="str">
        <f t="shared" ca="1" si="34"/>
        <v>-</v>
      </c>
      <c r="P77" s="1494" t="str">
        <f t="shared" ca="1" si="35"/>
        <v>-</v>
      </c>
      <c r="Q77" s="1494" t="str">
        <f t="shared" ca="1" si="36"/>
        <v>-</v>
      </c>
      <c r="R77" s="847"/>
    </row>
    <row r="78" spans="1:18" ht="13.05" customHeight="1">
      <c r="A78">
        <f t="shared" ca="1" si="21"/>
        <v>53</v>
      </c>
      <c r="B78" t="s">
        <v>6955</v>
      </c>
      <c r="C78" s="1494" t="str">
        <f t="shared" ca="1" si="22"/>
        <v>-</v>
      </c>
      <c r="D78" s="1494" t="str">
        <f t="shared" ca="1" si="23"/>
        <v>-</v>
      </c>
      <c r="E78" s="1494" t="str">
        <f t="shared" ca="1" si="24"/>
        <v>-</v>
      </c>
      <c r="F78" s="1494" t="str">
        <f t="shared" ca="1" si="25"/>
        <v>-</v>
      </c>
      <c r="G78" s="1494" t="str">
        <f t="shared" ca="1" si="26"/>
        <v>-</v>
      </c>
      <c r="H78" s="1494" t="str">
        <f t="shared" ca="1" si="27"/>
        <v>-</v>
      </c>
      <c r="I78" s="1494" t="str">
        <f t="shared" ca="1" si="28"/>
        <v>-</v>
      </c>
      <c r="J78" s="1494" t="str">
        <f t="shared" ca="1" si="29"/>
        <v>-</v>
      </c>
      <c r="K78" s="1494" t="str">
        <f t="shared" ca="1" si="30"/>
        <v>-</v>
      </c>
      <c r="L78" s="1494" t="str">
        <f t="shared" ca="1" si="31"/>
        <v>-</v>
      </c>
      <c r="M78" s="1494" t="str">
        <f t="shared" ca="1" si="32"/>
        <v>-</v>
      </c>
      <c r="N78" s="1494" t="str">
        <f t="shared" ca="1" si="33"/>
        <v>-</v>
      </c>
      <c r="O78" s="1494" t="str">
        <f t="shared" ca="1" si="34"/>
        <v>-</v>
      </c>
      <c r="P78" s="1494" t="str">
        <f t="shared" ca="1" si="35"/>
        <v>-</v>
      </c>
      <c r="Q78" s="1494" t="str">
        <f t="shared" ca="1" si="36"/>
        <v>-</v>
      </c>
      <c r="R78" s="847"/>
    </row>
    <row r="79" spans="1:18" s="1495" customFormat="1" ht="13.05" customHeight="1">
      <c r="A79" s="1495">
        <f t="shared" ca="1" si="21"/>
        <v>37</v>
      </c>
      <c r="C79" s="1496" t="str">
        <f t="shared" ca="1" si="22"/>
        <v>-</v>
      </c>
      <c r="D79" s="1496" t="str">
        <f t="shared" ca="1" si="23"/>
        <v>-</v>
      </c>
      <c r="E79" s="1496" t="str">
        <f t="shared" ca="1" si="24"/>
        <v>-</v>
      </c>
      <c r="F79" s="1496" t="str">
        <f t="shared" ca="1" si="25"/>
        <v>-</v>
      </c>
      <c r="G79" s="1496" t="str">
        <f t="shared" ca="1" si="26"/>
        <v>-</v>
      </c>
      <c r="H79" s="1496" t="str">
        <f t="shared" ca="1" si="27"/>
        <v>-</v>
      </c>
      <c r="I79" s="1496" t="str">
        <f t="shared" ca="1" si="28"/>
        <v>-</v>
      </c>
      <c r="J79" s="1496" t="str">
        <f t="shared" ca="1" si="29"/>
        <v>-</v>
      </c>
      <c r="K79" s="1496" t="str">
        <f t="shared" ca="1" si="30"/>
        <v>-</v>
      </c>
      <c r="L79" s="1496" t="str">
        <f t="shared" ca="1" si="31"/>
        <v>-</v>
      </c>
      <c r="M79" s="1496" t="str">
        <f t="shared" ca="1" si="32"/>
        <v>-</v>
      </c>
      <c r="N79" s="1496" t="str">
        <f t="shared" ca="1" si="33"/>
        <v>-</v>
      </c>
      <c r="O79" s="1496" t="str">
        <f t="shared" ca="1" si="34"/>
        <v>-</v>
      </c>
      <c r="P79" s="1496" t="str">
        <f t="shared" ca="1" si="35"/>
        <v>-</v>
      </c>
      <c r="Q79" s="1496" t="str">
        <f t="shared" ca="1" si="36"/>
        <v>-</v>
      </c>
      <c r="R79" s="1497"/>
    </row>
    <row r="80" spans="1:18" ht="13.05" customHeight="1">
      <c r="A80">
        <f t="shared" ca="1" si="21"/>
        <v>20</v>
      </c>
      <c r="B80" t="s">
        <v>6956</v>
      </c>
      <c r="C80" s="1494" t="str">
        <f t="shared" ca="1" si="22"/>
        <v>Ani</v>
      </c>
      <c r="D80" s="1494" t="str">
        <f t="shared" ca="1" si="23"/>
        <v>Ani</v>
      </c>
      <c r="E80" s="1494" t="str">
        <f t="shared" ca="1" si="24"/>
        <v>-</v>
      </c>
      <c r="F80" s="1494" t="str">
        <f t="shared" ca="1" si="25"/>
        <v>Ani</v>
      </c>
      <c r="G80" s="1494" t="str">
        <f t="shared" ca="1" si="26"/>
        <v>Créat</v>
      </c>
      <c r="H80" s="1494" t="str">
        <f t="shared" ca="1" si="27"/>
        <v>-</v>
      </c>
      <c r="I80" s="1494" t="str">
        <f t="shared" ca="1" si="28"/>
        <v>Créat</v>
      </c>
      <c r="J80" s="1494" t="str">
        <f t="shared" ca="1" si="29"/>
        <v>-</v>
      </c>
      <c r="K80" s="1494" t="str">
        <f t="shared" ca="1" si="30"/>
        <v>-</v>
      </c>
      <c r="L80" s="1494" t="str">
        <f t="shared" ca="1" si="31"/>
        <v>-</v>
      </c>
      <c r="M80" s="1494" t="str">
        <f t="shared" ca="1" si="32"/>
        <v>Ani</v>
      </c>
      <c r="N80" s="1494" t="str">
        <f t="shared" ca="1" si="33"/>
        <v>-</v>
      </c>
      <c r="O80" s="1494" t="str">
        <f t="shared" ca="1" si="34"/>
        <v>-</v>
      </c>
      <c r="P80" s="1494" t="str">
        <f t="shared" ca="1" si="35"/>
        <v>Ani</v>
      </c>
      <c r="Q80" s="1494" t="str">
        <f t="shared" ca="1" si="36"/>
        <v>Ani</v>
      </c>
      <c r="R80" s="847"/>
    </row>
    <row r="81" spans="1:18" s="1495" customFormat="1" ht="13.05" customHeight="1">
      <c r="A81" s="1495">
        <f t="shared" ca="1" si="21"/>
        <v>13</v>
      </c>
      <c r="C81" s="1496" t="str">
        <f t="shared" ca="1" si="22"/>
        <v>Hum</v>
      </c>
      <c r="D81" s="1496" t="str">
        <f t="shared" ca="1" si="23"/>
        <v>Hum</v>
      </c>
      <c r="E81" s="1496" t="str">
        <f t="shared" ca="1" si="24"/>
        <v>Ani</v>
      </c>
      <c r="F81" s="1496" t="str">
        <f t="shared" ca="1" si="25"/>
        <v>Hum</v>
      </c>
      <c r="G81" s="1496" t="str">
        <f t="shared" ca="1" si="26"/>
        <v>Ani</v>
      </c>
      <c r="H81" s="1496" t="str">
        <f t="shared" ca="1" si="27"/>
        <v>Ani</v>
      </c>
      <c r="I81" s="1496" t="str">
        <f t="shared" ca="1" si="28"/>
        <v>Ani</v>
      </c>
      <c r="J81" s="1496" t="str">
        <f t="shared" ca="1" si="29"/>
        <v>Créat</v>
      </c>
      <c r="K81" s="1496" t="str">
        <f t="shared" ca="1" si="30"/>
        <v>Ani</v>
      </c>
      <c r="L81" s="1496" t="str">
        <f t="shared" ca="1" si="31"/>
        <v>Créat</v>
      </c>
      <c r="M81" s="1496" t="str">
        <f t="shared" ca="1" si="32"/>
        <v>Hum</v>
      </c>
      <c r="N81" s="1496" t="str">
        <f t="shared" ca="1" si="33"/>
        <v>Ani</v>
      </c>
      <c r="O81" s="1496" t="str">
        <f t="shared" ca="1" si="34"/>
        <v>Ani</v>
      </c>
      <c r="P81" s="1496" t="str">
        <f t="shared" ca="1" si="35"/>
        <v>Ani</v>
      </c>
      <c r="Q81" s="1496" t="str">
        <f t="shared" ca="1" si="36"/>
        <v>Hum</v>
      </c>
      <c r="R81" s="1497"/>
    </row>
    <row r="82" spans="1:18" ht="13.05" customHeight="1">
      <c r="A82">
        <f t="shared" ca="1" si="21"/>
        <v>73</v>
      </c>
      <c r="B82" t="s">
        <v>6957</v>
      </c>
      <c r="C82" s="1494" t="str">
        <f t="shared" ca="1" si="22"/>
        <v>-</v>
      </c>
      <c r="D82" s="1494" t="str">
        <f t="shared" ca="1" si="23"/>
        <v>-</v>
      </c>
      <c r="E82" s="1494" t="str">
        <f t="shared" ca="1" si="24"/>
        <v>-</v>
      </c>
      <c r="F82" s="1494" t="str">
        <f t="shared" ca="1" si="25"/>
        <v>-</v>
      </c>
      <c r="G82" s="1494" t="str">
        <f t="shared" ca="1" si="26"/>
        <v>-</v>
      </c>
      <c r="H82" s="1494" t="str">
        <f t="shared" ca="1" si="27"/>
        <v>-</v>
      </c>
      <c r="I82" s="1494" t="str">
        <f t="shared" ca="1" si="28"/>
        <v>-</v>
      </c>
      <c r="J82" s="1494" t="str">
        <f t="shared" ca="1" si="29"/>
        <v>-</v>
      </c>
      <c r="K82" s="1494" t="str">
        <f t="shared" ca="1" si="30"/>
        <v>-</v>
      </c>
      <c r="L82" s="1494" t="str">
        <f t="shared" ca="1" si="31"/>
        <v>-</v>
      </c>
      <c r="M82" s="1494" t="str">
        <f t="shared" ca="1" si="32"/>
        <v>-</v>
      </c>
      <c r="N82" s="1494" t="str">
        <f t="shared" ca="1" si="33"/>
        <v>-</v>
      </c>
      <c r="O82" s="1494" t="str">
        <f t="shared" ca="1" si="34"/>
        <v>-</v>
      </c>
      <c r="P82" s="1494" t="str">
        <f t="shared" ca="1" si="35"/>
        <v>-</v>
      </c>
      <c r="Q82" s="1494" t="str">
        <f t="shared" ca="1" si="36"/>
        <v>-</v>
      </c>
      <c r="R82" s="847"/>
    </row>
  </sheetData>
  <mergeCells count="1">
    <mergeCell ref="C1:C2"/>
  </mergeCells>
  <pageMargins left="0.23622047244094491" right="0.23622047244094491" top="0.35433070866141736" bottom="0.35433070866141736" header="0.31496062992125984" footer="0.31496062992125984"/>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70"/>
  <sheetViews>
    <sheetView topLeftCell="A13" workbookViewId="0">
      <selection sqref="A1:XFD12"/>
    </sheetView>
  </sheetViews>
  <sheetFormatPr baseColWidth="10" defaultColWidth="8.77734375" defaultRowHeight="12" customHeight="1"/>
  <cols>
    <col min="1" max="1" width="3" bestFit="1" customWidth="1"/>
    <col min="2" max="2" width="5" bestFit="1" customWidth="1"/>
    <col min="3" max="3" width="4.88671875" bestFit="1" customWidth="1"/>
    <col min="4" max="4" width="6.33203125" customWidth="1"/>
    <col min="5" max="5" width="12.109375" bestFit="1" customWidth="1"/>
    <col min="6" max="6" width="16.5546875" bestFit="1" customWidth="1"/>
    <col min="7" max="7" width="13.109375" bestFit="1" customWidth="1"/>
    <col min="8" max="8" width="6.77734375" customWidth="1"/>
    <col min="9" max="9" width="13.109375" bestFit="1" customWidth="1"/>
    <col min="10" max="10" width="15.6640625" bestFit="1" customWidth="1"/>
    <col min="11" max="11" width="4" customWidth="1"/>
  </cols>
  <sheetData>
    <row r="1" spans="1:11" ht="12" hidden="1" customHeight="1" thickBot="1">
      <c r="C1" s="855" t="s">
        <v>178</v>
      </c>
      <c r="D1" s="856" t="s">
        <v>3645</v>
      </c>
      <c r="E1" s="857" t="s">
        <v>1138</v>
      </c>
      <c r="F1" s="856" t="s">
        <v>840</v>
      </c>
      <c r="G1" s="857" t="s">
        <v>709</v>
      </c>
      <c r="H1" s="857" t="s">
        <v>3646</v>
      </c>
      <c r="I1" s="857" t="s">
        <v>3647</v>
      </c>
      <c r="J1" s="857" t="s">
        <v>866</v>
      </c>
    </row>
    <row r="2" spans="1:11" ht="12" hidden="1" customHeight="1" thickBot="1">
      <c r="C2" s="854">
        <v>1</v>
      </c>
      <c r="D2" s="126">
        <v>20</v>
      </c>
      <c r="E2" s="858" t="s">
        <v>3648</v>
      </c>
      <c r="F2" s="126" t="s">
        <v>3649</v>
      </c>
      <c r="G2" s="858" t="s">
        <v>3650</v>
      </c>
      <c r="H2" s="858" t="s">
        <v>3651</v>
      </c>
      <c r="I2" s="858" t="s">
        <v>3652</v>
      </c>
      <c r="J2" s="858" t="s">
        <v>3653</v>
      </c>
    </row>
    <row r="3" spans="1:11" ht="12" hidden="1" customHeight="1" thickBot="1">
      <c r="C3" s="859">
        <v>2</v>
      </c>
      <c r="D3" s="860">
        <v>40</v>
      </c>
      <c r="E3" s="861" t="s">
        <v>3654</v>
      </c>
      <c r="F3" s="860" t="s">
        <v>3655</v>
      </c>
      <c r="G3" s="861" t="s">
        <v>3656</v>
      </c>
      <c r="H3" s="861" t="s">
        <v>3657</v>
      </c>
      <c r="I3" s="861" t="s">
        <v>3658</v>
      </c>
      <c r="J3" s="861" t="s">
        <v>3659</v>
      </c>
    </row>
    <row r="4" spans="1:11" ht="12" hidden="1" customHeight="1" thickBot="1">
      <c r="C4" s="854">
        <v>3</v>
      </c>
      <c r="D4" s="126">
        <v>60</v>
      </c>
      <c r="E4" s="858" t="s">
        <v>3660</v>
      </c>
      <c r="F4" s="126" t="s">
        <v>3661</v>
      </c>
      <c r="G4" s="858" t="s">
        <v>2058</v>
      </c>
      <c r="H4" s="858" t="s">
        <v>3662</v>
      </c>
      <c r="I4" s="858" t="s">
        <v>3658</v>
      </c>
      <c r="J4" s="858" t="s">
        <v>3659</v>
      </c>
    </row>
    <row r="5" spans="1:11" ht="12" hidden="1" customHeight="1" thickBot="1">
      <c r="C5" s="859">
        <v>4</v>
      </c>
      <c r="D5" s="860">
        <v>80</v>
      </c>
      <c r="E5" s="861" t="s">
        <v>3663</v>
      </c>
      <c r="F5" s="860" t="s">
        <v>3664</v>
      </c>
      <c r="G5" s="861" t="s">
        <v>2058</v>
      </c>
      <c r="H5" s="861" t="s">
        <v>3665</v>
      </c>
      <c r="I5" s="861" t="s">
        <v>3658</v>
      </c>
      <c r="J5" s="861" t="s">
        <v>3666</v>
      </c>
    </row>
    <row r="6" spans="1:11" ht="12" hidden="1" customHeight="1" thickBot="1">
      <c r="C6" s="854">
        <v>5</v>
      </c>
      <c r="D6" s="126">
        <v>100</v>
      </c>
      <c r="E6" s="858" t="s">
        <v>3663</v>
      </c>
      <c r="F6" s="126" t="s">
        <v>3667</v>
      </c>
      <c r="G6" s="858" t="s">
        <v>2058</v>
      </c>
      <c r="H6" s="858" t="s">
        <v>3665</v>
      </c>
      <c r="I6" s="858" t="s">
        <v>3668</v>
      </c>
      <c r="J6" s="858" t="s">
        <v>3666</v>
      </c>
    </row>
    <row r="7" spans="1:11" ht="12" hidden="1" customHeight="1" thickBot="1">
      <c r="C7" s="859">
        <v>6</v>
      </c>
      <c r="D7" s="860">
        <v>120</v>
      </c>
      <c r="E7" s="861" t="s">
        <v>3663</v>
      </c>
      <c r="F7" s="860" t="s">
        <v>3669</v>
      </c>
      <c r="G7" s="861" t="s">
        <v>2058</v>
      </c>
      <c r="H7" s="861" t="s">
        <v>3670</v>
      </c>
      <c r="I7" s="861" t="s">
        <v>3668</v>
      </c>
      <c r="J7" s="861" t="s">
        <v>3666</v>
      </c>
    </row>
    <row r="8" spans="1:11" ht="12" hidden="1" customHeight="1" thickBot="1">
      <c r="C8" s="854">
        <v>7</v>
      </c>
      <c r="D8" s="126">
        <v>140</v>
      </c>
      <c r="E8" s="858" t="s">
        <v>3663</v>
      </c>
      <c r="F8" s="126" t="s">
        <v>3671</v>
      </c>
      <c r="G8" s="858" t="s">
        <v>2058</v>
      </c>
      <c r="H8" s="858" t="s">
        <v>3670</v>
      </c>
      <c r="I8" s="858" t="s">
        <v>3672</v>
      </c>
      <c r="J8" s="858" t="s">
        <v>3673</v>
      </c>
    </row>
    <row r="9" spans="1:11" ht="12" hidden="1" customHeight="1" thickBot="1">
      <c r="C9" s="859">
        <v>8</v>
      </c>
      <c r="D9" s="860">
        <v>160</v>
      </c>
      <c r="E9" s="861" t="s">
        <v>3674</v>
      </c>
      <c r="F9" s="860" t="s">
        <v>3675</v>
      </c>
      <c r="G9" s="861" t="s">
        <v>2058</v>
      </c>
      <c r="H9" s="861" t="s">
        <v>3676</v>
      </c>
      <c r="I9" s="861" t="s">
        <v>3677</v>
      </c>
      <c r="J9" s="861" t="s">
        <v>3678</v>
      </c>
    </row>
    <row r="10" spans="1:11" ht="12" hidden="1" customHeight="1" thickBot="1">
      <c r="C10" s="854">
        <v>9</v>
      </c>
      <c r="D10" s="126">
        <v>180</v>
      </c>
      <c r="E10" s="858" t="s">
        <v>3679</v>
      </c>
      <c r="F10" s="126" t="s">
        <v>3680</v>
      </c>
      <c r="G10" s="858" t="s">
        <v>3681</v>
      </c>
      <c r="H10" s="858" t="s">
        <v>3682</v>
      </c>
      <c r="I10" s="858" t="s">
        <v>3683</v>
      </c>
      <c r="J10" s="858" t="s">
        <v>3684</v>
      </c>
    </row>
    <row r="11" spans="1:11" ht="12" hidden="1" customHeight="1" thickBot="1">
      <c r="C11" s="859">
        <v>10</v>
      </c>
      <c r="D11" s="860">
        <v>200</v>
      </c>
      <c r="E11" s="861" t="s">
        <v>3685</v>
      </c>
      <c r="F11" s="860" t="s">
        <v>3686</v>
      </c>
      <c r="G11" s="861" t="s">
        <v>3687</v>
      </c>
      <c r="H11" s="861" t="s">
        <v>3688</v>
      </c>
      <c r="I11" s="861" t="s">
        <v>3689</v>
      </c>
      <c r="J11" s="861" t="s">
        <v>3690</v>
      </c>
    </row>
    <row r="12" spans="1:11" ht="12" hidden="1" customHeight="1"/>
    <row r="13" spans="1:11" ht="12" customHeight="1">
      <c r="A13" s="432" t="s">
        <v>719</v>
      </c>
      <c r="B13" s="863" t="s">
        <v>3691</v>
      </c>
      <c r="C13" s="863" t="s">
        <v>1</v>
      </c>
      <c r="D13" s="864" t="s">
        <v>3645</v>
      </c>
      <c r="E13" s="864" t="s">
        <v>1138</v>
      </c>
      <c r="F13" s="864" t="s">
        <v>840</v>
      </c>
      <c r="G13" s="864" t="s">
        <v>709</v>
      </c>
      <c r="H13" s="864" t="s">
        <v>3646</v>
      </c>
      <c r="I13" s="864" t="s">
        <v>3647</v>
      </c>
      <c r="J13" s="864" t="s">
        <v>866</v>
      </c>
      <c r="K13" s="862" t="s">
        <v>685</v>
      </c>
    </row>
    <row r="14" spans="1:11" s="865" customFormat="1" ht="27.6" customHeight="1">
      <c r="A14" s="868">
        <v>1</v>
      </c>
      <c r="B14" s="868"/>
      <c r="C14" s="868"/>
      <c r="D14" s="868">
        <f t="shared" ref="D14:D77" ca="1" si="0">LOOKUP(RANDBETWEEN(1,10),D10tré,TréQT)</f>
        <v>160</v>
      </c>
      <c r="E14" s="868" t="str">
        <f t="shared" ref="E14:E77" ca="1" si="1">LOOKUP(RANDBETWEEN(1,10),D10tré,TréForme)</f>
        <v>Inachevée -10</v>
      </c>
      <c r="F14" s="868" t="str">
        <f t="shared" ref="F14:F77" ca="1" si="2">LOOKUP(RANDBETWEEN(1,10),D10tré,TréEtat)</f>
        <v>E= 50</v>
      </c>
      <c r="G14" s="868" t="str">
        <f t="shared" ref="G14:G77" ca="1" si="3">LOOKUP(RANDBETWEEN(1,10),D10tré,TréTaille)</f>
        <v>Moyenne</v>
      </c>
      <c r="H14" s="868" t="str">
        <f t="shared" ref="H14:H77" ca="1" si="4">LOOKUP(RANDBETWEEN(1,10),D10tré,TréQualité)</f>
        <v>Q= 40</v>
      </c>
      <c r="I14" s="868" t="str">
        <f t="shared" ref="I14:I77" ca="1" si="5">LOOKUP(RANDBETWEEN(1,10),D10tré,TréAncienneté)</f>
        <v>Très récent</v>
      </c>
      <c r="J14" s="868" t="str">
        <f t="shared" ref="J14:J77" ca="1" si="6">LOOKUP(RANDBETWEEN(1,10),D10tré,TréOrigine)</f>
        <v>Régionale</v>
      </c>
      <c r="K14" s="242"/>
    </row>
    <row r="15" spans="1:11" s="865" customFormat="1" ht="27.6" customHeight="1">
      <c r="A15" s="869">
        <v>2</v>
      </c>
      <c r="B15" s="869"/>
      <c r="C15" s="869"/>
      <c r="D15" s="869">
        <f t="shared" ca="1" si="0"/>
        <v>100</v>
      </c>
      <c r="E15" s="869" t="str">
        <f t="shared" ca="1" si="1"/>
        <v>Normale</v>
      </c>
      <c r="F15" s="869" t="str">
        <f t="shared" ca="1" si="2"/>
        <v>Très mauvais E- - 20</v>
      </c>
      <c r="G15" s="869" t="str">
        <f t="shared" ca="1" si="3"/>
        <v>Très Petite -20</v>
      </c>
      <c r="H15" s="869" t="str">
        <f t="shared" ca="1" si="4"/>
        <v>Q= 50</v>
      </c>
      <c r="I15" s="869" t="str">
        <f t="shared" ca="1" si="5"/>
        <v>Spécial +100</v>
      </c>
      <c r="J15" s="869" t="str">
        <f t="shared" ca="1" si="6"/>
        <v>Etrangère +30</v>
      </c>
      <c r="K15" s="866"/>
    </row>
    <row r="16" spans="1:11" s="865" customFormat="1" ht="27.6" customHeight="1">
      <c r="A16" s="870">
        <v>3</v>
      </c>
      <c r="B16" s="870"/>
      <c r="C16" s="870"/>
      <c r="D16" s="870">
        <f t="shared" ca="1" si="0"/>
        <v>120</v>
      </c>
      <c r="E16" s="870" t="str">
        <f t="shared" ca="1" si="1"/>
        <v>Originale +10</v>
      </c>
      <c r="F16" s="870" t="str">
        <f t="shared" ca="1" si="2"/>
        <v>Mauvais E- 40</v>
      </c>
      <c r="G16" s="870" t="str">
        <f t="shared" ca="1" si="3"/>
        <v>Moyenne</v>
      </c>
      <c r="H16" s="870" t="str">
        <f t="shared" ca="1" si="4"/>
        <v>Q+ 60</v>
      </c>
      <c r="I16" s="870" t="str">
        <f t="shared" ca="1" si="5"/>
        <v>Vieux -20</v>
      </c>
      <c r="J16" s="870" t="str">
        <f t="shared" ca="1" si="6"/>
        <v>Régionale</v>
      </c>
      <c r="K16" s="242"/>
    </row>
    <row r="17" spans="1:11" s="865" customFormat="1" ht="27.6" customHeight="1">
      <c r="A17" s="869">
        <v>4</v>
      </c>
      <c r="B17" s="869"/>
      <c r="C17" s="869"/>
      <c r="D17" s="869">
        <f t="shared" ca="1" si="0"/>
        <v>120</v>
      </c>
      <c r="E17" s="869" t="str">
        <f t="shared" ca="1" si="1"/>
        <v>Grotesque -50</v>
      </c>
      <c r="F17" s="869" t="str">
        <f t="shared" ca="1" si="2"/>
        <v>Mauvais E- 40</v>
      </c>
      <c r="G17" s="869" t="str">
        <f t="shared" ca="1" si="3"/>
        <v>Moyenne</v>
      </c>
      <c r="H17" s="869" t="str">
        <f t="shared" ca="1" si="4"/>
        <v>Q- - 10</v>
      </c>
      <c r="I17" s="869" t="str">
        <f t="shared" ca="1" si="5"/>
        <v>Spécial +100</v>
      </c>
      <c r="J17" s="869" t="str">
        <f t="shared" ca="1" si="6"/>
        <v>Etrangère +50</v>
      </c>
      <c r="K17" s="866"/>
    </row>
    <row r="18" spans="1:11" s="865" customFormat="1" ht="27.6" customHeight="1">
      <c r="A18" s="870">
        <v>5</v>
      </c>
      <c r="B18" s="870"/>
      <c r="C18" s="870"/>
      <c r="D18" s="870">
        <f t="shared" ca="1" si="0"/>
        <v>20</v>
      </c>
      <c r="E18" s="870" t="str">
        <f t="shared" ca="1" si="1"/>
        <v>Spéciale +50</v>
      </c>
      <c r="F18" s="870" t="str">
        <f t="shared" ca="1" si="2"/>
        <v>E= 50</v>
      </c>
      <c r="G18" s="870" t="str">
        <f t="shared" ca="1" si="3"/>
        <v>Moyenne</v>
      </c>
      <c r="H18" s="870" t="str">
        <f t="shared" ca="1" si="4"/>
        <v>Q- 30</v>
      </c>
      <c r="I18" s="870" t="str">
        <f t="shared" ca="1" si="5"/>
        <v>Récent</v>
      </c>
      <c r="J18" s="870" t="str">
        <f t="shared" ca="1" si="6"/>
        <v>Régionale</v>
      </c>
      <c r="K18" s="242"/>
    </row>
    <row r="19" spans="1:11" s="865" customFormat="1" ht="27.6" customHeight="1">
      <c r="A19" s="869">
        <v>6</v>
      </c>
      <c r="B19" s="869"/>
      <c r="C19" s="869"/>
      <c r="D19" s="869">
        <f t="shared" ca="1" si="0"/>
        <v>120</v>
      </c>
      <c r="E19" s="869" t="str">
        <f t="shared" ca="1" si="1"/>
        <v>Normale</v>
      </c>
      <c r="F19" s="869" t="str">
        <f t="shared" ca="1" si="2"/>
        <v>Très bon E+ 80</v>
      </c>
      <c r="G19" s="869" t="str">
        <f t="shared" ca="1" si="3"/>
        <v>Petite -10</v>
      </c>
      <c r="H19" s="869" t="str">
        <f t="shared" ca="1" si="4"/>
        <v>Q- 30</v>
      </c>
      <c r="I19" s="869" t="str">
        <f t="shared" ca="1" si="5"/>
        <v>Ancien +50</v>
      </c>
      <c r="J19" s="869" t="str">
        <f t="shared" ca="1" si="6"/>
        <v>Lointain +100</v>
      </c>
      <c r="K19" s="866"/>
    </row>
    <row r="20" spans="1:11" s="865" customFormat="1" ht="27.6" customHeight="1">
      <c r="A20" s="870">
        <v>7</v>
      </c>
      <c r="B20" s="870"/>
      <c r="C20" s="870"/>
      <c r="D20" s="870">
        <f t="shared" ca="1" si="0"/>
        <v>60</v>
      </c>
      <c r="E20" s="870" t="str">
        <f t="shared" ca="1" si="1"/>
        <v>Originale +10</v>
      </c>
      <c r="F20" s="870" t="str">
        <f t="shared" ca="1" si="2"/>
        <v>E= 70</v>
      </c>
      <c r="G20" s="870" t="str">
        <f t="shared" ca="1" si="3"/>
        <v>Moyenne</v>
      </c>
      <c r="H20" s="870" t="str">
        <f t="shared" ca="1" si="4"/>
        <v>Q- - 10</v>
      </c>
      <c r="I20" s="870" t="str">
        <f t="shared" ca="1" si="5"/>
        <v>Vieux -20</v>
      </c>
      <c r="J20" s="870" t="str">
        <f t="shared" ca="1" si="6"/>
        <v>Locale</v>
      </c>
      <c r="K20" s="242"/>
    </row>
    <row r="21" spans="1:11" s="865" customFormat="1" ht="27.6" customHeight="1">
      <c r="A21" s="869">
        <v>8</v>
      </c>
      <c r="B21" s="869"/>
      <c r="C21" s="869"/>
      <c r="D21" s="869">
        <f t="shared" ca="1" si="0"/>
        <v>120</v>
      </c>
      <c r="E21" s="869" t="str">
        <f t="shared" ca="1" si="1"/>
        <v>Normale</v>
      </c>
      <c r="F21" s="869" t="str">
        <f t="shared" ca="1" si="2"/>
        <v>E= 70</v>
      </c>
      <c r="G21" s="869" t="str">
        <f t="shared" ca="1" si="3"/>
        <v>Petite -10</v>
      </c>
      <c r="H21" s="869" t="str">
        <f t="shared" ca="1" si="4"/>
        <v>Q= 50</v>
      </c>
      <c r="I21" s="869" t="str">
        <f t="shared" ca="1" si="5"/>
        <v>Spécial +100</v>
      </c>
      <c r="J21" s="869" t="str">
        <f t="shared" ca="1" si="6"/>
        <v>Très locale</v>
      </c>
      <c r="K21" s="866"/>
    </row>
    <row r="22" spans="1:11" s="865" customFormat="1" ht="27.6" customHeight="1">
      <c r="A22" s="870">
        <v>9</v>
      </c>
      <c r="B22" s="870"/>
      <c r="C22" s="870"/>
      <c r="D22" s="870">
        <f t="shared" ca="1" si="0"/>
        <v>40</v>
      </c>
      <c r="E22" s="870" t="str">
        <f t="shared" ca="1" si="1"/>
        <v>Normale</v>
      </c>
      <c r="F22" s="870" t="str">
        <f t="shared" ca="1" si="2"/>
        <v>E= 60</v>
      </c>
      <c r="G22" s="870" t="str">
        <f t="shared" ca="1" si="3"/>
        <v>Très Petite -20</v>
      </c>
      <c r="H22" s="870" t="str">
        <f t="shared" ca="1" si="4"/>
        <v>Q++ 80</v>
      </c>
      <c r="I22" s="870" t="str">
        <f t="shared" ca="1" si="5"/>
        <v>Spécial +100</v>
      </c>
      <c r="J22" s="870" t="str">
        <f t="shared" ca="1" si="6"/>
        <v>Etrangère +50</v>
      </c>
      <c r="K22" s="242"/>
    </row>
    <row r="23" spans="1:11" s="865" customFormat="1" ht="27.6" customHeight="1">
      <c r="A23" s="869">
        <v>10</v>
      </c>
      <c r="B23" s="869"/>
      <c r="C23" s="869"/>
      <c r="D23" s="869">
        <f t="shared" ca="1" si="0"/>
        <v>180</v>
      </c>
      <c r="E23" s="869" t="str">
        <f t="shared" ca="1" si="1"/>
        <v>Spéciale +50</v>
      </c>
      <c r="F23" s="869" t="str">
        <f t="shared" ca="1" si="2"/>
        <v>Mauvais E- 40</v>
      </c>
      <c r="G23" s="869" t="str">
        <f t="shared" ca="1" si="3"/>
        <v>Moyenne</v>
      </c>
      <c r="H23" s="869" t="str">
        <f t="shared" ca="1" si="4"/>
        <v>Q++ 80</v>
      </c>
      <c r="I23" s="869" t="str">
        <f t="shared" ca="1" si="5"/>
        <v>Spécial +100</v>
      </c>
      <c r="J23" s="869" t="str">
        <f t="shared" ca="1" si="6"/>
        <v>Régionale</v>
      </c>
      <c r="K23" s="866"/>
    </row>
    <row r="24" spans="1:11" s="865" customFormat="1" ht="27.6" customHeight="1">
      <c r="A24" s="870">
        <v>11</v>
      </c>
      <c r="B24" s="870"/>
      <c r="C24" s="870"/>
      <c r="D24" s="870">
        <f t="shared" ca="1" si="0"/>
        <v>120</v>
      </c>
      <c r="E24" s="870" t="str">
        <f t="shared" ca="1" si="1"/>
        <v>Normale</v>
      </c>
      <c r="F24" s="870" t="str">
        <f t="shared" ca="1" si="2"/>
        <v>E= 70</v>
      </c>
      <c r="G24" s="870" t="str">
        <f t="shared" ca="1" si="3"/>
        <v>Très Petite -20</v>
      </c>
      <c r="H24" s="870" t="str">
        <f t="shared" ca="1" si="4"/>
        <v>Q- 20</v>
      </c>
      <c r="I24" s="870" t="str">
        <f t="shared" ca="1" si="5"/>
        <v>Spécial +100</v>
      </c>
      <c r="J24" s="870" t="str">
        <f t="shared" ca="1" si="6"/>
        <v>Régionale</v>
      </c>
      <c r="K24" s="242"/>
    </row>
    <row r="25" spans="1:11" s="865" customFormat="1" ht="27.6" customHeight="1">
      <c r="A25" s="869">
        <v>12</v>
      </c>
      <c r="B25" s="869"/>
      <c r="C25" s="869"/>
      <c r="D25" s="869">
        <f t="shared" ca="1" si="0"/>
        <v>180</v>
      </c>
      <c r="E25" s="869" t="str">
        <f t="shared" ca="1" si="1"/>
        <v>Originale +10</v>
      </c>
      <c r="F25" s="869" t="str">
        <f t="shared" ca="1" si="2"/>
        <v>Très bon E+ 80</v>
      </c>
      <c r="G25" s="869" t="str">
        <f t="shared" ca="1" si="3"/>
        <v>Petite -10</v>
      </c>
      <c r="H25" s="869" t="str">
        <f t="shared" ca="1" si="4"/>
        <v>Q= 50</v>
      </c>
      <c r="I25" s="869" t="str">
        <f t="shared" ca="1" si="5"/>
        <v>Récent</v>
      </c>
      <c r="J25" s="869" t="str">
        <f t="shared" ca="1" si="6"/>
        <v>Très locale</v>
      </c>
      <c r="K25" s="866"/>
    </row>
    <row r="26" spans="1:11" s="865" customFormat="1" ht="27.6" customHeight="1">
      <c r="A26" s="870">
        <v>13</v>
      </c>
      <c r="B26" s="870"/>
      <c r="C26" s="870"/>
      <c r="D26" s="870">
        <f t="shared" ca="1" si="0"/>
        <v>160</v>
      </c>
      <c r="E26" s="870" t="str">
        <f t="shared" ca="1" si="1"/>
        <v>Normale</v>
      </c>
      <c r="F26" s="870" t="str">
        <f t="shared" ca="1" si="2"/>
        <v>Très bon E+ 80</v>
      </c>
      <c r="G26" s="870" t="str">
        <f t="shared" ca="1" si="3"/>
        <v>Très Petite -20</v>
      </c>
      <c r="H26" s="870" t="str">
        <f t="shared" ca="1" si="4"/>
        <v>Q= 50</v>
      </c>
      <c r="I26" s="870" t="str">
        <f t="shared" ca="1" si="5"/>
        <v>Ancien +50</v>
      </c>
      <c r="J26" s="870" t="str">
        <f t="shared" ca="1" si="6"/>
        <v>Régionale</v>
      </c>
      <c r="K26" s="242"/>
    </row>
    <row r="27" spans="1:11" s="865" customFormat="1" ht="27.6" customHeight="1">
      <c r="A27" s="869">
        <v>14</v>
      </c>
      <c r="B27" s="869"/>
      <c r="C27" s="869"/>
      <c r="D27" s="869">
        <f t="shared" ca="1" si="0"/>
        <v>120</v>
      </c>
      <c r="E27" s="869" t="str">
        <f t="shared" ca="1" si="1"/>
        <v>Rare +30</v>
      </c>
      <c r="F27" s="869" t="str">
        <f t="shared" ca="1" si="2"/>
        <v>E= 60</v>
      </c>
      <c r="G27" s="869" t="str">
        <f t="shared" ca="1" si="3"/>
        <v>Très Grande +20</v>
      </c>
      <c r="H27" s="869" t="str">
        <f t="shared" ca="1" si="4"/>
        <v>Q+ 70</v>
      </c>
      <c r="I27" s="869" t="str">
        <f t="shared" ca="1" si="5"/>
        <v>Récent</v>
      </c>
      <c r="J27" s="869" t="str">
        <f t="shared" ca="1" si="6"/>
        <v>Lointain +100</v>
      </c>
      <c r="K27" s="866"/>
    </row>
    <row r="28" spans="1:11" s="865" customFormat="1" ht="27.6" customHeight="1">
      <c r="A28" s="870">
        <v>15</v>
      </c>
      <c r="B28" s="870"/>
      <c r="C28" s="870"/>
      <c r="D28" s="870">
        <f t="shared" ca="1" si="0"/>
        <v>100</v>
      </c>
      <c r="E28" s="870" t="str">
        <f t="shared" ca="1" si="1"/>
        <v>Grotesque -50</v>
      </c>
      <c r="F28" s="870" t="str">
        <f t="shared" ca="1" si="2"/>
        <v>Mauvais E- 30</v>
      </c>
      <c r="G28" s="870" t="str">
        <f t="shared" ca="1" si="3"/>
        <v>Grande +10</v>
      </c>
      <c r="H28" s="870" t="str">
        <f t="shared" ca="1" si="4"/>
        <v>Q= 50</v>
      </c>
      <c r="I28" s="870" t="str">
        <f t="shared" ca="1" si="5"/>
        <v>Vieux -20</v>
      </c>
      <c r="J28" s="870" t="str">
        <f t="shared" ca="1" si="6"/>
        <v>Autre monde +200</v>
      </c>
      <c r="K28" s="242"/>
    </row>
    <row r="29" spans="1:11" s="865" customFormat="1" ht="27.6" customHeight="1">
      <c r="A29" s="869">
        <v>16</v>
      </c>
      <c r="B29" s="869"/>
      <c r="C29" s="869"/>
      <c r="D29" s="869">
        <f t="shared" ca="1" si="0"/>
        <v>180</v>
      </c>
      <c r="E29" s="869" t="str">
        <f t="shared" ca="1" si="1"/>
        <v>Normale</v>
      </c>
      <c r="F29" s="869" t="str">
        <f t="shared" ca="1" si="2"/>
        <v>Mauvais E- 40</v>
      </c>
      <c r="G29" s="869" t="str">
        <f t="shared" ca="1" si="3"/>
        <v>Très Petite -20</v>
      </c>
      <c r="H29" s="869" t="str">
        <f t="shared" ca="1" si="4"/>
        <v>Q= 40</v>
      </c>
      <c r="I29" s="869" t="str">
        <f t="shared" ca="1" si="5"/>
        <v>Assez Récent</v>
      </c>
      <c r="J29" s="869" t="str">
        <f t="shared" ca="1" si="6"/>
        <v>Locale</v>
      </c>
      <c r="K29" s="866"/>
    </row>
    <row r="30" spans="1:11" s="865" customFormat="1" ht="27.6" customHeight="1">
      <c r="A30" s="870">
        <v>17</v>
      </c>
      <c r="B30" s="870"/>
      <c r="C30" s="870"/>
      <c r="D30" s="870">
        <f t="shared" ca="1" si="0"/>
        <v>140</v>
      </c>
      <c r="E30" s="870" t="str">
        <f t="shared" ca="1" si="1"/>
        <v>Spéciale +50</v>
      </c>
      <c r="F30" s="870" t="str">
        <f t="shared" ca="1" si="2"/>
        <v>Très bon E+ 80</v>
      </c>
      <c r="G30" s="870" t="str">
        <f t="shared" ca="1" si="3"/>
        <v>Grande +10</v>
      </c>
      <c r="H30" s="870" t="str">
        <f t="shared" ca="1" si="4"/>
        <v>Q- - 10</v>
      </c>
      <c r="I30" s="870" t="str">
        <f t="shared" ca="1" si="5"/>
        <v>Assez Récent</v>
      </c>
      <c r="J30" s="870" t="str">
        <f t="shared" ca="1" si="6"/>
        <v>Régionale</v>
      </c>
      <c r="K30" s="242"/>
    </row>
    <row r="31" spans="1:11" s="865" customFormat="1" ht="27.6" customHeight="1">
      <c r="A31" s="869">
        <v>18</v>
      </c>
      <c r="B31" s="869"/>
      <c r="C31" s="869"/>
      <c r="D31" s="869">
        <f t="shared" ca="1" si="0"/>
        <v>100</v>
      </c>
      <c r="E31" s="869" t="str">
        <f t="shared" ca="1" si="1"/>
        <v>Grotesque -50</v>
      </c>
      <c r="F31" s="869" t="str">
        <f t="shared" ca="1" si="2"/>
        <v>Excellent E++ 100</v>
      </c>
      <c r="G31" s="869" t="str">
        <f t="shared" ca="1" si="3"/>
        <v>Moyenne</v>
      </c>
      <c r="H31" s="869" t="str">
        <f t="shared" ca="1" si="4"/>
        <v>Q= 50</v>
      </c>
      <c r="I31" s="869" t="str">
        <f t="shared" ca="1" si="5"/>
        <v>Récent</v>
      </c>
      <c r="J31" s="869" t="str">
        <f t="shared" ca="1" si="6"/>
        <v>Régionale</v>
      </c>
      <c r="K31" s="866"/>
    </row>
    <row r="32" spans="1:11" s="865" customFormat="1" ht="27.6" customHeight="1">
      <c r="A32" s="870">
        <v>19</v>
      </c>
      <c r="B32" s="870"/>
      <c r="C32" s="870"/>
      <c r="D32" s="870">
        <f t="shared" ca="1" si="0"/>
        <v>180</v>
      </c>
      <c r="E32" s="870" t="str">
        <f t="shared" ca="1" si="1"/>
        <v>Normale</v>
      </c>
      <c r="F32" s="870" t="str">
        <f t="shared" ca="1" si="2"/>
        <v>Mauvais E- 40</v>
      </c>
      <c r="G32" s="870" t="str">
        <f t="shared" ca="1" si="3"/>
        <v>Très Grande +20</v>
      </c>
      <c r="H32" s="870" t="str">
        <f t="shared" ca="1" si="4"/>
        <v>Q- 30</v>
      </c>
      <c r="I32" s="870" t="str">
        <f t="shared" ca="1" si="5"/>
        <v>Assez Récent</v>
      </c>
      <c r="J32" s="870" t="str">
        <f t="shared" ca="1" si="6"/>
        <v>Autre monde +200</v>
      </c>
      <c r="K32" s="242"/>
    </row>
    <row r="33" spans="1:11" s="865" customFormat="1" ht="27.6" customHeight="1">
      <c r="A33" s="869">
        <v>20</v>
      </c>
      <c r="B33" s="869"/>
      <c r="C33" s="869"/>
      <c r="D33" s="869">
        <f t="shared" ca="1" si="0"/>
        <v>80</v>
      </c>
      <c r="E33" s="869" t="str">
        <f t="shared" ca="1" si="1"/>
        <v>Inachevée -10</v>
      </c>
      <c r="F33" s="869" t="str">
        <f t="shared" ca="1" si="2"/>
        <v>Mauvais E- 40</v>
      </c>
      <c r="G33" s="869" t="str">
        <f t="shared" ca="1" si="3"/>
        <v>Moyenne</v>
      </c>
      <c r="H33" s="869" t="str">
        <f t="shared" ca="1" si="4"/>
        <v>Q= 40</v>
      </c>
      <c r="I33" s="869" t="str">
        <f t="shared" ca="1" si="5"/>
        <v>Récent</v>
      </c>
      <c r="J33" s="869" t="str">
        <f t="shared" ca="1" si="6"/>
        <v>Lointain +100</v>
      </c>
      <c r="K33" s="866"/>
    </row>
    <row r="34" spans="1:11" s="865" customFormat="1" ht="27.6" customHeight="1">
      <c r="A34" s="870">
        <v>21</v>
      </c>
      <c r="B34" s="870"/>
      <c r="C34" s="870"/>
      <c r="D34" s="870">
        <f t="shared" ca="1" si="0"/>
        <v>120</v>
      </c>
      <c r="E34" s="870" t="str">
        <f t="shared" ca="1" si="1"/>
        <v>Rare +30</v>
      </c>
      <c r="F34" s="870" t="str">
        <f t="shared" ca="1" si="2"/>
        <v>Très bon E+ 90</v>
      </c>
      <c r="G34" s="870" t="str">
        <f t="shared" ca="1" si="3"/>
        <v>Très Petite -20</v>
      </c>
      <c r="H34" s="870" t="str">
        <f t="shared" ca="1" si="4"/>
        <v>Q= 50</v>
      </c>
      <c r="I34" s="870" t="str">
        <f t="shared" ca="1" si="5"/>
        <v>Très récent</v>
      </c>
      <c r="J34" s="870" t="str">
        <f t="shared" ca="1" si="6"/>
        <v>Lointain +100</v>
      </c>
      <c r="K34" s="242"/>
    </row>
    <row r="35" spans="1:11" s="865" customFormat="1" ht="27.6" customHeight="1">
      <c r="A35" s="869">
        <v>22</v>
      </c>
      <c r="B35" s="869"/>
      <c r="C35" s="869"/>
      <c r="D35" s="869">
        <f t="shared" ca="1" si="0"/>
        <v>120</v>
      </c>
      <c r="E35" s="869" t="str">
        <f t="shared" ca="1" si="1"/>
        <v>Spéciale +50</v>
      </c>
      <c r="F35" s="869" t="str">
        <f t="shared" ca="1" si="2"/>
        <v>Mauvais E- 30</v>
      </c>
      <c r="G35" s="869" t="str">
        <f t="shared" ca="1" si="3"/>
        <v>Moyenne</v>
      </c>
      <c r="H35" s="869" t="str">
        <f t="shared" ca="1" si="4"/>
        <v>Q++ 80</v>
      </c>
      <c r="I35" s="869" t="str">
        <f t="shared" ca="1" si="5"/>
        <v>Récent</v>
      </c>
      <c r="J35" s="869" t="str">
        <f t="shared" ca="1" si="6"/>
        <v>Régionale</v>
      </c>
      <c r="K35" s="867"/>
    </row>
    <row r="36" spans="1:11" s="865" customFormat="1" ht="27.6" customHeight="1">
      <c r="A36" s="870">
        <v>23</v>
      </c>
      <c r="B36" s="870"/>
      <c r="C36" s="870"/>
      <c r="D36" s="870">
        <f t="shared" ca="1" si="0"/>
        <v>60</v>
      </c>
      <c r="E36" s="870" t="str">
        <f t="shared" ca="1" si="1"/>
        <v>Défaut -30</v>
      </c>
      <c r="F36" s="870" t="str">
        <f t="shared" ca="1" si="2"/>
        <v>Mauvais E- 30</v>
      </c>
      <c r="G36" s="870" t="str">
        <f t="shared" ca="1" si="3"/>
        <v>Très Petite -20</v>
      </c>
      <c r="H36" s="870" t="str">
        <f t="shared" ca="1" si="4"/>
        <v>Q= 40</v>
      </c>
      <c r="I36" s="870" t="str">
        <f t="shared" ca="1" si="5"/>
        <v>Assez Récent</v>
      </c>
      <c r="J36" s="870" t="str">
        <f t="shared" ca="1" si="6"/>
        <v>Régionale</v>
      </c>
    </row>
    <row r="37" spans="1:11" s="865" customFormat="1" ht="27.6" customHeight="1">
      <c r="A37" s="869">
        <v>24</v>
      </c>
      <c r="B37" s="869"/>
      <c r="C37" s="869"/>
      <c r="D37" s="869">
        <f t="shared" ca="1" si="0"/>
        <v>40</v>
      </c>
      <c r="E37" s="869" t="str">
        <f t="shared" ca="1" si="1"/>
        <v>Inachevée -10</v>
      </c>
      <c r="F37" s="869" t="str">
        <f t="shared" ca="1" si="2"/>
        <v>E= 60</v>
      </c>
      <c r="G37" s="869" t="str">
        <f t="shared" ca="1" si="3"/>
        <v>Moyenne</v>
      </c>
      <c r="H37" s="869" t="str">
        <f t="shared" ca="1" si="4"/>
        <v>Q+ 60</v>
      </c>
      <c r="I37" s="869" t="str">
        <f t="shared" ca="1" si="5"/>
        <v>Spécial +100</v>
      </c>
      <c r="J37" s="869" t="str">
        <f t="shared" ca="1" si="6"/>
        <v>Etrangère +50</v>
      </c>
      <c r="K37" s="867"/>
    </row>
    <row r="38" spans="1:11" s="865" customFormat="1" ht="27.6" customHeight="1">
      <c r="A38" s="870">
        <v>25</v>
      </c>
      <c r="B38" s="870"/>
      <c r="C38" s="870"/>
      <c r="D38" s="870">
        <f t="shared" ca="1" si="0"/>
        <v>100</v>
      </c>
      <c r="E38" s="870" t="str">
        <f t="shared" ca="1" si="1"/>
        <v>Normale</v>
      </c>
      <c r="F38" s="870" t="str">
        <f t="shared" ca="1" si="2"/>
        <v>Mauvais E- 30</v>
      </c>
      <c r="G38" s="870" t="str">
        <f t="shared" ca="1" si="3"/>
        <v>Moyenne</v>
      </c>
      <c r="H38" s="870" t="str">
        <f t="shared" ca="1" si="4"/>
        <v>Q- - 10</v>
      </c>
      <c r="I38" s="870" t="str">
        <f t="shared" ca="1" si="5"/>
        <v>Très ancien +80</v>
      </c>
      <c r="J38" s="870" t="str">
        <f t="shared" ca="1" si="6"/>
        <v>Régionale</v>
      </c>
    </row>
    <row r="39" spans="1:11" ht="12" customHeight="1">
      <c r="A39" s="870">
        <v>26</v>
      </c>
      <c r="B39" s="870"/>
      <c r="C39" s="870"/>
      <c r="D39" s="870">
        <f t="shared" ca="1" si="0"/>
        <v>20</v>
      </c>
      <c r="E39" s="870" t="str">
        <f t="shared" ca="1" si="1"/>
        <v>Normale</v>
      </c>
      <c r="F39" s="870" t="str">
        <f t="shared" ca="1" si="2"/>
        <v>E= 80</v>
      </c>
      <c r="G39" s="870" t="str">
        <f t="shared" ca="1" si="3"/>
        <v>Très Grande +20</v>
      </c>
      <c r="H39" s="870" t="str">
        <f t="shared" ca="1" si="4"/>
        <v>Q= 40</v>
      </c>
      <c r="I39" s="870" t="str">
        <f t="shared" ca="1" si="5"/>
        <v>Assez Récent</v>
      </c>
      <c r="J39" s="870" t="str">
        <f t="shared" ca="1" si="6"/>
        <v>Très locale</v>
      </c>
      <c r="K39" s="865"/>
    </row>
    <row r="40" spans="1:11" ht="12" customHeight="1">
      <c r="A40" s="870">
        <v>27</v>
      </c>
      <c r="B40" s="870"/>
      <c r="C40" s="870"/>
      <c r="D40" s="870">
        <f t="shared" ca="1" si="0"/>
        <v>80</v>
      </c>
      <c r="E40" s="870" t="str">
        <f t="shared" ca="1" si="1"/>
        <v>Rare +30</v>
      </c>
      <c r="F40" s="870" t="str">
        <f t="shared" ca="1" si="2"/>
        <v>Très bon E+ 90</v>
      </c>
      <c r="G40" s="870" t="str">
        <f t="shared" ca="1" si="3"/>
        <v>Très Grande +20</v>
      </c>
      <c r="H40" s="870" t="str">
        <f t="shared" ca="1" si="4"/>
        <v>Q- - 10</v>
      </c>
      <c r="I40" s="870" t="str">
        <f t="shared" ca="1" si="5"/>
        <v>Très ancien +80</v>
      </c>
      <c r="J40" s="870" t="str">
        <f t="shared" ca="1" si="6"/>
        <v>Locale</v>
      </c>
      <c r="K40" s="865"/>
    </row>
    <row r="41" spans="1:11" ht="12" customHeight="1">
      <c r="A41" s="870">
        <v>28</v>
      </c>
      <c r="B41" s="870"/>
      <c r="C41" s="870"/>
      <c r="D41" s="870">
        <f t="shared" ca="1" si="0"/>
        <v>120</v>
      </c>
      <c r="E41" s="870" t="str">
        <f t="shared" ca="1" si="1"/>
        <v>Grotesque -50</v>
      </c>
      <c r="F41" s="870" t="str">
        <f t="shared" ca="1" si="2"/>
        <v>Mauvais E- 30</v>
      </c>
      <c r="G41" s="870" t="str">
        <f t="shared" ca="1" si="3"/>
        <v>Moyenne</v>
      </c>
      <c r="H41" s="870" t="str">
        <f t="shared" ca="1" si="4"/>
        <v>Q++ 80</v>
      </c>
      <c r="I41" s="870" t="str">
        <f t="shared" ca="1" si="5"/>
        <v>Récent</v>
      </c>
      <c r="J41" s="870" t="str">
        <f t="shared" ca="1" si="6"/>
        <v>Etrangère +30</v>
      </c>
      <c r="K41" s="865"/>
    </row>
    <row r="42" spans="1:11" ht="12" customHeight="1">
      <c r="A42" s="870">
        <v>29</v>
      </c>
      <c r="B42" s="870"/>
      <c r="C42" s="870"/>
      <c r="D42" s="870">
        <f t="shared" ca="1" si="0"/>
        <v>80</v>
      </c>
      <c r="E42" s="870" t="str">
        <f t="shared" ca="1" si="1"/>
        <v>Inachevée -10</v>
      </c>
      <c r="F42" s="870" t="str">
        <f t="shared" ca="1" si="2"/>
        <v>Excellent E++ 100</v>
      </c>
      <c r="G42" s="870" t="str">
        <f t="shared" ca="1" si="3"/>
        <v>Moyenne</v>
      </c>
      <c r="H42" s="870" t="str">
        <f t="shared" ca="1" si="4"/>
        <v>Q= 50</v>
      </c>
      <c r="I42" s="870" t="str">
        <f t="shared" ca="1" si="5"/>
        <v>Très ancien +80</v>
      </c>
      <c r="J42" s="870" t="str">
        <f t="shared" ca="1" si="6"/>
        <v>Etrangère +50</v>
      </c>
      <c r="K42" s="865"/>
    </row>
    <row r="43" spans="1:11" ht="12" customHeight="1">
      <c r="A43" s="870">
        <v>30</v>
      </c>
      <c r="B43" s="870"/>
      <c r="C43" s="870"/>
      <c r="D43" s="870">
        <f t="shared" ca="1" si="0"/>
        <v>80</v>
      </c>
      <c r="E43" s="870" t="str">
        <f t="shared" ca="1" si="1"/>
        <v>Originale +10</v>
      </c>
      <c r="F43" s="870" t="str">
        <f t="shared" ca="1" si="2"/>
        <v>E= 70</v>
      </c>
      <c r="G43" s="870" t="str">
        <f t="shared" ca="1" si="3"/>
        <v>Très Grande +20</v>
      </c>
      <c r="H43" s="870" t="str">
        <f t="shared" ca="1" si="4"/>
        <v>Q+ 60</v>
      </c>
      <c r="I43" s="870" t="str">
        <f t="shared" ca="1" si="5"/>
        <v>Ancien +50</v>
      </c>
      <c r="J43" s="870" t="str">
        <f t="shared" ca="1" si="6"/>
        <v>Régionale</v>
      </c>
      <c r="K43" s="865"/>
    </row>
    <row r="44" spans="1:11" ht="12" customHeight="1">
      <c r="A44" s="870">
        <v>31</v>
      </c>
      <c r="B44" s="870"/>
      <c r="C44" s="870"/>
      <c r="D44" s="870">
        <f t="shared" ca="1" si="0"/>
        <v>120</v>
      </c>
      <c r="E44" s="870" t="str">
        <f t="shared" ca="1" si="1"/>
        <v>Rare +30</v>
      </c>
      <c r="F44" s="870" t="str">
        <f t="shared" ca="1" si="2"/>
        <v>Mauvais E- 40</v>
      </c>
      <c r="G44" s="870" t="str">
        <f t="shared" ca="1" si="3"/>
        <v>Moyenne</v>
      </c>
      <c r="H44" s="870" t="str">
        <f t="shared" ca="1" si="4"/>
        <v>Q+ 70</v>
      </c>
      <c r="I44" s="870" t="str">
        <f t="shared" ca="1" si="5"/>
        <v>Ancien +50</v>
      </c>
      <c r="J44" s="870" t="str">
        <f t="shared" ca="1" si="6"/>
        <v>Très locale</v>
      </c>
      <c r="K44" s="865"/>
    </row>
    <row r="45" spans="1:11" ht="12" customHeight="1">
      <c r="A45" s="870">
        <v>32</v>
      </c>
      <c r="B45" s="870"/>
      <c r="C45" s="870"/>
      <c r="D45" s="870">
        <f t="shared" ca="1" si="0"/>
        <v>200</v>
      </c>
      <c r="E45" s="870" t="str">
        <f t="shared" ca="1" si="1"/>
        <v>Normale</v>
      </c>
      <c r="F45" s="870" t="str">
        <f t="shared" ca="1" si="2"/>
        <v>Mauvais E- 30</v>
      </c>
      <c r="G45" s="870" t="str">
        <f t="shared" ca="1" si="3"/>
        <v>Grande +10</v>
      </c>
      <c r="H45" s="870" t="str">
        <f t="shared" ca="1" si="4"/>
        <v>Q= 40</v>
      </c>
      <c r="I45" s="870" t="str">
        <f t="shared" ca="1" si="5"/>
        <v>Récent</v>
      </c>
      <c r="J45" s="870" t="str">
        <f t="shared" ca="1" si="6"/>
        <v>Locale</v>
      </c>
      <c r="K45" s="865"/>
    </row>
    <row r="46" spans="1:11" ht="12" customHeight="1">
      <c r="A46" s="870">
        <v>33</v>
      </c>
      <c r="B46" s="870"/>
      <c r="C46" s="870"/>
      <c r="D46" s="870">
        <f t="shared" ca="1" si="0"/>
        <v>20</v>
      </c>
      <c r="E46" s="870" t="str">
        <f t="shared" ca="1" si="1"/>
        <v>Normale</v>
      </c>
      <c r="F46" s="870" t="str">
        <f t="shared" ca="1" si="2"/>
        <v>E= 80</v>
      </c>
      <c r="G46" s="870" t="str">
        <f t="shared" ca="1" si="3"/>
        <v>Petite -10</v>
      </c>
      <c r="H46" s="870" t="str">
        <f t="shared" ca="1" si="4"/>
        <v>Q= 40</v>
      </c>
      <c r="I46" s="870" t="str">
        <f t="shared" ca="1" si="5"/>
        <v>Très ancien +80</v>
      </c>
      <c r="J46" s="870" t="str">
        <f t="shared" ca="1" si="6"/>
        <v>Lointain +100</v>
      </c>
      <c r="K46" s="865"/>
    </row>
    <row r="47" spans="1:11" ht="12" customHeight="1">
      <c r="A47" s="870">
        <v>34</v>
      </c>
      <c r="B47" s="870"/>
      <c r="C47" s="870"/>
      <c r="D47" s="870">
        <f t="shared" ca="1" si="0"/>
        <v>160</v>
      </c>
      <c r="E47" s="870" t="str">
        <f t="shared" ca="1" si="1"/>
        <v>Inachevée -10</v>
      </c>
      <c r="F47" s="870" t="str">
        <f t="shared" ca="1" si="2"/>
        <v>Mauvais E- 40</v>
      </c>
      <c r="G47" s="870" t="str">
        <f t="shared" ca="1" si="3"/>
        <v>Moyenne</v>
      </c>
      <c r="H47" s="870" t="str">
        <f t="shared" ca="1" si="4"/>
        <v>Q= 50</v>
      </c>
      <c r="I47" s="870" t="str">
        <f t="shared" ca="1" si="5"/>
        <v>Spécial +100</v>
      </c>
      <c r="J47" s="870" t="str">
        <f t="shared" ca="1" si="6"/>
        <v>Autre monde +200</v>
      </c>
      <c r="K47" s="865"/>
    </row>
    <row r="48" spans="1:11" ht="12" customHeight="1">
      <c r="A48" s="870">
        <v>35</v>
      </c>
      <c r="B48" s="870"/>
      <c r="C48" s="870"/>
      <c r="D48" s="870">
        <f t="shared" ca="1" si="0"/>
        <v>180</v>
      </c>
      <c r="E48" s="870" t="str">
        <f t="shared" ca="1" si="1"/>
        <v>Défaut -30</v>
      </c>
      <c r="F48" s="870" t="str">
        <f t="shared" ca="1" si="2"/>
        <v>E= 60</v>
      </c>
      <c r="G48" s="870" t="str">
        <f t="shared" ca="1" si="3"/>
        <v>Petite -10</v>
      </c>
      <c r="H48" s="870" t="str">
        <f t="shared" ca="1" si="4"/>
        <v>Q+ 60</v>
      </c>
      <c r="I48" s="870" t="str">
        <f t="shared" ca="1" si="5"/>
        <v>Assez Récent</v>
      </c>
      <c r="J48" s="870" t="str">
        <f t="shared" ca="1" si="6"/>
        <v>Etrangère +50</v>
      </c>
      <c r="K48" s="865"/>
    </row>
    <row r="49" spans="1:11" ht="12" customHeight="1">
      <c r="A49" s="870">
        <v>36</v>
      </c>
      <c r="B49" s="870"/>
      <c r="C49" s="870"/>
      <c r="D49" s="870">
        <f t="shared" ca="1" si="0"/>
        <v>100</v>
      </c>
      <c r="E49" s="870" t="str">
        <f t="shared" ca="1" si="1"/>
        <v>Inachevée -10</v>
      </c>
      <c r="F49" s="870" t="str">
        <f t="shared" ca="1" si="2"/>
        <v>Très bon E+ 90</v>
      </c>
      <c r="G49" s="870" t="str">
        <f t="shared" ca="1" si="3"/>
        <v>Moyenne</v>
      </c>
      <c r="H49" s="870" t="str">
        <f t="shared" ca="1" si="4"/>
        <v>Q= 40</v>
      </c>
      <c r="I49" s="870" t="str">
        <f t="shared" ca="1" si="5"/>
        <v>Récent</v>
      </c>
      <c r="J49" s="870" t="str">
        <f t="shared" ca="1" si="6"/>
        <v>Locale</v>
      </c>
      <c r="K49" s="865"/>
    </row>
    <row r="50" spans="1:11" ht="12" customHeight="1">
      <c r="A50" s="870">
        <v>37</v>
      </c>
      <c r="B50" s="870"/>
      <c r="C50" s="870"/>
      <c r="D50" s="870">
        <f t="shared" ca="1" si="0"/>
        <v>200</v>
      </c>
      <c r="E50" s="870" t="str">
        <f t="shared" ca="1" si="1"/>
        <v>Spéciale +50</v>
      </c>
      <c r="F50" s="870" t="str">
        <f t="shared" ca="1" si="2"/>
        <v>Mauvais E- 40</v>
      </c>
      <c r="G50" s="870" t="str">
        <f t="shared" ca="1" si="3"/>
        <v>Moyenne</v>
      </c>
      <c r="H50" s="870" t="str">
        <f t="shared" ca="1" si="4"/>
        <v>Q++ 80</v>
      </c>
      <c r="I50" s="870" t="str">
        <f t="shared" ca="1" si="5"/>
        <v>Ancien +50</v>
      </c>
      <c r="J50" s="870" t="str">
        <f t="shared" ca="1" si="6"/>
        <v>Lointain +100</v>
      </c>
      <c r="K50" s="865"/>
    </row>
    <row r="51" spans="1:11" ht="12" customHeight="1">
      <c r="A51" s="870">
        <v>38</v>
      </c>
      <c r="B51" s="870"/>
      <c r="C51" s="870"/>
      <c r="D51" s="870">
        <f t="shared" ca="1" si="0"/>
        <v>20</v>
      </c>
      <c r="E51" s="870" t="str">
        <f t="shared" ca="1" si="1"/>
        <v>Défaut -30</v>
      </c>
      <c r="F51" s="870" t="str">
        <f t="shared" ca="1" si="2"/>
        <v>Mauvais E- 30</v>
      </c>
      <c r="G51" s="870" t="str">
        <f t="shared" ca="1" si="3"/>
        <v>Moyenne</v>
      </c>
      <c r="H51" s="870" t="str">
        <f t="shared" ca="1" si="4"/>
        <v>Q- - 10</v>
      </c>
      <c r="I51" s="870" t="str">
        <f t="shared" ca="1" si="5"/>
        <v>Spécial +100</v>
      </c>
      <c r="J51" s="870" t="str">
        <f t="shared" ca="1" si="6"/>
        <v>Locale</v>
      </c>
      <c r="K51" s="865"/>
    </row>
    <row r="52" spans="1:11" ht="12" customHeight="1">
      <c r="A52" s="870">
        <v>39</v>
      </c>
      <c r="B52" s="870"/>
      <c r="C52" s="870"/>
      <c r="D52" s="870">
        <f t="shared" ca="1" si="0"/>
        <v>120</v>
      </c>
      <c r="E52" s="870" t="str">
        <f t="shared" ca="1" si="1"/>
        <v>Rare +30</v>
      </c>
      <c r="F52" s="870" t="str">
        <f t="shared" ca="1" si="2"/>
        <v>Excellent E++ 100</v>
      </c>
      <c r="G52" s="870" t="str">
        <f t="shared" ca="1" si="3"/>
        <v>Moyenne</v>
      </c>
      <c r="H52" s="870" t="str">
        <f t="shared" ca="1" si="4"/>
        <v>Q++ 80</v>
      </c>
      <c r="I52" s="870" t="str">
        <f t="shared" ca="1" si="5"/>
        <v>Très récent</v>
      </c>
      <c r="J52" s="870" t="str">
        <f t="shared" ca="1" si="6"/>
        <v>Locale</v>
      </c>
      <c r="K52" s="865"/>
    </row>
    <row r="53" spans="1:11" ht="12" customHeight="1">
      <c r="A53" s="870">
        <v>40</v>
      </c>
      <c r="B53" s="870"/>
      <c r="C53" s="870"/>
      <c r="D53" s="870">
        <f t="shared" ca="1" si="0"/>
        <v>200</v>
      </c>
      <c r="E53" s="870" t="str">
        <f t="shared" ca="1" si="1"/>
        <v>Normale</v>
      </c>
      <c r="F53" s="870" t="str">
        <f t="shared" ca="1" si="2"/>
        <v>Mauvais E- 30</v>
      </c>
      <c r="G53" s="870" t="str">
        <f t="shared" ca="1" si="3"/>
        <v>Moyenne</v>
      </c>
      <c r="H53" s="870" t="str">
        <f t="shared" ca="1" si="4"/>
        <v>Q- 20</v>
      </c>
      <c r="I53" s="870" t="str">
        <f t="shared" ca="1" si="5"/>
        <v>Vieux -20</v>
      </c>
      <c r="J53" s="870" t="str">
        <f t="shared" ca="1" si="6"/>
        <v>Régionale</v>
      </c>
      <c r="K53" s="865"/>
    </row>
    <row r="54" spans="1:11" ht="12" customHeight="1">
      <c r="A54" s="870">
        <v>41</v>
      </c>
      <c r="B54" s="870"/>
      <c r="C54" s="870"/>
      <c r="D54" s="870">
        <f t="shared" ca="1" si="0"/>
        <v>160</v>
      </c>
      <c r="E54" s="870" t="str">
        <f t="shared" ca="1" si="1"/>
        <v>Spéciale +50</v>
      </c>
      <c r="F54" s="870" t="str">
        <f t="shared" ca="1" si="2"/>
        <v>Très bon E+ 90</v>
      </c>
      <c r="G54" s="870" t="str">
        <f t="shared" ca="1" si="3"/>
        <v>Moyenne</v>
      </c>
      <c r="H54" s="870" t="str">
        <f t="shared" ca="1" si="4"/>
        <v>Q- 30</v>
      </c>
      <c r="I54" s="870" t="str">
        <f t="shared" ca="1" si="5"/>
        <v>Assez Récent</v>
      </c>
      <c r="J54" s="870" t="str">
        <f t="shared" ca="1" si="6"/>
        <v>Etrangère +50</v>
      </c>
      <c r="K54" s="865"/>
    </row>
    <row r="55" spans="1:11" ht="12" customHeight="1">
      <c r="A55" s="870">
        <v>42</v>
      </c>
      <c r="B55" s="870"/>
      <c r="C55" s="870"/>
      <c r="D55" s="870">
        <f t="shared" ca="1" si="0"/>
        <v>40</v>
      </c>
      <c r="E55" s="870" t="str">
        <f t="shared" ca="1" si="1"/>
        <v>Grotesque -50</v>
      </c>
      <c r="F55" s="870" t="str">
        <f t="shared" ca="1" si="2"/>
        <v>Mauvais E- 30</v>
      </c>
      <c r="G55" s="870" t="str">
        <f t="shared" ca="1" si="3"/>
        <v>Grande +10</v>
      </c>
      <c r="H55" s="870" t="str">
        <f t="shared" ca="1" si="4"/>
        <v>Q= 50</v>
      </c>
      <c r="I55" s="870" t="str">
        <f t="shared" ca="1" si="5"/>
        <v>Très ancien +80</v>
      </c>
      <c r="J55" s="870" t="str">
        <f t="shared" ca="1" si="6"/>
        <v>Etrangère +50</v>
      </c>
      <c r="K55" s="865"/>
    </row>
    <row r="56" spans="1:11" ht="12" customHeight="1">
      <c r="A56" s="870">
        <v>43</v>
      </c>
      <c r="B56" s="870"/>
      <c r="C56" s="870"/>
      <c r="D56" s="870">
        <f t="shared" ca="1" si="0"/>
        <v>140</v>
      </c>
      <c r="E56" s="870" t="str">
        <f t="shared" ca="1" si="1"/>
        <v>Spéciale +50</v>
      </c>
      <c r="F56" s="870" t="str">
        <f t="shared" ca="1" si="2"/>
        <v>E= 60</v>
      </c>
      <c r="G56" s="870" t="str">
        <f t="shared" ca="1" si="3"/>
        <v>Très Grande +20</v>
      </c>
      <c r="H56" s="870" t="str">
        <f t="shared" ca="1" si="4"/>
        <v>Q= 40</v>
      </c>
      <c r="I56" s="870" t="str">
        <f t="shared" ca="1" si="5"/>
        <v>Vieux -20</v>
      </c>
      <c r="J56" s="870" t="str">
        <f t="shared" ca="1" si="6"/>
        <v>Autre monde +200</v>
      </c>
      <c r="K56" s="865"/>
    </row>
    <row r="57" spans="1:11" ht="12" customHeight="1">
      <c r="A57" s="870">
        <v>44</v>
      </c>
      <c r="B57" s="870"/>
      <c r="C57" s="870"/>
      <c r="D57" s="870">
        <f t="shared" ca="1" si="0"/>
        <v>200</v>
      </c>
      <c r="E57" s="870" t="str">
        <f t="shared" ca="1" si="1"/>
        <v>Originale +10</v>
      </c>
      <c r="F57" s="870" t="str">
        <f t="shared" ca="1" si="2"/>
        <v>Excellent E++ 100</v>
      </c>
      <c r="G57" s="870" t="str">
        <f t="shared" ca="1" si="3"/>
        <v>Grande +10</v>
      </c>
      <c r="H57" s="870" t="str">
        <f t="shared" ca="1" si="4"/>
        <v>Q= 50</v>
      </c>
      <c r="I57" s="870" t="str">
        <f t="shared" ca="1" si="5"/>
        <v>Très récent</v>
      </c>
      <c r="J57" s="870" t="str">
        <f t="shared" ca="1" si="6"/>
        <v>Locale</v>
      </c>
      <c r="K57" s="865"/>
    </row>
    <row r="58" spans="1:11" ht="12" customHeight="1">
      <c r="A58" s="870">
        <v>45</v>
      </c>
      <c r="B58" s="870"/>
      <c r="C58" s="870"/>
      <c r="D58" s="870">
        <f t="shared" ca="1" si="0"/>
        <v>20</v>
      </c>
      <c r="E58" s="870" t="str">
        <f t="shared" ca="1" si="1"/>
        <v>Grotesque -50</v>
      </c>
      <c r="F58" s="870" t="str">
        <f t="shared" ca="1" si="2"/>
        <v>Mauvais E- 30</v>
      </c>
      <c r="G58" s="870" t="str">
        <f t="shared" ca="1" si="3"/>
        <v>Petite -10</v>
      </c>
      <c r="H58" s="870" t="str">
        <f t="shared" ca="1" si="4"/>
        <v>Q++ 80</v>
      </c>
      <c r="I58" s="870" t="str">
        <f t="shared" ca="1" si="5"/>
        <v>Vieux -20</v>
      </c>
      <c r="J58" s="870" t="str">
        <f t="shared" ca="1" si="6"/>
        <v>Autre monde +200</v>
      </c>
      <c r="K58" s="865"/>
    </row>
    <row r="59" spans="1:11" ht="12" customHeight="1">
      <c r="A59" s="870">
        <v>46</v>
      </c>
      <c r="B59" s="870"/>
      <c r="C59" s="870"/>
      <c r="D59" s="870">
        <f t="shared" ca="1" si="0"/>
        <v>100</v>
      </c>
      <c r="E59" s="870" t="str">
        <f t="shared" ca="1" si="1"/>
        <v>Spéciale +50</v>
      </c>
      <c r="F59" s="870" t="str">
        <f t="shared" ca="1" si="2"/>
        <v>Excellent E++ 100</v>
      </c>
      <c r="G59" s="870" t="str">
        <f t="shared" ca="1" si="3"/>
        <v>Moyenne</v>
      </c>
      <c r="H59" s="870" t="str">
        <f t="shared" ca="1" si="4"/>
        <v>Q= 50</v>
      </c>
      <c r="I59" s="870" t="str">
        <f t="shared" ca="1" si="5"/>
        <v>Très récent</v>
      </c>
      <c r="J59" s="870" t="str">
        <f t="shared" ca="1" si="6"/>
        <v>Autre monde +200</v>
      </c>
      <c r="K59" s="865"/>
    </row>
    <row r="60" spans="1:11" ht="12" customHeight="1">
      <c r="A60" s="870">
        <v>47</v>
      </c>
      <c r="B60" s="870"/>
      <c r="C60" s="870"/>
      <c r="D60" s="870">
        <f t="shared" ca="1" si="0"/>
        <v>80</v>
      </c>
      <c r="E60" s="870" t="str">
        <f t="shared" ca="1" si="1"/>
        <v>Rare +30</v>
      </c>
      <c r="F60" s="870" t="str">
        <f t="shared" ca="1" si="2"/>
        <v>E= 80</v>
      </c>
      <c r="G60" s="870" t="str">
        <f t="shared" ca="1" si="3"/>
        <v>Moyenne</v>
      </c>
      <c r="H60" s="870" t="str">
        <f t="shared" ca="1" si="4"/>
        <v>Q+ 70</v>
      </c>
      <c r="I60" s="870" t="str">
        <f t="shared" ca="1" si="5"/>
        <v>Très ancien +80</v>
      </c>
      <c r="J60" s="870" t="str">
        <f t="shared" ca="1" si="6"/>
        <v>Etrangère +50</v>
      </c>
      <c r="K60" s="865"/>
    </row>
    <row r="61" spans="1:11" ht="12" customHeight="1">
      <c r="A61" s="870">
        <v>48</v>
      </c>
      <c r="B61" s="870"/>
      <c r="C61" s="870"/>
      <c r="D61" s="870">
        <f t="shared" ca="1" si="0"/>
        <v>200</v>
      </c>
      <c r="E61" s="870" t="str">
        <f t="shared" ca="1" si="1"/>
        <v>Normale</v>
      </c>
      <c r="F61" s="870" t="str">
        <f t="shared" ca="1" si="2"/>
        <v>Très bon E+ 80</v>
      </c>
      <c r="G61" s="870" t="str">
        <f t="shared" ca="1" si="3"/>
        <v>Moyenne</v>
      </c>
      <c r="H61" s="870" t="str">
        <f t="shared" ca="1" si="4"/>
        <v>Q- 30</v>
      </c>
      <c r="I61" s="870" t="str">
        <f t="shared" ca="1" si="5"/>
        <v>Très ancien +80</v>
      </c>
      <c r="J61" s="870" t="str">
        <f t="shared" ca="1" si="6"/>
        <v>Locale</v>
      </c>
      <c r="K61" s="865"/>
    </row>
    <row r="62" spans="1:11" ht="12" customHeight="1">
      <c r="A62" s="870">
        <v>49</v>
      </c>
      <c r="B62" s="870"/>
      <c r="C62" s="870"/>
      <c r="D62" s="870">
        <f t="shared" ca="1" si="0"/>
        <v>60</v>
      </c>
      <c r="E62" s="870" t="str">
        <f t="shared" ca="1" si="1"/>
        <v>Inachevée -10</v>
      </c>
      <c r="F62" s="870" t="str">
        <f t="shared" ca="1" si="2"/>
        <v>E= 80</v>
      </c>
      <c r="G62" s="870" t="str">
        <f t="shared" ca="1" si="3"/>
        <v>Moyenne</v>
      </c>
      <c r="H62" s="870" t="str">
        <f t="shared" ca="1" si="4"/>
        <v>Q- 20</v>
      </c>
      <c r="I62" s="870" t="str">
        <f t="shared" ca="1" si="5"/>
        <v>Très récent</v>
      </c>
      <c r="J62" s="870" t="str">
        <f t="shared" ca="1" si="6"/>
        <v>Très locale</v>
      </c>
      <c r="K62" s="865"/>
    </row>
    <row r="63" spans="1:11" ht="12" customHeight="1">
      <c r="A63" s="870">
        <v>50</v>
      </c>
      <c r="B63" s="870"/>
      <c r="C63" s="870"/>
      <c r="D63" s="870">
        <f t="shared" ca="1" si="0"/>
        <v>120</v>
      </c>
      <c r="E63" s="870" t="str">
        <f t="shared" ca="1" si="1"/>
        <v>Spéciale +50</v>
      </c>
      <c r="F63" s="870" t="str">
        <f t="shared" ca="1" si="2"/>
        <v>E= 60</v>
      </c>
      <c r="G63" s="870" t="str">
        <f t="shared" ca="1" si="3"/>
        <v>Moyenne</v>
      </c>
      <c r="H63" s="870" t="str">
        <f t="shared" ca="1" si="4"/>
        <v>Q= 50</v>
      </c>
      <c r="I63" s="870" t="str">
        <f t="shared" ca="1" si="5"/>
        <v>Vieux -20</v>
      </c>
      <c r="J63" s="870" t="str">
        <f t="shared" ca="1" si="6"/>
        <v>Lointain +100</v>
      </c>
      <c r="K63" s="865"/>
    </row>
    <row r="64" spans="1:11" ht="12" customHeight="1">
      <c r="A64" s="870">
        <v>51</v>
      </c>
      <c r="B64" s="870"/>
      <c r="C64" s="870"/>
      <c r="D64" s="870">
        <f t="shared" ca="1" si="0"/>
        <v>100</v>
      </c>
      <c r="E64" s="870" t="str">
        <f t="shared" ca="1" si="1"/>
        <v>Défaut -30</v>
      </c>
      <c r="F64" s="870" t="str">
        <f t="shared" ca="1" si="2"/>
        <v>Très bon E+ 80</v>
      </c>
      <c r="G64" s="870" t="str">
        <f t="shared" ca="1" si="3"/>
        <v>Petite -10</v>
      </c>
      <c r="H64" s="870" t="str">
        <f t="shared" ca="1" si="4"/>
        <v>Q+ 70</v>
      </c>
      <c r="I64" s="870" t="str">
        <f t="shared" ca="1" si="5"/>
        <v>Récent</v>
      </c>
      <c r="J64" s="870" t="str">
        <f t="shared" ca="1" si="6"/>
        <v>Locale</v>
      </c>
      <c r="K64" s="865"/>
    </row>
    <row r="65" spans="1:11" ht="12" customHeight="1">
      <c r="A65" s="870">
        <v>52</v>
      </c>
      <c r="B65" s="870"/>
      <c r="C65" s="870"/>
      <c r="D65" s="870">
        <f t="shared" ca="1" si="0"/>
        <v>200</v>
      </c>
      <c r="E65" s="870" t="str">
        <f t="shared" ca="1" si="1"/>
        <v>Normale</v>
      </c>
      <c r="F65" s="870" t="str">
        <f t="shared" ca="1" si="2"/>
        <v>E= 50</v>
      </c>
      <c r="G65" s="870" t="str">
        <f t="shared" ca="1" si="3"/>
        <v>Moyenne</v>
      </c>
      <c r="H65" s="870" t="str">
        <f t="shared" ca="1" si="4"/>
        <v>Q= 50</v>
      </c>
      <c r="I65" s="870" t="str">
        <f t="shared" ca="1" si="5"/>
        <v>Très récent</v>
      </c>
      <c r="J65" s="870" t="str">
        <f t="shared" ca="1" si="6"/>
        <v>Locale</v>
      </c>
      <c r="K65" s="865"/>
    </row>
    <row r="66" spans="1:11" ht="12" customHeight="1">
      <c r="A66" s="870">
        <v>53</v>
      </c>
      <c r="B66" s="870"/>
      <c r="C66" s="870"/>
      <c r="D66" s="870">
        <f t="shared" ca="1" si="0"/>
        <v>20</v>
      </c>
      <c r="E66" s="870" t="str">
        <f t="shared" ca="1" si="1"/>
        <v>Normale</v>
      </c>
      <c r="F66" s="870" t="str">
        <f t="shared" ca="1" si="2"/>
        <v>Mauvais E- 40</v>
      </c>
      <c r="G66" s="870" t="str">
        <f t="shared" ca="1" si="3"/>
        <v>Très Grande +20</v>
      </c>
      <c r="H66" s="870" t="str">
        <f t="shared" ca="1" si="4"/>
        <v>Q= 40</v>
      </c>
      <c r="I66" s="870" t="str">
        <f t="shared" ca="1" si="5"/>
        <v>Très récent</v>
      </c>
      <c r="J66" s="870" t="str">
        <f t="shared" ca="1" si="6"/>
        <v>Régionale</v>
      </c>
      <c r="K66" s="865"/>
    </row>
    <row r="67" spans="1:11" ht="12" customHeight="1">
      <c r="A67" s="870">
        <v>54</v>
      </c>
      <c r="B67" s="870"/>
      <c r="C67" s="870"/>
      <c r="D67" s="870">
        <f t="shared" ca="1" si="0"/>
        <v>100</v>
      </c>
      <c r="E67" s="870" t="str">
        <f t="shared" ca="1" si="1"/>
        <v>Rare +30</v>
      </c>
      <c r="F67" s="870" t="str">
        <f t="shared" ca="1" si="2"/>
        <v>E= 80</v>
      </c>
      <c r="G67" s="870" t="str">
        <f t="shared" ca="1" si="3"/>
        <v>Petite -10</v>
      </c>
      <c r="H67" s="870" t="str">
        <f t="shared" ca="1" si="4"/>
        <v>Q- - 10</v>
      </c>
      <c r="I67" s="870" t="str">
        <f t="shared" ca="1" si="5"/>
        <v>Spécial +100</v>
      </c>
      <c r="J67" s="870" t="str">
        <f t="shared" ca="1" si="6"/>
        <v>Etrangère +30</v>
      </c>
      <c r="K67" s="865"/>
    </row>
    <row r="68" spans="1:11" ht="12" customHeight="1">
      <c r="A68" s="870">
        <v>55</v>
      </c>
      <c r="B68" s="870"/>
      <c r="C68" s="870"/>
      <c r="D68" s="870">
        <f t="shared" ca="1" si="0"/>
        <v>40</v>
      </c>
      <c r="E68" s="870" t="str">
        <f t="shared" ca="1" si="1"/>
        <v>Inachevée -10</v>
      </c>
      <c r="F68" s="870" t="str">
        <f t="shared" ca="1" si="2"/>
        <v>Très mauvais E- - 20</v>
      </c>
      <c r="G68" s="870" t="str">
        <f t="shared" ca="1" si="3"/>
        <v>Moyenne</v>
      </c>
      <c r="H68" s="870" t="str">
        <f t="shared" ca="1" si="4"/>
        <v>Q++ 80</v>
      </c>
      <c r="I68" s="870" t="str">
        <f t="shared" ca="1" si="5"/>
        <v>Très ancien +80</v>
      </c>
      <c r="J68" s="870" t="str">
        <f t="shared" ca="1" si="6"/>
        <v>Très locale</v>
      </c>
      <c r="K68" s="865"/>
    </row>
    <row r="69" spans="1:11" ht="12" customHeight="1">
      <c r="A69" s="870">
        <v>56</v>
      </c>
      <c r="B69" s="870"/>
      <c r="C69" s="870"/>
      <c r="D69" s="870">
        <f t="shared" ca="1" si="0"/>
        <v>160</v>
      </c>
      <c r="E69" s="870" t="str">
        <f t="shared" ca="1" si="1"/>
        <v>Inachevée -10</v>
      </c>
      <c r="F69" s="870" t="str">
        <f t="shared" ca="1" si="2"/>
        <v>Très bon E+ 90</v>
      </c>
      <c r="G69" s="870" t="str">
        <f t="shared" ca="1" si="3"/>
        <v>Très Grande +20</v>
      </c>
      <c r="H69" s="870" t="str">
        <f t="shared" ca="1" si="4"/>
        <v>Q+ 60</v>
      </c>
      <c r="I69" s="870" t="str">
        <f t="shared" ca="1" si="5"/>
        <v>Très récent</v>
      </c>
      <c r="J69" s="870" t="str">
        <f t="shared" ca="1" si="6"/>
        <v>Autre monde +200</v>
      </c>
      <c r="K69" s="865"/>
    </row>
    <row r="70" spans="1:11" ht="12" customHeight="1">
      <c r="A70" s="870">
        <v>57</v>
      </c>
      <c r="B70" s="870"/>
      <c r="C70" s="870"/>
      <c r="D70" s="870">
        <f t="shared" ca="1" si="0"/>
        <v>160</v>
      </c>
      <c r="E70" s="870" t="str">
        <f t="shared" ca="1" si="1"/>
        <v>Originale +10</v>
      </c>
      <c r="F70" s="870" t="str">
        <f t="shared" ca="1" si="2"/>
        <v>Mauvais E- 40</v>
      </c>
      <c r="G70" s="870" t="str">
        <f t="shared" ca="1" si="3"/>
        <v>Grande +10</v>
      </c>
      <c r="H70" s="870" t="str">
        <f t="shared" ca="1" si="4"/>
        <v>Q+ 60</v>
      </c>
      <c r="I70" s="870" t="str">
        <f t="shared" ca="1" si="5"/>
        <v>Très ancien +80</v>
      </c>
      <c r="J70" s="870" t="str">
        <f t="shared" ca="1" si="6"/>
        <v>Locale</v>
      </c>
      <c r="K70" s="865"/>
    </row>
    <row r="71" spans="1:11" ht="12" customHeight="1">
      <c r="A71" s="870">
        <v>58</v>
      </c>
      <c r="B71" s="870"/>
      <c r="C71" s="870"/>
      <c r="D71" s="870">
        <f t="shared" ca="1" si="0"/>
        <v>80</v>
      </c>
      <c r="E71" s="870" t="str">
        <f t="shared" ca="1" si="1"/>
        <v>Normale</v>
      </c>
      <c r="F71" s="870" t="str">
        <f t="shared" ca="1" si="2"/>
        <v>Mauvais E- 40</v>
      </c>
      <c r="G71" s="870" t="str">
        <f t="shared" ca="1" si="3"/>
        <v>Très Grande +20</v>
      </c>
      <c r="H71" s="870" t="str">
        <f t="shared" ca="1" si="4"/>
        <v>Q= 50</v>
      </c>
      <c r="I71" s="870" t="str">
        <f t="shared" ca="1" si="5"/>
        <v>Vieux -20</v>
      </c>
      <c r="J71" s="870" t="str">
        <f t="shared" ca="1" si="6"/>
        <v>Locale</v>
      </c>
      <c r="K71" s="865"/>
    </row>
    <row r="72" spans="1:11" ht="12" customHeight="1">
      <c r="A72" s="870">
        <v>59</v>
      </c>
      <c r="B72" s="870"/>
      <c r="C72" s="870"/>
      <c r="D72" s="870">
        <f t="shared" ca="1" si="0"/>
        <v>120</v>
      </c>
      <c r="E72" s="870" t="str">
        <f t="shared" ca="1" si="1"/>
        <v>Originale +10</v>
      </c>
      <c r="F72" s="870" t="str">
        <f t="shared" ca="1" si="2"/>
        <v>Mauvais E- 40</v>
      </c>
      <c r="G72" s="870" t="str">
        <f t="shared" ca="1" si="3"/>
        <v>Moyenne</v>
      </c>
      <c r="H72" s="870" t="str">
        <f t="shared" ca="1" si="4"/>
        <v>Q= 50</v>
      </c>
      <c r="I72" s="870" t="str">
        <f t="shared" ca="1" si="5"/>
        <v>Récent</v>
      </c>
      <c r="J72" s="870" t="str">
        <f t="shared" ca="1" si="6"/>
        <v>Très locale</v>
      </c>
      <c r="K72" s="865"/>
    </row>
    <row r="73" spans="1:11" ht="12" customHeight="1">
      <c r="A73" s="870">
        <v>60</v>
      </c>
      <c r="B73" s="870"/>
      <c r="C73" s="870"/>
      <c r="D73" s="870">
        <f t="shared" ca="1" si="0"/>
        <v>180</v>
      </c>
      <c r="E73" s="870" t="str">
        <f t="shared" ca="1" si="1"/>
        <v>Normale</v>
      </c>
      <c r="F73" s="870" t="str">
        <f t="shared" ca="1" si="2"/>
        <v>Mauvais E- 30</v>
      </c>
      <c r="G73" s="870" t="str">
        <f t="shared" ca="1" si="3"/>
        <v>Moyenne</v>
      </c>
      <c r="H73" s="870" t="str">
        <f t="shared" ca="1" si="4"/>
        <v>Q= 40</v>
      </c>
      <c r="I73" s="870" t="str">
        <f t="shared" ca="1" si="5"/>
        <v>Assez Récent</v>
      </c>
      <c r="J73" s="870" t="str">
        <f t="shared" ca="1" si="6"/>
        <v>Etrangère +30</v>
      </c>
      <c r="K73" s="865"/>
    </row>
    <row r="74" spans="1:11" ht="12" customHeight="1">
      <c r="A74" s="870">
        <v>61</v>
      </c>
      <c r="B74" s="870"/>
      <c r="C74" s="870"/>
      <c r="D74" s="870">
        <f t="shared" ca="1" si="0"/>
        <v>120</v>
      </c>
      <c r="E74" s="870" t="str">
        <f t="shared" ca="1" si="1"/>
        <v>Défaut -30</v>
      </c>
      <c r="F74" s="870" t="str">
        <f t="shared" ca="1" si="2"/>
        <v>Excellent E++ 100</v>
      </c>
      <c r="G74" s="870" t="str">
        <f t="shared" ca="1" si="3"/>
        <v>Moyenne</v>
      </c>
      <c r="H74" s="870" t="str">
        <f t="shared" ca="1" si="4"/>
        <v>Q++ 80</v>
      </c>
      <c r="I74" s="870" t="str">
        <f t="shared" ca="1" si="5"/>
        <v>Très récent</v>
      </c>
      <c r="J74" s="870" t="str">
        <f t="shared" ca="1" si="6"/>
        <v>Locale</v>
      </c>
      <c r="K74" s="865"/>
    </row>
    <row r="75" spans="1:11" ht="12" customHeight="1">
      <c r="A75" s="870">
        <v>62</v>
      </c>
      <c r="B75" s="870"/>
      <c r="C75" s="870"/>
      <c r="D75" s="870">
        <f t="shared" ca="1" si="0"/>
        <v>200</v>
      </c>
      <c r="E75" s="870" t="str">
        <f t="shared" ca="1" si="1"/>
        <v>Spéciale +50</v>
      </c>
      <c r="F75" s="870" t="str">
        <f t="shared" ca="1" si="2"/>
        <v>Mauvais E- 30</v>
      </c>
      <c r="G75" s="870" t="str">
        <f t="shared" ca="1" si="3"/>
        <v>Moyenne</v>
      </c>
      <c r="H75" s="870" t="str">
        <f t="shared" ca="1" si="4"/>
        <v>Q++ 80</v>
      </c>
      <c r="I75" s="870" t="str">
        <f t="shared" ca="1" si="5"/>
        <v>Ancien +50</v>
      </c>
      <c r="J75" s="870" t="str">
        <f t="shared" ca="1" si="6"/>
        <v>Régionale</v>
      </c>
      <c r="K75" s="865"/>
    </row>
    <row r="76" spans="1:11" ht="12" customHeight="1">
      <c r="A76" s="870">
        <v>63</v>
      </c>
      <c r="B76" s="870"/>
      <c r="C76" s="870"/>
      <c r="D76" s="870">
        <f t="shared" ca="1" si="0"/>
        <v>160</v>
      </c>
      <c r="E76" s="870" t="str">
        <f t="shared" ca="1" si="1"/>
        <v>Rare +30</v>
      </c>
      <c r="F76" s="870" t="str">
        <f t="shared" ca="1" si="2"/>
        <v>Excellent E++ 100</v>
      </c>
      <c r="G76" s="870" t="str">
        <f t="shared" ca="1" si="3"/>
        <v>Très Grande +20</v>
      </c>
      <c r="H76" s="870" t="str">
        <f t="shared" ca="1" si="4"/>
        <v>Q= 40</v>
      </c>
      <c r="I76" s="870" t="str">
        <f t="shared" ca="1" si="5"/>
        <v>Assez Récent</v>
      </c>
      <c r="J76" s="870" t="str">
        <f t="shared" ca="1" si="6"/>
        <v>Autre monde +200</v>
      </c>
      <c r="K76" s="865"/>
    </row>
    <row r="77" spans="1:11" ht="12" customHeight="1">
      <c r="A77" s="870">
        <v>64</v>
      </c>
      <c r="B77" s="870"/>
      <c r="C77" s="870"/>
      <c r="D77" s="870">
        <f t="shared" ca="1" si="0"/>
        <v>200</v>
      </c>
      <c r="E77" s="870" t="str">
        <f t="shared" ca="1" si="1"/>
        <v>Spéciale +50</v>
      </c>
      <c r="F77" s="870" t="str">
        <f t="shared" ca="1" si="2"/>
        <v>E= 50</v>
      </c>
      <c r="G77" s="870" t="str">
        <f t="shared" ca="1" si="3"/>
        <v>Moyenne</v>
      </c>
      <c r="H77" s="870" t="str">
        <f t="shared" ca="1" si="4"/>
        <v>Q= 40</v>
      </c>
      <c r="I77" s="870" t="str">
        <f t="shared" ca="1" si="5"/>
        <v>Très ancien +80</v>
      </c>
      <c r="J77" s="870" t="str">
        <f t="shared" ca="1" si="6"/>
        <v>Régionale</v>
      </c>
      <c r="K77" s="865"/>
    </row>
    <row r="78" spans="1:11" ht="12" customHeight="1">
      <c r="A78" s="870">
        <v>65</v>
      </c>
      <c r="B78" s="870"/>
      <c r="C78" s="870"/>
      <c r="D78" s="870">
        <f t="shared" ref="D78:D141" ca="1" si="7">LOOKUP(RANDBETWEEN(1,10),D10tré,TréQT)</f>
        <v>200</v>
      </c>
      <c r="E78" s="870" t="str">
        <f t="shared" ref="E78:E141" ca="1" si="8">LOOKUP(RANDBETWEEN(1,10),D10tré,TréForme)</f>
        <v>Grotesque -50</v>
      </c>
      <c r="F78" s="870" t="str">
        <f t="shared" ref="F78:F141" ca="1" si="9">LOOKUP(RANDBETWEEN(1,10),D10tré,TréEtat)</f>
        <v>E= 80</v>
      </c>
      <c r="G78" s="870" t="str">
        <f t="shared" ref="G78:G141" ca="1" si="10">LOOKUP(RANDBETWEEN(1,10),D10tré,TréTaille)</f>
        <v>Moyenne</v>
      </c>
      <c r="H78" s="870" t="str">
        <f t="shared" ref="H78:H141" ca="1" si="11">LOOKUP(RANDBETWEEN(1,10),D10tré,TréQualité)</f>
        <v>Q- - 10</v>
      </c>
      <c r="I78" s="870" t="str">
        <f t="shared" ref="I78:I141" ca="1" si="12">LOOKUP(RANDBETWEEN(1,10),D10tré,TréAncienneté)</f>
        <v>Spécial +100</v>
      </c>
      <c r="J78" s="870" t="str">
        <f t="shared" ref="J78:J141" ca="1" si="13">LOOKUP(RANDBETWEEN(1,10),D10tré,TréOrigine)</f>
        <v>Régionale</v>
      </c>
      <c r="K78" s="865"/>
    </row>
    <row r="79" spans="1:11" ht="12" customHeight="1">
      <c r="A79" s="870">
        <v>66</v>
      </c>
      <c r="B79" s="870"/>
      <c r="C79" s="870"/>
      <c r="D79" s="870">
        <f t="shared" ca="1" si="7"/>
        <v>200</v>
      </c>
      <c r="E79" s="870" t="str">
        <f t="shared" ca="1" si="8"/>
        <v>Normale</v>
      </c>
      <c r="F79" s="870" t="str">
        <f t="shared" ca="1" si="9"/>
        <v>Très bon E+ 80</v>
      </c>
      <c r="G79" s="870" t="str">
        <f t="shared" ca="1" si="10"/>
        <v>Moyenne</v>
      </c>
      <c r="H79" s="870" t="str">
        <f t="shared" ca="1" si="11"/>
        <v>Q+ 60</v>
      </c>
      <c r="I79" s="870" t="str">
        <f t="shared" ca="1" si="12"/>
        <v>Récent</v>
      </c>
      <c r="J79" s="870" t="str">
        <f t="shared" ca="1" si="13"/>
        <v>Très locale</v>
      </c>
      <c r="K79" s="865"/>
    </row>
    <row r="80" spans="1:11" ht="12" customHeight="1">
      <c r="A80" s="870">
        <v>67</v>
      </c>
      <c r="B80" s="870"/>
      <c r="C80" s="870"/>
      <c r="D80" s="870">
        <f t="shared" ca="1" si="7"/>
        <v>80</v>
      </c>
      <c r="E80" s="870" t="str">
        <f t="shared" ca="1" si="8"/>
        <v>Normale</v>
      </c>
      <c r="F80" s="870" t="str">
        <f t="shared" ca="1" si="9"/>
        <v>Mauvais E- 40</v>
      </c>
      <c r="G80" s="870" t="str">
        <f t="shared" ca="1" si="10"/>
        <v>Petite -10</v>
      </c>
      <c r="H80" s="870" t="str">
        <f t="shared" ca="1" si="11"/>
        <v>Q= 50</v>
      </c>
      <c r="I80" s="870" t="str">
        <f t="shared" ca="1" si="12"/>
        <v>Spécial +100</v>
      </c>
      <c r="J80" s="870" t="str">
        <f t="shared" ca="1" si="13"/>
        <v>Etrangère +30</v>
      </c>
      <c r="K80" s="865"/>
    </row>
    <row r="81" spans="1:11" ht="12" customHeight="1">
      <c r="A81" s="870">
        <v>68</v>
      </c>
      <c r="B81" s="870"/>
      <c r="C81" s="870"/>
      <c r="D81" s="870">
        <f t="shared" ca="1" si="7"/>
        <v>200</v>
      </c>
      <c r="E81" s="870" t="str">
        <f t="shared" ca="1" si="8"/>
        <v>Originale +10</v>
      </c>
      <c r="F81" s="870" t="str">
        <f t="shared" ca="1" si="9"/>
        <v>E= 50</v>
      </c>
      <c r="G81" s="870" t="str">
        <f t="shared" ca="1" si="10"/>
        <v>Moyenne</v>
      </c>
      <c r="H81" s="870" t="str">
        <f t="shared" ca="1" si="11"/>
        <v>Q++ 80</v>
      </c>
      <c r="I81" s="870" t="str">
        <f t="shared" ca="1" si="12"/>
        <v>Ancien +50</v>
      </c>
      <c r="J81" s="870" t="str">
        <f t="shared" ca="1" si="13"/>
        <v>Régionale</v>
      </c>
      <c r="K81" s="865"/>
    </row>
    <row r="82" spans="1:11" ht="12" customHeight="1">
      <c r="A82" s="870">
        <v>69</v>
      </c>
      <c r="B82" s="870"/>
      <c r="C82" s="870"/>
      <c r="D82" s="870">
        <f t="shared" ca="1" si="7"/>
        <v>140</v>
      </c>
      <c r="E82" s="870" t="str">
        <f t="shared" ca="1" si="8"/>
        <v>Normale</v>
      </c>
      <c r="F82" s="870" t="str">
        <f t="shared" ca="1" si="9"/>
        <v>Excellent E++ 100</v>
      </c>
      <c r="G82" s="870" t="str">
        <f t="shared" ca="1" si="10"/>
        <v>Moyenne</v>
      </c>
      <c r="H82" s="870" t="str">
        <f t="shared" ca="1" si="11"/>
        <v>Q= 40</v>
      </c>
      <c r="I82" s="870" t="str">
        <f t="shared" ca="1" si="12"/>
        <v>Vieux -20</v>
      </c>
      <c r="J82" s="870" t="str">
        <f t="shared" ca="1" si="13"/>
        <v>Locale</v>
      </c>
      <c r="K82" s="865"/>
    </row>
    <row r="83" spans="1:11" ht="12" customHeight="1">
      <c r="A83" s="870">
        <v>70</v>
      </c>
      <c r="B83" s="870"/>
      <c r="C83" s="870"/>
      <c r="D83" s="870">
        <f t="shared" ca="1" si="7"/>
        <v>180</v>
      </c>
      <c r="E83" s="870" t="str">
        <f t="shared" ca="1" si="8"/>
        <v>Grotesque -50</v>
      </c>
      <c r="F83" s="870" t="str">
        <f t="shared" ca="1" si="9"/>
        <v>E= 80</v>
      </c>
      <c r="G83" s="870" t="str">
        <f t="shared" ca="1" si="10"/>
        <v>Moyenne</v>
      </c>
      <c r="H83" s="870" t="str">
        <f t="shared" ca="1" si="11"/>
        <v>Q+ 60</v>
      </c>
      <c r="I83" s="870" t="str">
        <f t="shared" ca="1" si="12"/>
        <v>Spécial +100</v>
      </c>
      <c r="J83" s="870" t="str">
        <f t="shared" ca="1" si="13"/>
        <v>Très locale</v>
      </c>
      <c r="K83" s="865"/>
    </row>
    <row r="84" spans="1:11" ht="12" customHeight="1">
      <c r="A84" s="870">
        <v>71</v>
      </c>
      <c r="B84" s="870"/>
      <c r="C84" s="870"/>
      <c r="D84" s="870">
        <f t="shared" ca="1" si="7"/>
        <v>100</v>
      </c>
      <c r="E84" s="870" t="str">
        <f t="shared" ca="1" si="8"/>
        <v>Spéciale +50</v>
      </c>
      <c r="F84" s="870" t="str">
        <f t="shared" ca="1" si="9"/>
        <v>E= 60</v>
      </c>
      <c r="G84" s="870" t="str">
        <f t="shared" ca="1" si="10"/>
        <v>Moyenne</v>
      </c>
      <c r="H84" s="870" t="str">
        <f t="shared" ca="1" si="11"/>
        <v>Q+ 60</v>
      </c>
      <c r="I84" s="870" t="str">
        <f t="shared" ca="1" si="12"/>
        <v>Récent</v>
      </c>
      <c r="J84" s="870" t="str">
        <f t="shared" ca="1" si="13"/>
        <v>Très locale</v>
      </c>
      <c r="K84" s="865"/>
    </row>
    <row r="85" spans="1:11" ht="12" customHeight="1">
      <c r="A85" s="870">
        <v>72</v>
      </c>
      <c r="B85" s="870"/>
      <c r="C85" s="870"/>
      <c r="D85" s="870">
        <f t="shared" ca="1" si="7"/>
        <v>40</v>
      </c>
      <c r="E85" s="870" t="str">
        <f t="shared" ca="1" si="8"/>
        <v>Normale</v>
      </c>
      <c r="F85" s="870" t="str">
        <f t="shared" ca="1" si="9"/>
        <v>Très bon E+ 80</v>
      </c>
      <c r="G85" s="870" t="str">
        <f t="shared" ca="1" si="10"/>
        <v>Moyenne</v>
      </c>
      <c r="H85" s="870" t="str">
        <f t="shared" ca="1" si="11"/>
        <v>Q+ 60</v>
      </c>
      <c r="I85" s="870" t="str">
        <f t="shared" ca="1" si="12"/>
        <v>Spécial +100</v>
      </c>
      <c r="J85" s="870" t="str">
        <f t="shared" ca="1" si="13"/>
        <v>Régionale</v>
      </c>
      <c r="K85" s="865"/>
    </row>
    <row r="86" spans="1:11" ht="12" customHeight="1">
      <c r="A86" s="870">
        <v>73</v>
      </c>
      <c r="B86" s="870"/>
      <c r="C86" s="870"/>
      <c r="D86" s="870">
        <f t="shared" ca="1" si="7"/>
        <v>80</v>
      </c>
      <c r="E86" s="870" t="str">
        <f t="shared" ca="1" si="8"/>
        <v>Normale</v>
      </c>
      <c r="F86" s="870" t="str">
        <f t="shared" ca="1" si="9"/>
        <v>Mauvais E- 40</v>
      </c>
      <c r="G86" s="870" t="str">
        <f t="shared" ca="1" si="10"/>
        <v>Très Petite -20</v>
      </c>
      <c r="H86" s="870" t="str">
        <f t="shared" ca="1" si="11"/>
        <v>Q= 40</v>
      </c>
      <c r="I86" s="870" t="str">
        <f t="shared" ca="1" si="12"/>
        <v>Récent</v>
      </c>
      <c r="J86" s="870" t="str">
        <f t="shared" ca="1" si="13"/>
        <v>Régionale</v>
      </c>
      <c r="K86" s="865"/>
    </row>
    <row r="87" spans="1:11" ht="12" customHeight="1">
      <c r="A87" s="870">
        <v>74</v>
      </c>
      <c r="B87" s="870"/>
      <c r="C87" s="870"/>
      <c r="D87" s="870">
        <f t="shared" ca="1" si="7"/>
        <v>120</v>
      </c>
      <c r="E87" s="870" t="str">
        <f t="shared" ca="1" si="8"/>
        <v>Originale +10</v>
      </c>
      <c r="F87" s="870" t="str">
        <f t="shared" ca="1" si="9"/>
        <v>Très bon E+ 90</v>
      </c>
      <c r="G87" s="870" t="str">
        <f t="shared" ca="1" si="10"/>
        <v>Très Grande +20</v>
      </c>
      <c r="H87" s="870" t="str">
        <f t="shared" ca="1" si="11"/>
        <v>Q- 30</v>
      </c>
      <c r="I87" s="870" t="str">
        <f t="shared" ca="1" si="12"/>
        <v>Très ancien +80</v>
      </c>
      <c r="J87" s="870" t="str">
        <f t="shared" ca="1" si="13"/>
        <v>Locale</v>
      </c>
      <c r="K87" s="865"/>
    </row>
    <row r="88" spans="1:11" ht="12" customHeight="1">
      <c r="A88" s="870">
        <v>75</v>
      </c>
      <c r="B88" s="870"/>
      <c r="C88" s="870"/>
      <c r="D88" s="870">
        <f t="shared" ca="1" si="7"/>
        <v>160</v>
      </c>
      <c r="E88" s="870" t="str">
        <f t="shared" ca="1" si="8"/>
        <v>Normale</v>
      </c>
      <c r="F88" s="870" t="str">
        <f t="shared" ca="1" si="9"/>
        <v>Très bon E+ 80</v>
      </c>
      <c r="G88" s="870" t="str">
        <f t="shared" ca="1" si="10"/>
        <v>Petite -10</v>
      </c>
      <c r="H88" s="870" t="str">
        <f t="shared" ca="1" si="11"/>
        <v>Q++ 80</v>
      </c>
      <c r="I88" s="870" t="str">
        <f t="shared" ca="1" si="12"/>
        <v>Récent</v>
      </c>
      <c r="J88" s="870" t="str">
        <f t="shared" ca="1" si="13"/>
        <v>Très locale</v>
      </c>
      <c r="K88" s="865"/>
    </row>
    <row r="89" spans="1:11" ht="12" customHeight="1">
      <c r="A89" s="870">
        <v>76</v>
      </c>
      <c r="B89" s="870"/>
      <c r="C89" s="870"/>
      <c r="D89" s="870">
        <f t="shared" ca="1" si="7"/>
        <v>200</v>
      </c>
      <c r="E89" s="870" t="str">
        <f t="shared" ca="1" si="8"/>
        <v>Normale</v>
      </c>
      <c r="F89" s="870" t="str">
        <f t="shared" ca="1" si="9"/>
        <v>E= 50</v>
      </c>
      <c r="G89" s="870" t="str">
        <f t="shared" ca="1" si="10"/>
        <v>Grande +10</v>
      </c>
      <c r="H89" s="870" t="str">
        <f t="shared" ca="1" si="11"/>
        <v>Q= 40</v>
      </c>
      <c r="I89" s="870" t="str">
        <f t="shared" ca="1" si="12"/>
        <v>Spécial +100</v>
      </c>
      <c r="J89" s="870" t="str">
        <f t="shared" ca="1" si="13"/>
        <v>Autre monde +200</v>
      </c>
      <c r="K89" s="865"/>
    </row>
    <row r="90" spans="1:11" ht="12" customHeight="1">
      <c r="A90" s="870">
        <v>77</v>
      </c>
      <c r="B90" s="870"/>
      <c r="C90" s="870"/>
      <c r="D90" s="870">
        <f t="shared" ca="1" si="7"/>
        <v>200</v>
      </c>
      <c r="E90" s="870" t="str">
        <f t="shared" ca="1" si="8"/>
        <v>Spéciale +50</v>
      </c>
      <c r="F90" s="870" t="str">
        <f t="shared" ca="1" si="9"/>
        <v>Mauvais E- 30</v>
      </c>
      <c r="G90" s="870" t="str">
        <f t="shared" ca="1" si="10"/>
        <v>Très Petite -20</v>
      </c>
      <c r="H90" s="870" t="str">
        <f t="shared" ca="1" si="11"/>
        <v>Q= 40</v>
      </c>
      <c r="I90" s="870" t="str">
        <f t="shared" ca="1" si="12"/>
        <v>Récent</v>
      </c>
      <c r="J90" s="870" t="str">
        <f t="shared" ca="1" si="13"/>
        <v>Lointain +100</v>
      </c>
      <c r="K90" s="865"/>
    </row>
    <row r="91" spans="1:11" ht="12" customHeight="1">
      <c r="A91" s="870">
        <v>78</v>
      </c>
      <c r="B91" s="870"/>
      <c r="C91" s="870"/>
      <c r="D91" s="870">
        <f t="shared" ca="1" si="7"/>
        <v>80</v>
      </c>
      <c r="E91" s="870" t="str">
        <f t="shared" ca="1" si="8"/>
        <v>Spéciale +50</v>
      </c>
      <c r="F91" s="870" t="str">
        <f t="shared" ca="1" si="9"/>
        <v>E= 50</v>
      </c>
      <c r="G91" s="870" t="str">
        <f t="shared" ca="1" si="10"/>
        <v>Moyenne</v>
      </c>
      <c r="H91" s="870" t="str">
        <f t="shared" ca="1" si="11"/>
        <v>Q= 50</v>
      </c>
      <c r="I91" s="870" t="str">
        <f t="shared" ca="1" si="12"/>
        <v>Récent</v>
      </c>
      <c r="J91" s="870" t="str">
        <f t="shared" ca="1" si="13"/>
        <v>Etrangère +30</v>
      </c>
      <c r="K91" s="865"/>
    </row>
    <row r="92" spans="1:11" ht="12" customHeight="1">
      <c r="A92" s="870">
        <v>79</v>
      </c>
      <c r="B92" s="870"/>
      <c r="C92" s="870"/>
      <c r="D92" s="870">
        <f t="shared" ca="1" si="7"/>
        <v>180</v>
      </c>
      <c r="E92" s="870" t="str">
        <f t="shared" ca="1" si="8"/>
        <v>Normale</v>
      </c>
      <c r="F92" s="870" t="str">
        <f t="shared" ca="1" si="9"/>
        <v>Mauvais E- 40</v>
      </c>
      <c r="G92" s="870" t="str">
        <f t="shared" ca="1" si="10"/>
        <v>Très Grande +20</v>
      </c>
      <c r="H92" s="870" t="str">
        <f t="shared" ca="1" si="11"/>
        <v>Q= 50</v>
      </c>
      <c r="I92" s="870" t="str">
        <f t="shared" ca="1" si="12"/>
        <v>Assez Récent</v>
      </c>
      <c r="J92" s="870" t="str">
        <f t="shared" ca="1" si="13"/>
        <v>Etrangère +30</v>
      </c>
      <c r="K92" s="865"/>
    </row>
    <row r="93" spans="1:11" ht="12" customHeight="1">
      <c r="A93" s="870">
        <v>80</v>
      </c>
      <c r="B93" s="870"/>
      <c r="C93" s="870"/>
      <c r="D93" s="870">
        <f t="shared" ca="1" si="7"/>
        <v>100</v>
      </c>
      <c r="E93" s="870" t="str">
        <f t="shared" ca="1" si="8"/>
        <v>Normale</v>
      </c>
      <c r="F93" s="870" t="str">
        <f t="shared" ca="1" si="9"/>
        <v>Mauvais E- 40</v>
      </c>
      <c r="G93" s="870" t="str">
        <f t="shared" ca="1" si="10"/>
        <v>Moyenne</v>
      </c>
      <c r="H93" s="870" t="str">
        <f t="shared" ca="1" si="11"/>
        <v>Q= 50</v>
      </c>
      <c r="I93" s="870" t="str">
        <f t="shared" ca="1" si="12"/>
        <v>Assez Récent</v>
      </c>
      <c r="J93" s="870" t="str">
        <f t="shared" ca="1" si="13"/>
        <v>Locale</v>
      </c>
      <c r="K93" s="865"/>
    </row>
    <row r="94" spans="1:11" ht="12" customHeight="1">
      <c r="A94" s="870">
        <v>81</v>
      </c>
      <c r="B94" s="870"/>
      <c r="C94" s="870"/>
      <c r="D94" s="870">
        <f t="shared" ca="1" si="7"/>
        <v>200</v>
      </c>
      <c r="E94" s="870" t="str">
        <f t="shared" ca="1" si="8"/>
        <v>Normale</v>
      </c>
      <c r="F94" s="870" t="str">
        <f t="shared" ca="1" si="9"/>
        <v>E= 80</v>
      </c>
      <c r="G94" s="870" t="str">
        <f t="shared" ca="1" si="10"/>
        <v>Moyenne</v>
      </c>
      <c r="H94" s="870" t="str">
        <f t="shared" ca="1" si="11"/>
        <v>Q++ 80</v>
      </c>
      <c r="I94" s="870" t="str">
        <f t="shared" ca="1" si="12"/>
        <v>Très récent</v>
      </c>
      <c r="J94" s="870" t="str">
        <f t="shared" ca="1" si="13"/>
        <v>Régionale</v>
      </c>
      <c r="K94" s="865"/>
    </row>
    <row r="95" spans="1:11" ht="12" customHeight="1">
      <c r="A95" s="870">
        <v>82</v>
      </c>
      <c r="B95" s="870"/>
      <c r="C95" s="870"/>
      <c r="D95" s="870">
        <f t="shared" ca="1" si="7"/>
        <v>120</v>
      </c>
      <c r="E95" s="870" t="str">
        <f t="shared" ca="1" si="8"/>
        <v>Normale</v>
      </c>
      <c r="F95" s="870" t="str">
        <f t="shared" ca="1" si="9"/>
        <v>Très bon E+ 80</v>
      </c>
      <c r="G95" s="870" t="str">
        <f t="shared" ca="1" si="10"/>
        <v>Moyenne</v>
      </c>
      <c r="H95" s="870" t="str">
        <f t="shared" ca="1" si="11"/>
        <v>Q= 50</v>
      </c>
      <c r="I95" s="870" t="str">
        <f t="shared" ca="1" si="12"/>
        <v>Récent</v>
      </c>
      <c r="J95" s="870" t="str">
        <f t="shared" ca="1" si="13"/>
        <v>Régionale</v>
      </c>
      <c r="K95" s="865"/>
    </row>
    <row r="96" spans="1:11" ht="12" customHeight="1">
      <c r="A96" s="870">
        <v>83</v>
      </c>
      <c r="B96" s="870"/>
      <c r="C96" s="870"/>
      <c r="D96" s="870">
        <f t="shared" ca="1" si="7"/>
        <v>80</v>
      </c>
      <c r="E96" s="870" t="str">
        <f t="shared" ca="1" si="8"/>
        <v>Grotesque -50</v>
      </c>
      <c r="F96" s="870" t="str">
        <f t="shared" ca="1" si="9"/>
        <v>Très mauvais E- - 20</v>
      </c>
      <c r="G96" s="870" t="str">
        <f t="shared" ca="1" si="10"/>
        <v>Très Grande +20</v>
      </c>
      <c r="H96" s="870" t="str">
        <f t="shared" ca="1" si="11"/>
        <v>Q= 50</v>
      </c>
      <c r="I96" s="870" t="str">
        <f t="shared" ca="1" si="12"/>
        <v>Très récent</v>
      </c>
      <c r="J96" s="870" t="str">
        <f t="shared" ca="1" si="13"/>
        <v>Très locale</v>
      </c>
      <c r="K96" s="865"/>
    </row>
    <row r="97" spans="1:11" ht="12" customHeight="1">
      <c r="A97" s="870">
        <v>84</v>
      </c>
      <c r="B97" s="870"/>
      <c r="C97" s="870"/>
      <c r="D97" s="870">
        <f t="shared" ca="1" si="7"/>
        <v>80</v>
      </c>
      <c r="E97" s="870" t="str">
        <f t="shared" ca="1" si="8"/>
        <v>Normale</v>
      </c>
      <c r="F97" s="870" t="str">
        <f t="shared" ca="1" si="9"/>
        <v>E= 70</v>
      </c>
      <c r="G97" s="870" t="str">
        <f t="shared" ca="1" si="10"/>
        <v>Moyenne</v>
      </c>
      <c r="H97" s="870" t="str">
        <f t="shared" ca="1" si="11"/>
        <v>Q- 30</v>
      </c>
      <c r="I97" s="870" t="str">
        <f t="shared" ca="1" si="12"/>
        <v>Assez Récent</v>
      </c>
      <c r="J97" s="870" t="str">
        <f t="shared" ca="1" si="13"/>
        <v>Lointain +100</v>
      </c>
      <c r="K97" s="865"/>
    </row>
    <row r="98" spans="1:11" ht="12" customHeight="1">
      <c r="A98" s="870">
        <v>85</v>
      </c>
      <c r="B98" s="870"/>
      <c r="C98" s="870"/>
      <c r="D98" s="870">
        <f t="shared" ca="1" si="7"/>
        <v>160</v>
      </c>
      <c r="E98" s="870" t="str">
        <f t="shared" ca="1" si="8"/>
        <v>Normale</v>
      </c>
      <c r="F98" s="870" t="str">
        <f t="shared" ca="1" si="9"/>
        <v>E= 60</v>
      </c>
      <c r="G98" s="870" t="str">
        <f t="shared" ca="1" si="10"/>
        <v>Moyenne</v>
      </c>
      <c r="H98" s="870" t="str">
        <f t="shared" ca="1" si="11"/>
        <v>Q= 50</v>
      </c>
      <c r="I98" s="870" t="str">
        <f t="shared" ca="1" si="12"/>
        <v>Assez Récent</v>
      </c>
      <c r="J98" s="870" t="str">
        <f t="shared" ca="1" si="13"/>
        <v>Lointain +100</v>
      </c>
      <c r="K98" s="865"/>
    </row>
    <row r="99" spans="1:11" ht="12" customHeight="1">
      <c r="A99" s="870">
        <v>86</v>
      </c>
      <c r="B99" s="870"/>
      <c r="C99" s="870"/>
      <c r="D99" s="870">
        <f t="shared" ca="1" si="7"/>
        <v>60</v>
      </c>
      <c r="E99" s="870" t="str">
        <f t="shared" ca="1" si="8"/>
        <v>Grotesque -50</v>
      </c>
      <c r="F99" s="870" t="str">
        <f t="shared" ca="1" si="9"/>
        <v>E= 50</v>
      </c>
      <c r="G99" s="870" t="str">
        <f t="shared" ca="1" si="10"/>
        <v>Petite -10</v>
      </c>
      <c r="H99" s="870" t="str">
        <f t="shared" ca="1" si="11"/>
        <v>Q- 30</v>
      </c>
      <c r="I99" s="870" t="str">
        <f t="shared" ca="1" si="12"/>
        <v>Très récent</v>
      </c>
      <c r="J99" s="870" t="str">
        <f t="shared" ca="1" si="13"/>
        <v>Régionale</v>
      </c>
      <c r="K99" s="865"/>
    </row>
    <row r="100" spans="1:11" ht="12" customHeight="1">
      <c r="A100" s="870">
        <v>87</v>
      </c>
      <c r="B100" s="870"/>
      <c r="C100" s="870"/>
      <c r="D100" s="870">
        <f t="shared" ca="1" si="7"/>
        <v>100</v>
      </c>
      <c r="E100" s="870" t="str">
        <f t="shared" ca="1" si="8"/>
        <v>Spéciale +50</v>
      </c>
      <c r="F100" s="870" t="str">
        <f t="shared" ca="1" si="9"/>
        <v>E= 60</v>
      </c>
      <c r="G100" s="870" t="str">
        <f t="shared" ca="1" si="10"/>
        <v>Moyenne</v>
      </c>
      <c r="H100" s="870" t="str">
        <f t="shared" ca="1" si="11"/>
        <v>Q- - 10</v>
      </c>
      <c r="I100" s="870" t="str">
        <f t="shared" ca="1" si="12"/>
        <v>Spécial +100</v>
      </c>
      <c r="J100" s="870" t="str">
        <f t="shared" ca="1" si="13"/>
        <v>Régionale</v>
      </c>
      <c r="K100" s="865"/>
    </row>
    <row r="101" spans="1:11" ht="12" customHeight="1">
      <c r="A101" s="870">
        <v>88</v>
      </c>
      <c r="B101" s="870"/>
      <c r="C101" s="870"/>
      <c r="D101" s="870">
        <f t="shared" ca="1" si="7"/>
        <v>180</v>
      </c>
      <c r="E101" s="870" t="str">
        <f t="shared" ca="1" si="8"/>
        <v>Rare +30</v>
      </c>
      <c r="F101" s="870" t="str">
        <f t="shared" ca="1" si="9"/>
        <v>Mauvais E- 40</v>
      </c>
      <c r="G101" s="870" t="str">
        <f t="shared" ca="1" si="10"/>
        <v>Très Petite -20</v>
      </c>
      <c r="H101" s="870" t="str">
        <f t="shared" ca="1" si="11"/>
        <v>Q++ 80</v>
      </c>
      <c r="I101" s="870" t="str">
        <f t="shared" ca="1" si="12"/>
        <v>Très ancien +80</v>
      </c>
      <c r="J101" s="870" t="str">
        <f t="shared" ca="1" si="13"/>
        <v>Régionale</v>
      </c>
      <c r="K101" s="865"/>
    </row>
    <row r="102" spans="1:11" ht="12" customHeight="1">
      <c r="A102" s="870">
        <v>89</v>
      </c>
      <c r="B102" s="870"/>
      <c r="C102" s="870"/>
      <c r="D102" s="870">
        <f t="shared" ca="1" si="7"/>
        <v>60</v>
      </c>
      <c r="E102" s="870" t="str">
        <f t="shared" ca="1" si="8"/>
        <v>Spéciale +50</v>
      </c>
      <c r="F102" s="870" t="str">
        <f t="shared" ca="1" si="9"/>
        <v>Mauvais E- 40</v>
      </c>
      <c r="G102" s="870" t="str">
        <f t="shared" ca="1" si="10"/>
        <v>Moyenne</v>
      </c>
      <c r="H102" s="870" t="str">
        <f t="shared" ca="1" si="11"/>
        <v>Q++ 80</v>
      </c>
      <c r="I102" s="870" t="str">
        <f t="shared" ca="1" si="12"/>
        <v>Spécial +100</v>
      </c>
      <c r="J102" s="870" t="str">
        <f t="shared" ca="1" si="13"/>
        <v>Autre monde +200</v>
      </c>
      <c r="K102" s="865"/>
    </row>
    <row r="103" spans="1:11" ht="12" customHeight="1">
      <c r="A103" s="870">
        <v>90</v>
      </c>
      <c r="B103" s="870"/>
      <c r="C103" s="870"/>
      <c r="D103" s="870">
        <f t="shared" ca="1" si="7"/>
        <v>120</v>
      </c>
      <c r="E103" s="870" t="str">
        <f t="shared" ca="1" si="8"/>
        <v>Normale</v>
      </c>
      <c r="F103" s="870" t="str">
        <f t="shared" ca="1" si="9"/>
        <v>E= 70</v>
      </c>
      <c r="G103" s="870" t="str">
        <f t="shared" ca="1" si="10"/>
        <v>Moyenne</v>
      </c>
      <c r="H103" s="870" t="str">
        <f t="shared" ca="1" si="11"/>
        <v>Q= 50</v>
      </c>
      <c r="I103" s="870" t="str">
        <f t="shared" ca="1" si="12"/>
        <v>Vieux -20</v>
      </c>
      <c r="J103" s="870" t="str">
        <f t="shared" ca="1" si="13"/>
        <v>Etrangère +50</v>
      </c>
      <c r="K103" s="865"/>
    </row>
    <row r="104" spans="1:11" ht="12" customHeight="1">
      <c r="A104" s="870">
        <v>91</v>
      </c>
      <c r="B104" s="870"/>
      <c r="C104" s="870"/>
      <c r="D104" s="870">
        <f t="shared" ca="1" si="7"/>
        <v>180</v>
      </c>
      <c r="E104" s="870" t="str">
        <f t="shared" ca="1" si="8"/>
        <v>Normale</v>
      </c>
      <c r="F104" s="870" t="str">
        <f t="shared" ca="1" si="9"/>
        <v>Excellent E++ 100</v>
      </c>
      <c r="G104" s="870" t="str">
        <f t="shared" ca="1" si="10"/>
        <v>Moyenne</v>
      </c>
      <c r="H104" s="870" t="str">
        <f t="shared" ca="1" si="11"/>
        <v>Q- 20</v>
      </c>
      <c r="I104" s="870" t="str">
        <f t="shared" ca="1" si="12"/>
        <v>Récent</v>
      </c>
      <c r="J104" s="870" t="str">
        <f t="shared" ca="1" si="13"/>
        <v>Lointain +100</v>
      </c>
      <c r="K104" s="865"/>
    </row>
    <row r="105" spans="1:11" ht="12" customHeight="1">
      <c r="A105" s="870">
        <v>92</v>
      </c>
      <c r="B105" s="870"/>
      <c r="C105" s="870"/>
      <c r="D105" s="870">
        <f t="shared" ca="1" si="7"/>
        <v>160</v>
      </c>
      <c r="E105" s="870" t="str">
        <f t="shared" ca="1" si="8"/>
        <v>Spéciale +50</v>
      </c>
      <c r="F105" s="870" t="str">
        <f t="shared" ca="1" si="9"/>
        <v>Mauvais E- 40</v>
      </c>
      <c r="G105" s="870" t="str">
        <f t="shared" ca="1" si="10"/>
        <v>Moyenne</v>
      </c>
      <c r="H105" s="870" t="str">
        <f t="shared" ca="1" si="11"/>
        <v>Q+ 70</v>
      </c>
      <c r="I105" s="870" t="str">
        <f t="shared" ca="1" si="12"/>
        <v>Assez Récent</v>
      </c>
      <c r="J105" s="870" t="str">
        <f t="shared" ca="1" si="13"/>
        <v>Etrangère +30</v>
      </c>
      <c r="K105" s="865"/>
    </row>
    <row r="106" spans="1:11" ht="12" customHeight="1">
      <c r="A106" s="870">
        <v>93</v>
      </c>
      <c r="B106" s="870"/>
      <c r="C106" s="870"/>
      <c r="D106" s="870">
        <f t="shared" ca="1" si="7"/>
        <v>80</v>
      </c>
      <c r="E106" s="870" t="str">
        <f t="shared" ca="1" si="8"/>
        <v>Normale</v>
      </c>
      <c r="F106" s="870" t="str">
        <f t="shared" ca="1" si="9"/>
        <v>Mauvais E- 30</v>
      </c>
      <c r="G106" s="870" t="str">
        <f t="shared" ca="1" si="10"/>
        <v>Moyenne</v>
      </c>
      <c r="H106" s="870" t="str">
        <f t="shared" ca="1" si="11"/>
        <v>Q+ 60</v>
      </c>
      <c r="I106" s="870" t="str">
        <f t="shared" ca="1" si="12"/>
        <v>Vieux -20</v>
      </c>
      <c r="J106" s="870" t="str">
        <f t="shared" ca="1" si="13"/>
        <v>Régionale</v>
      </c>
      <c r="K106" s="865"/>
    </row>
    <row r="107" spans="1:11" ht="12" customHeight="1">
      <c r="A107" s="870">
        <v>94</v>
      </c>
      <c r="B107" s="870"/>
      <c r="C107" s="870"/>
      <c r="D107" s="870">
        <f t="shared" ca="1" si="7"/>
        <v>80</v>
      </c>
      <c r="E107" s="870" t="str">
        <f t="shared" ca="1" si="8"/>
        <v>Défaut -30</v>
      </c>
      <c r="F107" s="870" t="str">
        <f t="shared" ca="1" si="9"/>
        <v>Mauvais E- 30</v>
      </c>
      <c r="G107" s="870" t="str">
        <f t="shared" ca="1" si="10"/>
        <v>Petite -10</v>
      </c>
      <c r="H107" s="870" t="str">
        <f t="shared" ca="1" si="11"/>
        <v>Q- - 10</v>
      </c>
      <c r="I107" s="870" t="str">
        <f t="shared" ca="1" si="12"/>
        <v>Très ancien +80</v>
      </c>
      <c r="J107" s="870" t="str">
        <f t="shared" ca="1" si="13"/>
        <v>Etrangère +50</v>
      </c>
      <c r="K107" s="865"/>
    </row>
    <row r="108" spans="1:11" ht="12" customHeight="1">
      <c r="A108" s="870">
        <v>95</v>
      </c>
      <c r="B108" s="870"/>
      <c r="C108" s="870"/>
      <c r="D108" s="870">
        <f t="shared" ca="1" si="7"/>
        <v>160</v>
      </c>
      <c r="E108" s="870" t="str">
        <f t="shared" ca="1" si="8"/>
        <v>Défaut -30</v>
      </c>
      <c r="F108" s="870" t="str">
        <f t="shared" ca="1" si="9"/>
        <v>Très bon E+ 80</v>
      </c>
      <c r="G108" s="870" t="str">
        <f t="shared" ca="1" si="10"/>
        <v>Petite -10</v>
      </c>
      <c r="H108" s="870" t="str">
        <f t="shared" ca="1" si="11"/>
        <v>Q++ 80</v>
      </c>
      <c r="I108" s="870" t="str">
        <f t="shared" ca="1" si="12"/>
        <v>Récent</v>
      </c>
      <c r="J108" s="870" t="str">
        <f t="shared" ca="1" si="13"/>
        <v>Locale</v>
      </c>
      <c r="K108" s="865"/>
    </row>
    <row r="109" spans="1:11" ht="12" customHeight="1">
      <c r="A109" s="870">
        <v>96</v>
      </c>
      <c r="B109" s="870"/>
      <c r="C109" s="870"/>
      <c r="D109" s="870">
        <f t="shared" ca="1" si="7"/>
        <v>180</v>
      </c>
      <c r="E109" s="870" t="str">
        <f t="shared" ca="1" si="8"/>
        <v>Grotesque -50</v>
      </c>
      <c r="F109" s="870" t="str">
        <f t="shared" ca="1" si="9"/>
        <v>E= 60</v>
      </c>
      <c r="G109" s="870" t="str">
        <f t="shared" ca="1" si="10"/>
        <v>Moyenne</v>
      </c>
      <c r="H109" s="870" t="str">
        <f t="shared" ca="1" si="11"/>
        <v>Q= 40</v>
      </c>
      <c r="I109" s="870" t="str">
        <f t="shared" ca="1" si="12"/>
        <v>Vieux -20</v>
      </c>
      <c r="J109" s="870" t="str">
        <f t="shared" ca="1" si="13"/>
        <v>Régionale</v>
      </c>
      <c r="K109" s="865"/>
    </row>
    <row r="110" spans="1:11" ht="12" customHeight="1">
      <c r="A110" s="870">
        <v>97</v>
      </c>
      <c r="B110" s="870"/>
      <c r="C110" s="870"/>
      <c r="D110" s="870">
        <f t="shared" ca="1" si="7"/>
        <v>120</v>
      </c>
      <c r="E110" s="870" t="str">
        <f t="shared" ca="1" si="8"/>
        <v>Normale</v>
      </c>
      <c r="F110" s="870" t="str">
        <f t="shared" ca="1" si="9"/>
        <v>Très bon E+ 80</v>
      </c>
      <c r="G110" s="870" t="str">
        <f t="shared" ca="1" si="10"/>
        <v>Grande +10</v>
      </c>
      <c r="H110" s="870" t="str">
        <f t="shared" ca="1" si="11"/>
        <v>Q- 20</v>
      </c>
      <c r="I110" s="870" t="str">
        <f t="shared" ca="1" si="12"/>
        <v>Spécial +100</v>
      </c>
      <c r="J110" s="870" t="str">
        <f t="shared" ca="1" si="13"/>
        <v>Régionale</v>
      </c>
      <c r="K110" s="865"/>
    </row>
    <row r="111" spans="1:11" ht="12" customHeight="1">
      <c r="A111" s="870">
        <v>98</v>
      </c>
      <c r="B111" s="870"/>
      <c r="C111" s="870"/>
      <c r="D111" s="870">
        <f t="shared" ca="1" si="7"/>
        <v>180</v>
      </c>
      <c r="E111" s="870" t="str">
        <f t="shared" ca="1" si="8"/>
        <v>Normale</v>
      </c>
      <c r="F111" s="870" t="str">
        <f t="shared" ca="1" si="9"/>
        <v>E= 50</v>
      </c>
      <c r="G111" s="870" t="str">
        <f t="shared" ca="1" si="10"/>
        <v>Moyenne</v>
      </c>
      <c r="H111" s="870" t="str">
        <f t="shared" ca="1" si="11"/>
        <v>Q- 30</v>
      </c>
      <c r="I111" s="870" t="str">
        <f t="shared" ca="1" si="12"/>
        <v>Assez Récent</v>
      </c>
      <c r="J111" s="870" t="str">
        <f t="shared" ca="1" si="13"/>
        <v>Régionale</v>
      </c>
      <c r="K111" s="865"/>
    </row>
    <row r="112" spans="1:11" ht="12" customHeight="1">
      <c r="A112" s="870">
        <v>99</v>
      </c>
      <c r="B112" s="870"/>
      <c r="C112" s="870"/>
      <c r="D112" s="870">
        <f t="shared" ca="1" si="7"/>
        <v>140</v>
      </c>
      <c r="E112" s="870" t="str">
        <f t="shared" ca="1" si="8"/>
        <v>Normale</v>
      </c>
      <c r="F112" s="870" t="str">
        <f t="shared" ca="1" si="9"/>
        <v>Très bon E+ 90</v>
      </c>
      <c r="G112" s="870" t="str">
        <f t="shared" ca="1" si="10"/>
        <v>Moyenne</v>
      </c>
      <c r="H112" s="870" t="str">
        <f t="shared" ca="1" si="11"/>
        <v>Q++ 80</v>
      </c>
      <c r="I112" s="870" t="str">
        <f t="shared" ca="1" si="12"/>
        <v>Récent</v>
      </c>
      <c r="J112" s="870" t="str">
        <f t="shared" ca="1" si="13"/>
        <v>Régionale</v>
      </c>
      <c r="K112" s="865"/>
    </row>
    <row r="113" spans="1:11" ht="12" customHeight="1">
      <c r="A113" s="870">
        <v>100</v>
      </c>
      <c r="B113" s="870"/>
      <c r="C113" s="870"/>
      <c r="D113" s="870">
        <f t="shared" ca="1" si="7"/>
        <v>120</v>
      </c>
      <c r="E113" s="870" t="str">
        <f t="shared" ca="1" si="8"/>
        <v>Normale</v>
      </c>
      <c r="F113" s="870" t="str">
        <f t="shared" ca="1" si="9"/>
        <v>E= 60</v>
      </c>
      <c r="G113" s="870" t="str">
        <f t="shared" ca="1" si="10"/>
        <v>Très Grande +20</v>
      </c>
      <c r="H113" s="870" t="str">
        <f t="shared" ca="1" si="11"/>
        <v>Q++ 80</v>
      </c>
      <c r="I113" s="870" t="str">
        <f t="shared" ca="1" si="12"/>
        <v>Assez Récent</v>
      </c>
      <c r="J113" s="870" t="str">
        <f t="shared" ca="1" si="13"/>
        <v>Etrangère +50</v>
      </c>
      <c r="K113" s="865"/>
    </row>
    <row r="114" spans="1:11" ht="12" customHeight="1">
      <c r="A114" s="870">
        <v>101</v>
      </c>
      <c r="B114" s="870"/>
      <c r="C114" s="870"/>
      <c r="D114" s="870">
        <f t="shared" ca="1" si="7"/>
        <v>60</v>
      </c>
      <c r="E114" s="870" t="str">
        <f t="shared" ca="1" si="8"/>
        <v>Inachevée -10</v>
      </c>
      <c r="F114" s="870" t="str">
        <f t="shared" ca="1" si="9"/>
        <v>E= 70</v>
      </c>
      <c r="G114" s="870" t="str">
        <f t="shared" ca="1" si="10"/>
        <v>Moyenne</v>
      </c>
      <c r="H114" s="870" t="str">
        <f t="shared" ca="1" si="11"/>
        <v>Q+ 60</v>
      </c>
      <c r="I114" s="870" t="str">
        <f t="shared" ca="1" si="12"/>
        <v>Spécial +100</v>
      </c>
      <c r="J114" s="870" t="str">
        <f t="shared" ca="1" si="13"/>
        <v>Lointain +100</v>
      </c>
      <c r="K114" s="865"/>
    </row>
    <row r="115" spans="1:11" ht="12" customHeight="1">
      <c r="A115" s="870">
        <v>102</v>
      </c>
      <c r="B115" s="870"/>
      <c r="C115" s="870"/>
      <c r="D115" s="870">
        <f t="shared" ca="1" si="7"/>
        <v>40</v>
      </c>
      <c r="E115" s="870" t="str">
        <f t="shared" ca="1" si="8"/>
        <v>Défaut -30</v>
      </c>
      <c r="F115" s="870" t="str">
        <f t="shared" ca="1" si="9"/>
        <v>E= 70</v>
      </c>
      <c r="G115" s="870" t="str">
        <f t="shared" ca="1" si="10"/>
        <v>Très Petite -20</v>
      </c>
      <c r="H115" s="870" t="str">
        <f t="shared" ca="1" si="11"/>
        <v>Q= 40</v>
      </c>
      <c r="I115" s="870" t="str">
        <f t="shared" ca="1" si="12"/>
        <v>Assez Récent</v>
      </c>
      <c r="J115" s="870" t="str">
        <f t="shared" ca="1" si="13"/>
        <v>Lointain +100</v>
      </c>
      <c r="K115" s="865"/>
    </row>
    <row r="116" spans="1:11" ht="12" customHeight="1">
      <c r="A116" s="870">
        <v>103</v>
      </c>
      <c r="B116" s="870"/>
      <c r="C116" s="870"/>
      <c r="D116" s="870">
        <f t="shared" ca="1" si="7"/>
        <v>80</v>
      </c>
      <c r="E116" s="870" t="str">
        <f t="shared" ca="1" si="8"/>
        <v>Grotesque -50</v>
      </c>
      <c r="F116" s="870" t="str">
        <f t="shared" ca="1" si="9"/>
        <v>Très bon E+ 90</v>
      </c>
      <c r="G116" s="870" t="str">
        <f t="shared" ca="1" si="10"/>
        <v>Très Petite -20</v>
      </c>
      <c r="H116" s="870" t="str">
        <f t="shared" ca="1" si="11"/>
        <v>Q= 40</v>
      </c>
      <c r="I116" s="870" t="str">
        <f t="shared" ca="1" si="12"/>
        <v>Assez Récent</v>
      </c>
      <c r="J116" s="870" t="str">
        <f t="shared" ca="1" si="13"/>
        <v>Régionale</v>
      </c>
      <c r="K116" s="865"/>
    </row>
    <row r="117" spans="1:11" ht="12" customHeight="1">
      <c r="A117" s="870">
        <v>104</v>
      </c>
      <c r="B117" s="870"/>
      <c r="C117" s="870"/>
      <c r="D117" s="870">
        <f t="shared" ca="1" si="7"/>
        <v>180</v>
      </c>
      <c r="E117" s="870" t="str">
        <f t="shared" ca="1" si="8"/>
        <v>Originale +10</v>
      </c>
      <c r="F117" s="870" t="str">
        <f t="shared" ca="1" si="9"/>
        <v>Très bon E+ 90</v>
      </c>
      <c r="G117" s="870" t="str">
        <f t="shared" ca="1" si="10"/>
        <v>Moyenne</v>
      </c>
      <c r="H117" s="870" t="str">
        <f t="shared" ca="1" si="11"/>
        <v>Q+ 60</v>
      </c>
      <c r="I117" s="870" t="str">
        <f t="shared" ca="1" si="12"/>
        <v>Récent</v>
      </c>
      <c r="J117" s="870" t="str">
        <f t="shared" ca="1" si="13"/>
        <v>Régionale</v>
      </c>
      <c r="K117" s="865"/>
    </row>
    <row r="118" spans="1:11" ht="12" customHeight="1">
      <c r="A118" s="870">
        <v>105</v>
      </c>
      <c r="B118" s="870"/>
      <c r="C118" s="870"/>
      <c r="D118" s="870">
        <f t="shared" ca="1" si="7"/>
        <v>60</v>
      </c>
      <c r="E118" s="870" t="str">
        <f t="shared" ca="1" si="8"/>
        <v>Normale</v>
      </c>
      <c r="F118" s="870" t="str">
        <f t="shared" ca="1" si="9"/>
        <v>Mauvais E- 40</v>
      </c>
      <c r="G118" s="870" t="str">
        <f t="shared" ca="1" si="10"/>
        <v>Moyenne</v>
      </c>
      <c r="H118" s="870" t="str">
        <f t="shared" ca="1" si="11"/>
        <v>Q- 20</v>
      </c>
      <c r="I118" s="870" t="str">
        <f t="shared" ca="1" si="12"/>
        <v>Très récent</v>
      </c>
      <c r="J118" s="870" t="str">
        <f t="shared" ca="1" si="13"/>
        <v>Régionale</v>
      </c>
      <c r="K118" s="865"/>
    </row>
    <row r="119" spans="1:11" ht="12" customHeight="1">
      <c r="A119" s="870">
        <v>106</v>
      </c>
      <c r="B119" s="870"/>
      <c r="C119" s="870"/>
      <c r="D119" s="870">
        <f t="shared" ca="1" si="7"/>
        <v>80</v>
      </c>
      <c r="E119" s="870" t="str">
        <f t="shared" ca="1" si="8"/>
        <v>Normale</v>
      </c>
      <c r="F119" s="870" t="str">
        <f t="shared" ca="1" si="9"/>
        <v>Excellent E++ 100</v>
      </c>
      <c r="G119" s="870" t="str">
        <f t="shared" ca="1" si="10"/>
        <v>Petite -10</v>
      </c>
      <c r="H119" s="870" t="str">
        <f t="shared" ca="1" si="11"/>
        <v>Q= 40</v>
      </c>
      <c r="I119" s="870" t="str">
        <f t="shared" ca="1" si="12"/>
        <v>Assez Récent</v>
      </c>
      <c r="J119" s="870" t="str">
        <f t="shared" ca="1" si="13"/>
        <v>Locale</v>
      </c>
      <c r="K119" s="865"/>
    </row>
    <row r="120" spans="1:11" ht="12" customHeight="1">
      <c r="A120" s="870">
        <v>107</v>
      </c>
      <c r="B120" s="870"/>
      <c r="C120" s="870"/>
      <c r="D120" s="870">
        <f t="shared" ca="1" si="7"/>
        <v>160</v>
      </c>
      <c r="E120" s="870" t="str">
        <f t="shared" ca="1" si="8"/>
        <v>Normale</v>
      </c>
      <c r="F120" s="870" t="str">
        <f t="shared" ca="1" si="9"/>
        <v>Mauvais E- 40</v>
      </c>
      <c r="G120" s="870" t="str">
        <f t="shared" ca="1" si="10"/>
        <v>Moyenne</v>
      </c>
      <c r="H120" s="870" t="str">
        <f t="shared" ca="1" si="11"/>
        <v>Q= 40</v>
      </c>
      <c r="I120" s="870" t="str">
        <f t="shared" ca="1" si="12"/>
        <v>Très récent</v>
      </c>
      <c r="J120" s="870" t="str">
        <f t="shared" ca="1" si="13"/>
        <v>Lointain +100</v>
      </c>
      <c r="K120" s="865"/>
    </row>
    <row r="121" spans="1:11" ht="12" customHeight="1">
      <c r="A121" s="870">
        <v>108</v>
      </c>
      <c r="B121" s="870"/>
      <c r="C121" s="870"/>
      <c r="D121" s="870">
        <f t="shared" ca="1" si="7"/>
        <v>120</v>
      </c>
      <c r="E121" s="870" t="str">
        <f t="shared" ca="1" si="8"/>
        <v>Normale</v>
      </c>
      <c r="F121" s="870" t="str">
        <f t="shared" ca="1" si="9"/>
        <v>Mauvais E- 40</v>
      </c>
      <c r="G121" s="870" t="str">
        <f t="shared" ca="1" si="10"/>
        <v>Moyenne</v>
      </c>
      <c r="H121" s="870" t="str">
        <f t="shared" ca="1" si="11"/>
        <v>Q= 50</v>
      </c>
      <c r="I121" s="870" t="str">
        <f t="shared" ca="1" si="12"/>
        <v>Récent</v>
      </c>
      <c r="J121" s="870" t="str">
        <f t="shared" ca="1" si="13"/>
        <v>Locale</v>
      </c>
      <c r="K121" s="865"/>
    </row>
    <row r="122" spans="1:11" ht="12" customHeight="1">
      <c r="A122" s="870">
        <v>109</v>
      </c>
      <c r="B122" s="870"/>
      <c r="C122" s="870"/>
      <c r="D122" s="870">
        <f t="shared" ca="1" si="7"/>
        <v>140</v>
      </c>
      <c r="E122" s="870" t="str">
        <f t="shared" ca="1" si="8"/>
        <v>Spéciale +50</v>
      </c>
      <c r="F122" s="870" t="str">
        <f t="shared" ca="1" si="9"/>
        <v>E= 70</v>
      </c>
      <c r="G122" s="870" t="str">
        <f t="shared" ca="1" si="10"/>
        <v>Moyenne</v>
      </c>
      <c r="H122" s="870" t="str">
        <f t="shared" ca="1" si="11"/>
        <v>Q- 20</v>
      </c>
      <c r="I122" s="870" t="str">
        <f t="shared" ca="1" si="12"/>
        <v>Ancien +50</v>
      </c>
      <c r="J122" s="870" t="str">
        <f t="shared" ca="1" si="13"/>
        <v>Etrangère +50</v>
      </c>
      <c r="K122" s="865"/>
    </row>
    <row r="123" spans="1:11" ht="12" customHeight="1">
      <c r="A123" s="870">
        <v>110</v>
      </c>
      <c r="B123" s="870"/>
      <c r="C123" s="870"/>
      <c r="D123" s="870">
        <f t="shared" ca="1" si="7"/>
        <v>40</v>
      </c>
      <c r="E123" s="870" t="str">
        <f t="shared" ca="1" si="8"/>
        <v>Rare +30</v>
      </c>
      <c r="F123" s="870" t="str">
        <f t="shared" ca="1" si="9"/>
        <v>Mauvais E- 40</v>
      </c>
      <c r="G123" s="870" t="str">
        <f t="shared" ca="1" si="10"/>
        <v>Moyenne</v>
      </c>
      <c r="H123" s="870" t="str">
        <f t="shared" ca="1" si="11"/>
        <v>Q= 50</v>
      </c>
      <c r="I123" s="870" t="str">
        <f t="shared" ca="1" si="12"/>
        <v>Récent</v>
      </c>
      <c r="J123" s="870" t="str">
        <f t="shared" ca="1" si="13"/>
        <v>Locale</v>
      </c>
      <c r="K123" s="865"/>
    </row>
    <row r="124" spans="1:11" ht="12" customHeight="1">
      <c r="A124" s="870">
        <v>111</v>
      </c>
      <c r="B124" s="870"/>
      <c r="C124" s="870"/>
      <c r="D124" s="870">
        <f t="shared" ca="1" si="7"/>
        <v>180</v>
      </c>
      <c r="E124" s="870" t="str">
        <f t="shared" ca="1" si="8"/>
        <v>Normale</v>
      </c>
      <c r="F124" s="870" t="str">
        <f t="shared" ca="1" si="9"/>
        <v>Excellent E++ 100</v>
      </c>
      <c r="G124" s="870" t="str">
        <f t="shared" ca="1" si="10"/>
        <v>Moyenne</v>
      </c>
      <c r="H124" s="870" t="str">
        <f t="shared" ca="1" si="11"/>
        <v>Q+ 70</v>
      </c>
      <c r="I124" s="870" t="str">
        <f t="shared" ca="1" si="12"/>
        <v>Récent</v>
      </c>
      <c r="J124" s="870" t="str">
        <f t="shared" ca="1" si="13"/>
        <v>Régionale</v>
      </c>
      <c r="K124" s="865"/>
    </row>
    <row r="125" spans="1:11" ht="12" customHeight="1">
      <c r="A125" s="870">
        <v>112</v>
      </c>
      <c r="B125" s="870"/>
      <c r="C125" s="870"/>
      <c r="D125" s="870">
        <f t="shared" ca="1" si="7"/>
        <v>180</v>
      </c>
      <c r="E125" s="870" t="str">
        <f t="shared" ca="1" si="8"/>
        <v>Originale +10</v>
      </c>
      <c r="F125" s="870" t="str">
        <f t="shared" ca="1" si="9"/>
        <v>E= 80</v>
      </c>
      <c r="G125" s="870" t="str">
        <f t="shared" ca="1" si="10"/>
        <v>Moyenne</v>
      </c>
      <c r="H125" s="870" t="str">
        <f t="shared" ca="1" si="11"/>
        <v>Q= 40</v>
      </c>
      <c r="I125" s="870" t="str">
        <f t="shared" ca="1" si="12"/>
        <v>Assez Récent</v>
      </c>
      <c r="J125" s="870" t="str">
        <f t="shared" ca="1" si="13"/>
        <v>Régionale</v>
      </c>
      <c r="K125" s="865"/>
    </row>
    <row r="126" spans="1:11" ht="12" customHeight="1">
      <c r="A126" s="870">
        <v>113</v>
      </c>
      <c r="B126" s="870"/>
      <c r="C126" s="870"/>
      <c r="D126" s="870">
        <f t="shared" ca="1" si="7"/>
        <v>20</v>
      </c>
      <c r="E126" s="870" t="str">
        <f t="shared" ca="1" si="8"/>
        <v>Originale +10</v>
      </c>
      <c r="F126" s="870" t="str">
        <f t="shared" ca="1" si="9"/>
        <v>Très bon E+ 90</v>
      </c>
      <c r="G126" s="870" t="str">
        <f t="shared" ca="1" si="10"/>
        <v>Moyenne</v>
      </c>
      <c r="H126" s="870" t="str">
        <f t="shared" ca="1" si="11"/>
        <v>Q- 30</v>
      </c>
      <c r="I126" s="870" t="str">
        <f t="shared" ca="1" si="12"/>
        <v>Récent</v>
      </c>
      <c r="J126" s="870" t="str">
        <f t="shared" ca="1" si="13"/>
        <v>Régionale</v>
      </c>
      <c r="K126" s="865"/>
    </row>
    <row r="127" spans="1:11" ht="12" customHeight="1">
      <c r="A127" s="870">
        <v>114</v>
      </c>
      <c r="B127" s="870"/>
      <c r="C127" s="870"/>
      <c r="D127" s="870">
        <f t="shared" ca="1" si="7"/>
        <v>120</v>
      </c>
      <c r="E127" s="870" t="str">
        <f t="shared" ca="1" si="8"/>
        <v>Normale</v>
      </c>
      <c r="F127" s="870" t="str">
        <f t="shared" ca="1" si="9"/>
        <v>E= 80</v>
      </c>
      <c r="G127" s="870" t="str">
        <f t="shared" ca="1" si="10"/>
        <v>Petite -10</v>
      </c>
      <c r="H127" s="870" t="str">
        <f t="shared" ca="1" si="11"/>
        <v>Q- - 10</v>
      </c>
      <c r="I127" s="870" t="str">
        <f t="shared" ca="1" si="12"/>
        <v>Ancien +50</v>
      </c>
      <c r="J127" s="870" t="str">
        <f t="shared" ca="1" si="13"/>
        <v>Régionale</v>
      </c>
      <c r="K127" s="865"/>
    </row>
    <row r="128" spans="1:11" ht="12" customHeight="1">
      <c r="A128" s="870">
        <v>115</v>
      </c>
      <c r="B128" s="870"/>
      <c r="C128" s="870"/>
      <c r="D128" s="870">
        <f t="shared" ca="1" si="7"/>
        <v>60</v>
      </c>
      <c r="E128" s="870" t="str">
        <f t="shared" ca="1" si="8"/>
        <v>Spéciale +50</v>
      </c>
      <c r="F128" s="870" t="str">
        <f t="shared" ca="1" si="9"/>
        <v>E= 70</v>
      </c>
      <c r="G128" s="870" t="str">
        <f t="shared" ca="1" si="10"/>
        <v>Moyenne</v>
      </c>
      <c r="H128" s="870" t="str">
        <f t="shared" ca="1" si="11"/>
        <v>Q- 20</v>
      </c>
      <c r="I128" s="870" t="str">
        <f t="shared" ca="1" si="12"/>
        <v>Très ancien +80</v>
      </c>
      <c r="J128" s="870" t="str">
        <f t="shared" ca="1" si="13"/>
        <v>Régionale</v>
      </c>
      <c r="K128" s="865"/>
    </row>
    <row r="129" spans="1:10" ht="12" customHeight="1">
      <c r="A129" s="870">
        <v>116</v>
      </c>
      <c r="B129" s="870"/>
      <c r="C129" s="870"/>
      <c r="D129" s="870">
        <f t="shared" ca="1" si="7"/>
        <v>20</v>
      </c>
      <c r="E129" s="870" t="str">
        <f t="shared" ca="1" si="8"/>
        <v>Défaut -30</v>
      </c>
      <c r="F129" s="870" t="str">
        <f t="shared" ca="1" si="9"/>
        <v>Très bon E+ 90</v>
      </c>
      <c r="G129" s="870" t="str">
        <f t="shared" ca="1" si="10"/>
        <v>Moyenne</v>
      </c>
      <c r="H129" s="870" t="str">
        <f t="shared" ca="1" si="11"/>
        <v>Q+ 70</v>
      </c>
      <c r="I129" s="870" t="str">
        <f t="shared" ca="1" si="12"/>
        <v>Ancien +50</v>
      </c>
      <c r="J129" s="870" t="str">
        <f t="shared" ca="1" si="13"/>
        <v>Etrangère +50</v>
      </c>
    </row>
    <row r="130" spans="1:10" ht="12" customHeight="1">
      <c r="A130" s="870">
        <v>117</v>
      </c>
      <c r="B130" s="870"/>
      <c r="C130" s="870"/>
      <c r="D130" s="870">
        <f t="shared" ca="1" si="7"/>
        <v>140</v>
      </c>
      <c r="E130" s="870" t="str">
        <f t="shared" ca="1" si="8"/>
        <v>Défaut -30</v>
      </c>
      <c r="F130" s="870" t="str">
        <f t="shared" ca="1" si="9"/>
        <v>E= 80</v>
      </c>
      <c r="G130" s="870" t="str">
        <f t="shared" ca="1" si="10"/>
        <v>Moyenne</v>
      </c>
      <c r="H130" s="870" t="str">
        <f t="shared" ca="1" si="11"/>
        <v>Q- 20</v>
      </c>
      <c r="I130" s="870" t="str">
        <f t="shared" ca="1" si="12"/>
        <v>Vieux -20</v>
      </c>
      <c r="J130" s="870" t="str">
        <f t="shared" ca="1" si="13"/>
        <v>Lointain +100</v>
      </c>
    </row>
    <row r="131" spans="1:10" ht="12" customHeight="1">
      <c r="A131" s="870">
        <v>118</v>
      </c>
      <c r="B131" s="870"/>
      <c r="C131" s="870"/>
      <c r="D131" s="870">
        <f t="shared" ca="1" si="7"/>
        <v>120</v>
      </c>
      <c r="E131" s="870" t="str">
        <f t="shared" ca="1" si="8"/>
        <v>Normale</v>
      </c>
      <c r="F131" s="870" t="str">
        <f t="shared" ca="1" si="9"/>
        <v>Très bon E+ 80</v>
      </c>
      <c r="G131" s="870" t="str">
        <f t="shared" ca="1" si="10"/>
        <v>Petite -10</v>
      </c>
      <c r="H131" s="870" t="str">
        <f t="shared" ca="1" si="11"/>
        <v>Q= 40</v>
      </c>
      <c r="I131" s="870" t="str">
        <f t="shared" ca="1" si="12"/>
        <v>Spécial +100</v>
      </c>
      <c r="J131" s="870" t="str">
        <f t="shared" ca="1" si="13"/>
        <v>Lointain +100</v>
      </c>
    </row>
    <row r="132" spans="1:10" ht="12" customHeight="1">
      <c r="A132" s="870">
        <v>119</v>
      </c>
      <c r="B132" s="870"/>
      <c r="C132" s="870"/>
      <c r="D132" s="870">
        <f t="shared" ca="1" si="7"/>
        <v>160</v>
      </c>
      <c r="E132" s="870" t="str">
        <f t="shared" ca="1" si="8"/>
        <v>Inachevée -10</v>
      </c>
      <c r="F132" s="870" t="str">
        <f t="shared" ca="1" si="9"/>
        <v>E= 80</v>
      </c>
      <c r="G132" s="870" t="str">
        <f t="shared" ca="1" si="10"/>
        <v>Petite -10</v>
      </c>
      <c r="H132" s="870" t="str">
        <f t="shared" ca="1" si="11"/>
        <v>Q- 30</v>
      </c>
      <c r="I132" s="870" t="str">
        <f t="shared" ca="1" si="12"/>
        <v>Spécial +100</v>
      </c>
      <c r="J132" s="870" t="str">
        <f t="shared" ca="1" si="13"/>
        <v>Régionale</v>
      </c>
    </row>
    <row r="133" spans="1:10" ht="12" customHeight="1">
      <c r="A133" s="870">
        <v>120</v>
      </c>
      <c r="B133" s="870"/>
      <c r="C133" s="870"/>
      <c r="D133" s="870">
        <f t="shared" ca="1" si="7"/>
        <v>120</v>
      </c>
      <c r="E133" s="870" t="str">
        <f t="shared" ca="1" si="8"/>
        <v>Rare +30</v>
      </c>
      <c r="F133" s="870" t="str">
        <f t="shared" ca="1" si="9"/>
        <v>E= 80</v>
      </c>
      <c r="G133" s="870" t="str">
        <f t="shared" ca="1" si="10"/>
        <v>Moyenne</v>
      </c>
      <c r="H133" s="870" t="str">
        <f t="shared" ca="1" si="11"/>
        <v>Q- - 10</v>
      </c>
      <c r="I133" s="870" t="str">
        <f t="shared" ca="1" si="12"/>
        <v>Très ancien +80</v>
      </c>
      <c r="J133" s="870" t="str">
        <f t="shared" ca="1" si="13"/>
        <v>Autre monde +200</v>
      </c>
    </row>
    <row r="134" spans="1:10" ht="12" customHeight="1">
      <c r="A134" s="870">
        <v>121</v>
      </c>
      <c r="B134" s="870"/>
      <c r="C134" s="870"/>
      <c r="D134" s="870">
        <f t="shared" ca="1" si="7"/>
        <v>180</v>
      </c>
      <c r="E134" s="870" t="str">
        <f t="shared" ca="1" si="8"/>
        <v>Normale</v>
      </c>
      <c r="F134" s="870" t="str">
        <f t="shared" ca="1" si="9"/>
        <v>Mauvais E- 30</v>
      </c>
      <c r="G134" s="870" t="str">
        <f t="shared" ca="1" si="10"/>
        <v>Moyenne</v>
      </c>
      <c r="H134" s="870" t="str">
        <f t="shared" ca="1" si="11"/>
        <v>Q= 50</v>
      </c>
      <c r="I134" s="870" t="str">
        <f t="shared" ca="1" si="12"/>
        <v>Récent</v>
      </c>
      <c r="J134" s="870" t="str">
        <f t="shared" ca="1" si="13"/>
        <v>Régionale</v>
      </c>
    </row>
    <row r="135" spans="1:10" ht="12" customHeight="1">
      <c r="A135" s="870">
        <v>122</v>
      </c>
      <c r="B135" s="870"/>
      <c r="C135" s="870"/>
      <c r="D135" s="870">
        <f t="shared" ca="1" si="7"/>
        <v>140</v>
      </c>
      <c r="E135" s="870" t="str">
        <f t="shared" ca="1" si="8"/>
        <v>Rare +30</v>
      </c>
      <c r="F135" s="870" t="str">
        <f t="shared" ca="1" si="9"/>
        <v>Mauvais E- 40</v>
      </c>
      <c r="G135" s="870" t="str">
        <f t="shared" ca="1" si="10"/>
        <v>Très Petite -20</v>
      </c>
      <c r="H135" s="870" t="str">
        <f t="shared" ca="1" si="11"/>
        <v>Q- 20</v>
      </c>
      <c r="I135" s="870" t="str">
        <f t="shared" ca="1" si="12"/>
        <v>Récent</v>
      </c>
      <c r="J135" s="870" t="str">
        <f t="shared" ca="1" si="13"/>
        <v>Régionale</v>
      </c>
    </row>
    <row r="136" spans="1:10" ht="12" customHeight="1">
      <c r="A136" s="870">
        <v>123</v>
      </c>
      <c r="B136" s="870"/>
      <c r="C136" s="870"/>
      <c r="D136" s="870">
        <f t="shared" ca="1" si="7"/>
        <v>40</v>
      </c>
      <c r="E136" s="870" t="str">
        <f t="shared" ca="1" si="8"/>
        <v>Normale</v>
      </c>
      <c r="F136" s="870" t="str">
        <f t="shared" ca="1" si="9"/>
        <v>Mauvais E- 30</v>
      </c>
      <c r="G136" s="870" t="str">
        <f t="shared" ca="1" si="10"/>
        <v>Moyenne</v>
      </c>
      <c r="H136" s="870" t="str">
        <f t="shared" ca="1" si="11"/>
        <v>Q= 40</v>
      </c>
      <c r="I136" s="870" t="str">
        <f t="shared" ca="1" si="12"/>
        <v>Récent</v>
      </c>
      <c r="J136" s="870" t="str">
        <f t="shared" ca="1" si="13"/>
        <v>Régionale</v>
      </c>
    </row>
    <row r="137" spans="1:10" ht="12" customHeight="1">
      <c r="A137" s="870">
        <v>124</v>
      </c>
      <c r="B137" s="870"/>
      <c r="C137" s="870"/>
      <c r="D137" s="870">
        <f t="shared" ca="1" si="7"/>
        <v>200</v>
      </c>
      <c r="E137" s="870" t="str">
        <f t="shared" ca="1" si="8"/>
        <v>Défaut -30</v>
      </c>
      <c r="F137" s="870" t="str">
        <f t="shared" ca="1" si="9"/>
        <v>E= 50</v>
      </c>
      <c r="G137" s="870" t="str">
        <f t="shared" ca="1" si="10"/>
        <v>Moyenne</v>
      </c>
      <c r="H137" s="870" t="str">
        <f t="shared" ca="1" si="11"/>
        <v>Q+ 60</v>
      </c>
      <c r="I137" s="870" t="str">
        <f t="shared" ca="1" si="12"/>
        <v>Vieux -20</v>
      </c>
      <c r="J137" s="870" t="str">
        <f t="shared" ca="1" si="13"/>
        <v>Etrangère +50</v>
      </c>
    </row>
    <row r="138" spans="1:10" ht="12" customHeight="1">
      <c r="A138" s="870">
        <v>125</v>
      </c>
      <c r="B138" s="870"/>
      <c r="C138" s="870"/>
      <c r="D138" s="870">
        <f t="shared" ca="1" si="7"/>
        <v>100</v>
      </c>
      <c r="E138" s="870" t="str">
        <f t="shared" ca="1" si="8"/>
        <v>Originale +10</v>
      </c>
      <c r="F138" s="870" t="str">
        <f t="shared" ca="1" si="9"/>
        <v>Très bon E+ 90</v>
      </c>
      <c r="G138" s="870" t="str">
        <f t="shared" ca="1" si="10"/>
        <v>Moyenne</v>
      </c>
      <c r="H138" s="870" t="str">
        <f t="shared" ca="1" si="11"/>
        <v>Q++ 80</v>
      </c>
      <c r="I138" s="870" t="str">
        <f t="shared" ca="1" si="12"/>
        <v>Récent</v>
      </c>
      <c r="J138" s="870" t="str">
        <f t="shared" ca="1" si="13"/>
        <v>Etrangère +30</v>
      </c>
    </row>
    <row r="139" spans="1:10" ht="12" customHeight="1">
      <c r="A139" s="870">
        <v>126</v>
      </c>
      <c r="B139" s="870"/>
      <c r="C139" s="870"/>
      <c r="D139" s="870">
        <f t="shared" ca="1" si="7"/>
        <v>100</v>
      </c>
      <c r="E139" s="870" t="str">
        <f t="shared" ca="1" si="8"/>
        <v>Inachevée -10</v>
      </c>
      <c r="F139" s="870" t="str">
        <f t="shared" ca="1" si="9"/>
        <v>Très mauvais E- - 20</v>
      </c>
      <c r="G139" s="870" t="str">
        <f t="shared" ca="1" si="10"/>
        <v>Moyenne</v>
      </c>
      <c r="H139" s="870" t="str">
        <f t="shared" ca="1" si="11"/>
        <v>Q+ 60</v>
      </c>
      <c r="I139" s="870" t="str">
        <f t="shared" ca="1" si="12"/>
        <v>Assez Récent</v>
      </c>
      <c r="J139" s="870" t="str">
        <f t="shared" ca="1" si="13"/>
        <v>Locale</v>
      </c>
    </row>
    <row r="140" spans="1:10" ht="12" customHeight="1">
      <c r="A140" s="870">
        <v>127</v>
      </c>
      <c r="B140" s="870"/>
      <c r="C140" s="870"/>
      <c r="D140" s="870">
        <f t="shared" ca="1" si="7"/>
        <v>100</v>
      </c>
      <c r="E140" s="870" t="str">
        <f t="shared" ca="1" si="8"/>
        <v>Normale</v>
      </c>
      <c r="F140" s="870" t="str">
        <f t="shared" ca="1" si="9"/>
        <v>Très mauvais E- - 20</v>
      </c>
      <c r="G140" s="870" t="str">
        <f t="shared" ca="1" si="10"/>
        <v>Moyenne</v>
      </c>
      <c r="H140" s="870" t="str">
        <f t="shared" ca="1" si="11"/>
        <v>Q++ 80</v>
      </c>
      <c r="I140" s="870" t="str">
        <f t="shared" ca="1" si="12"/>
        <v>Assez Récent</v>
      </c>
      <c r="J140" s="870" t="str">
        <f t="shared" ca="1" si="13"/>
        <v>Locale</v>
      </c>
    </row>
    <row r="141" spans="1:10" ht="12" customHeight="1">
      <c r="A141" s="870">
        <v>128</v>
      </c>
      <c r="B141" s="870"/>
      <c r="C141" s="870"/>
      <c r="D141" s="870">
        <f t="shared" ca="1" si="7"/>
        <v>80</v>
      </c>
      <c r="E141" s="870" t="str">
        <f t="shared" ca="1" si="8"/>
        <v>Normale</v>
      </c>
      <c r="F141" s="870" t="str">
        <f t="shared" ca="1" si="9"/>
        <v>E= 60</v>
      </c>
      <c r="G141" s="870" t="str">
        <f t="shared" ca="1" si="10"/>
        <v>Petite -10</v>
      </c>
      <c r="H141" s="870" t="str">
        <f t="shared" ca="1" si="11"/>
        <v>Q= 50</v>
      </c>
      <c r="I141" s="870" t="str">
        <f t="shared" ca="1" si="12"/>
        <v>Spécial +100</v>
      </c>
      <c r="J141" s="870" t="str">
        <f t="shared" ca="1" si="13"/>
        <v>Locale</v>
      </c>
    </row>
    <row r="142" spans="1:10" ht="12" customHeight="1">
      <c r="A142" s="870">
        <v>129</v>
      </c>
      <c r="B142" s="870"/>
      <c r="C142" s="870"/>
      <c r="D142" s="870">
        <f t="shared" ref="D142:D170" ca="1" si="14">LOOKUP(RANDBETWEEN(1,10),D10tré,TréQT)</f>
        <v>60</v>
      </c>
      <c r="E142" s="870" t="str">
        <f t="shared" ref="E142:E170" ca="1" si="15">LOOKUP(RANDBETWEEN(1,10),D10tré,TréForme)</f>
        <v>Inachevée -10</v>
      </c>
      <c r="F142" s="870" t="str">
        <f t="shared" ref="F142:F170" ca="1" si="16">LOOKUP(RANDBETWEEN(1,10),D10tré,TréEtat)</f>
        <v>E= 70</v>
      </c>
      <c r="G142" s="870" t="str">
        <f t="shared" ref="G142:G170" ca="1" si="17">LOOKUP(RANDBETWEEN(1,10),D10tré,TréTaille)</f>
        <v>Très Grande +20</v>
      </c>
      <c r="H142" s="870" t="str">
        <f t="shared" ref="H142:H170" ca="1" si="18">LOOKUP(RANDBETWEEN(1,10),D10tré,TréQualité)</f>
        <v>Q- 20</v>
      </c>
      <c r="I142" s="870" t="str">
        <f t="shared" ref="I142:I170" ca="1" si="19">LOOKUP(RANDBETWEEN(1,10),D10tré,TréAncienneté)</f>
        <v>Assez Récent</v>
      </c>
      <c r="J142" s="870" t="str">
        <f t="shared" ref="J142:J170" ca="1" si="20">LOOKUP(RANDBETWEEN(1,10),D10tré,TréOrigine)</f>
        <v>Etrangère +30</v>
      </c>
    </row>
    <row r="143" spans="1:10" ht="12" customHeight="1">
      <c r="A143" s="870">
        <v>130</v>
      </c>
      <c r="B143" s="870"/>
      <c r="C143" s="870"/>
      <c r="D143" s="870">
        <f t="shared" ca="1" si="14"/>
        <v>40</v>
      </c>
      <c r="E143" s="870" t="str">
        <f t="shared" ca="1" si="15"/>
        <v>Spéciale +50</v>
      </c>
      <c r="F143" s="870" t="str">
        <f t="shared" ca="1" si="16"/>
        <v>E= 60</v>
      </c>
      <c r="G143" s="870" t="str">
        <f t="shared" ca="1" si="17"/>
        <v>Petite -10</v>
      </c>
      <c r="H143" s="870" t="str">
        <f t="shared" ca="1" si="18"/>
        <v>Q= 40</v>
      </c>
      <c r="I143" s="870" t="str">
        <f t="shared" ca="1" si="19"/>
        <v>Assez Récent</v>
      </c>
      <c r="J143" s="870" t="str">
        <f t="shared" ca="1" si="20"/>
        <v>Etrangère +30</v>
      </c>
    </row>
    <row r="144" spans="1:10" ht="12" customHeight="1">
      <c r="A144" s="870">
        <v>131</v>
      </c>
      <c r="B144" s="870"/>
      <c r="C144" s="870"/>
      <c r="D144" s="870">
        <f t="shared" ca="1" si="14"/>
        <v>20</v>
      </c>
      <c r="E144" s="870" t="str">
        <f t="shared" ca="1" si="15"/>
        <v>Spéciale +50</v>
      </c>
      <c r="F144" s="870" t="str">
        <f t="shared" ca="1" si="16"/>
        <v>Très bon E+ 90</v>
      </c>
      <c r="G144" s="870" t="str">
        <f t="shared" ca="1" si="17"/>
        <v>Moyenne</v>
      </c>
      <c r="H144" s="870" t="str">
        <f t="shared" ca="1" si="18"/>
        <v>Q- 20</v>
      </c>
      <c r="I144" s="870" t="str">
        <f t="shared" ca="1" si="19"/>
        <v>Vieux -20</v>
      </c>
      <c r="J144" s="870" t="str">
        <f t="shared" ca="1" si="20"/>
        <v>Locale</v>
      </c>
    </row>
    <row r="145" spans="1:10" ht="12" customHeight="1">
      <c r="A145" s="870">
        <v>132</v>
      </c>
      <c r="B145" s="870"/>
      <c r="C145" s="870"/>
      <c r="D145" s="870">
        <f t="shared" ca="1" si="14"/>
        <v>60</v>
      </c>
      <c r="E145" s="870" t="str">
        <f t="shared" ca="1" si="15"/>
        <v>Normale</v>
      </c>
      <c r="F145" s="870" t="str">
        <f t="shared" ca="1" si="16"/>
        <v>Très mauvais E- - 20</v>
      </c>
      <c r="G145" s="870" t="str">
        <f t="shared" ca="1" si="17"/>
        <v>Moyenne</v>
      </c>
      <c r="H145" s="870" t="str">
        <f t="shared" ca="1" si="18"/>
        <v>Q- 20</v>
      </c>
      <c r="I145" s="870" t="str">
        <f t="shared" ca="1" si="19"/>
        <v>Ancien +50</v>
      </c>
      <c r="J145" s="870" t="str">
        <f t="shared" ca="1" si="20"/>
        <v>Autre monde +200</v>
      </c>
    </row>
    <row r="146" spans="1:10" ht="12" customHeight="1">
      <c r="A146" s="870">
        <v>133</v>
      </c>
      <c r="B146" s="870"/>
      <c r="C146" s="870"/>
      <c r="D146" s="870">
        <f t="shared" ca="1" si="14"/>
        <v>120</v>
      </c>
      <c r="E146" s="870" t="str">
        <f t="shared" ca="1" si="15"/>
        <v>Normale</v>
      </c>
      <c r="F146" s="870" t="str">
        <f t="shared" ca="1" si="16"/>
        <v>Mauvais E- 30</v>
      </c>
      <c r="G146" s="870" t="str">
        <f t="shared" ca="1" si="17"/>
        <v>Grande +10</v>
      </c>
      <c r="H146" s="870" t="str">
        <f t="shared" ca="1" si="18"/>
        <v>Q= 50</v>
      </c>
      <c r="I146" s="870" t="str">
        <f t="shared" ca="1" si="19"/>
        <v>Récent</v>
      </c>
      <c r="J146" s="870" t="str">
        <f t="shared" ca="1" si="20"/>
        <v>Régionale</v>
      </c>
    </row>
    <row r="147" spans="1:10" ht="12" customHeight="1">
      <c r="A147" s="870">
        <v>134</v>
      </c>
      <c r="B147" s="870"/>
      <c r="C147" s="870"/>
      <c r="D147" s="870">
        <f t="shared" ca="1" si="14"/>
        <v>180</v>
      </c>
      <c r="E147" s="870" t="str">
        <f t="shared" ca="1" si="15"/>
        <v>Normale</v>
      </c>
      <c r="F147" s="870" t="str">
        <f t="shared" ca="1" si="16"/>
        <v>E= 60</v>
      </c>
      <c r="G147" s="870" t="str">
        <f t="shared" ca="1" si="17"/>
        <v>Grande +10</v>
      </c>
      <c r="H147" s="870" t="str">
        <f t="shared" ca="1" si="18"/>
        <v>Q= 50</v>
      </c>
      <c r="I147" s="870" t="str">
        <f t="shared" ca="1" si="19"/>
        <v>Assez Récent</v>
      </c>
      <c r="J147" s="870" t="str">
        <f t="shared" ca="1" si="20"/>
        <v>Régionale</v>
      </c>
    </row>
    <row r="148" spans="1:10" ht="12" customHeight="1">
      <c r="A148" s="870">
        <v>135</v>
      </c>
      <c r="B148" s="870"/>
      <c r="C148" s="870"/>
      <c r="D148" s="870">
        <f t="shared" ca="1" si="14"/>
        <v>140</v>
      </c>
      <c r="E148" s="870" t="str">
        <f t="shared" ca="1" si="15"/>
        <v>Normale</v>
      </c>
      <c r="F148" s="870" t="str">
        <f t="shared" ca="1" si="16"/>
        <v>Très bon E+ 80</v>
      </c>
      <c r="G148" s="870" t="str">
        <f t="shared" ca="1" si="17"/>
        <v>Moyenne</v>
      </c>
      <c r="H148" s="870" t="str">
        <f t="shared" ca="1" si="18"/>
        <v>Q++ 80</v>
      </c>
      <c r="I148" s="870" t="str">
        <f t="shared" ca="1" si="19"/>
        <v>Assez Récent</v>
      </c>
      <c r="J148" s="870" t="str">
        <f t="shared" ca="1" si="20"/>
        <v>Lointain +100</v>
      </c>
    </row>
    <row r="149" spans="1:10" ht="12" customHeight="1">
      <c r="A149" s="870">
        <v>136</v>
      </c>
      <c r="B149" s="870"/>
      <c r="C149" s="870"/>
      <c r="D149" s="870">
        <f t="shared" ca="1" si="14"/>
        <v>120</v>
      </c>
      <c r="E149" s="870" t="str">
        <f t="shared" ca="1" si="15"/>
        <v>Normale</v>
      </c>
      <c r="F149" s="870" t="str">
        <f t="shared" ca="1" si="16"/>
        <v>Très bon E+ 90</v>
      </c>
      <c r="G149" s="870" t="str">
        <f t="shared" ca="1" si="17"/>
        <v>Très Grande +20</v>
      </c>
      <c r="H149" s="870" t="str">
        <f t="shared" ca="1" si="18"/>
        <v>Q++ 80</v>
      </c>
      <c r="I149" s="870" t="str">
        <f t="shared" ca="1" si="19"/>
        <v>Assez Récent</v>
      </c>
      <c r="J149" s="870" t="str">
        <f t="shared" ca="1" si="20"/>
        <v>Autre monde +200</v>
      </c>
    </row>
    <row r="150" spans="1:10" ht="12" customHeight="1">
      <c r="A150" s="870">
        <v>137</v>
      </c>
      <c r="B150" s="870"/>
      <c r="C150" s="870"/>
      <c r="D150" s="870">
        <f t="shared" ca="1" si="14"/>
        <v>80</v>
      </c>
      <c r="E150" s="870" t="str">
        <f t="shared" ca="1" si="15"/>
        <v>Normale</v>
      </c>
      <c r="F150" s="870" t="str">
        <f t="shared" ca="1" si="16"/>
        <v>Excellent E++ 100</v>
      </c>
      <c r="G150" s="870" t="str">
        <f t="shared" ca="1" si="17"/>
        <v>Très Grande +20</v>
      </c>
      <c r="H150" s="870" t="str">
        <f t="shared" ca="1" si="18"/>
        <v>Q+ 60</v>
      </c>
      <c r="I150" s="870" t="str">
        <f t="shared" ca="1" si="19"/>
        <v>Très ancien +80</v>
      </c>
      <c r="J150" s="870" t="str">
        <f t="shared" ca="1" si="20"/>
        <v>Etrangère +50</v>
      </c>
    </row>
    <row r="151" spans="1:10" ht="12" customHeight="1">
      <c r="A151" s="870">
        <v>138</v>
      </c>
      <c r="B151" s="870"/>
      <c r="C151" s="870"/>
      <c r="D151" s="870">
        <f t="shared" ca="1" si="14"/>
        <v>160</v>
      </c>
      <c r="E151" s="870" t="str">
        <f t="shared" ca="1" si="15"/>
        <v>Défaut -30</v>
      </c>
      <c r="F151" s="870" t="str">
        <f t="shared" ca="1" si="16"/>
        <v>E= 60</v>
      </c>
      <c r="G151" s="870" t="str">
        <f t="shared" ca="1" si="17"/>
        <v>Moyenne</v>
      </c>
      <c r="H151" s="870" t="str">
        <f t="shared" ca="1" si="18"/>
        <v>Q= 40</v>
      </c>
      <c r="I151" s="870" t="str">
        <f t="shared" ca="1" si="19"/>
        <v>Très récent</v>
      </c>
      <c r="J151" s="870" t="str">
        <f t="shared" ca="1" si="20"/>
        <v>Régionale</v>
      </c>
    </row>
    <row r="152" spans="1:10" ht="12" customHeight="1">
      <c r="A152" s="870">
        <v>139</v>
      </c>
      <c r="B152" s="870"/>
      <c r="C152" s="870"/>
      <c r="D152" s="870">
        <f t="shared" ca="1" si="14"/>
        <v>160</v>
      </c>
      <c r="E152" s="870" t="str">
        <f t="shared" ca="1" si="15"/>
        <v>Spéciale +50</v>
      </c>
      <c r="F152" s="870" t="str">
        <f t="shared" ca="1" si="16"/>
        <v>E= 70</v>
      </c>
      <c r="G152" s="870" t="str">
        <f t="shared" ca="1" si="17"/>
        <v>Moyenne</v>
      </c>
      <c r="H152" s="870" t="str">
        <f t="shared" ca="1" si="18"/>
        <v>Q= 40</v>
      </c>
      <c r="I152" s="870" t="str">
        <f t="shared" ca="1" si="19"/>
        <v>Récent</v>
      </c>
      <c r="J152" s="870" t="str">
        <f t="shared" ca="1" si="20"/>
        <v>Régionale</v>
      </c>
    </row>
    <row r="153" spans="1:10" ht="12" customHeight="1">
      <c r="A153" s="870">
        <v>140</v>
      </c>
      <c r="B153" s="870"/>
      <c r="C153" s="870"/>
      <c r="D153" s="870">
        <f t="shared" ca="1" si="14"/>
        <v>180</v>
      </c>
      <c r="E153" s="870" t="str">
        <f t="shared" ca="1" si="15"/>
        <v>Normale</v>
      </c>
      <c r="F153" s="870" t="str">
        <f t="shared" ca="1" si="16"/>
        <v>E= 80</v>
      </c>
      <c r="G153" s="870" t="str">
        <f t="shared" ca="1" si="17"/>
        <v>Moyenne</v>
      </c>
      <c r="H153" s="870" t="str">
        <f t="shared" ca="1" si="18"/>
        <v>Q- 30</v>
      </c>
      <c r="I153" s="870" t="str">
        <f t="shared" ca="1" si="19"/>
        <v>Assez Récent</v>
      </c>
      <c r="J153" s="870" t="str">
        <f t="shared" ca="1" si="20"/>
        <v>Etrangère +50</v>
      </c>
    </row>
    <row r="154" spans="1:10" ht="12" customHeight="1">
      <c r="A154" s="870">
        <v>141</v>
      </c>
      <c r="B154" s="870"/>
      <c r="C154" s="870"/>
      <c r="D154" s="870">
        <f t="shared" ca="1" si="14"/>
        <v>80</v>
      </c>
      <c r="E154" s="870" t="str">
        <f t="shared" ca="1" si="15"/>
        <v>Normale</v>
      </c>
      <c r="F154" s="870" t="str">
        <f t="shared" ca="1" si="16"/>
        <v>E= 50</v>
      </c>
      <c r="G154" s="870" t="str">
        <f t="shared" ca="1" si="17"/>
        <v>Grande +10</v>
      </c>
      <c r="H154" s="870" t="str">
        <f t="shared" ca="1" si="18"/>
        <v>Q+ 70</v>
      </c>
      <c r="I154" s="870" t="str">
        <f t="shared" ca="1" si="19"/>
        <v>Ancien +50</v>
      </c>
      <c r="J154" s="870" t="str">
        <f t="shared" ca="1" si="20"/>
        <v>Régionale</v>
      </c>
    </row>
    <row r="155" spans="1:10" ht="12" customHeight="1">
      <c r="A155" s="870">
        <v>142</v>
      </c>
      <c r="B155" s="870"/>
      <c r="C155" s="870"/>
      <c r="D155" s="870">
        <f t="shared" ca="1" si="14"/>
        <v>20</v>
      </c>
      <c r="E155" s="870" t="str">
        <f t="shared" ca="1" si="15"/>
        <v>Originale +10</v>
      </c>
      <c r="F155" s="870" t="str">
        <f t="shared" ca="1" si="16"/>
        <v>E= 60</v>
      </c>
      <c r="G155" s="870" t="str">
        <f t="shared" ca="1" si="17"/>
        <v>Moyenne</v>
      </c>
      <c r="H155" s="870" t="str">
        <f t="shared" ca="1" si="18"/>
        <v>Q= 40</v>
      </c>
      <c r="I155" s="870" t="str">
        <f t="shared" ca="1" si="19"/>
        <v>Récent</v>
      </c>
      <c r="J155" s="870" t="str">
        <f t="shared" ca="1" si="20"/>
        <v>Etrangère +50</v>
      </c>
    </row>
    <row r="156" spans="1:10" ht="12" customHeight="1">
      <c r="A156" s="870">
        <v>143</v>
      </c>
      <c r="B156" s="870"/>
      <c r="C156" s="870"/>
      <c r="D156" s="870">
        <f t="shared" ca="1" si="14"/>
        <v>60</v>
      </c>
      <c r="E156" s="870" t="str">
        <f t="shared" ca="1" si="15"/>
        <v>Normale</v>
      </c>
      <c r="F156" s="870" t="str">
        <f t="shared" ca="1" si="16"/>
        <v>Très bon E+ 80</v>
      </c>
      <c r="G156" s="870" t="str">
        <f t="shared" ca="1" si="17"/>
        <v>Moyenne</v>
      </c>
      <c r="H156" s="870" t="str">
        <f t="shared" ca="1" si="18"/>
        <v>Q+ 60</v>
      </c>
      <c r="I156" s="870" t="str">
        <f t="shared" ca="1" si="19"/>
        <v>Très récent</v>
      </c>
      <c r="J156" s="870" t="str">
        <f t="shared" ca="1" si="20"/>
        <v>Très locale</v>
      </c>
    </row>
    <row r="157" spans="1:10" ht="12" customHeight="1">
      <c r="A157" s="870">
        <v>144</v>
      </c>
      <c r="B157" s="870"/>
      <c r="C157" s="870"/>
      <c r="D157" s="870">
        <f t="shared" ca="1" si="14"/>
        <v>160</v>
      </c>
      <c r="E157" s="870" t="str">
        <f t="shared" ca="1" si="15"/>
        <v>Grotesque -50</v>
      </c>
      <c r="F157" s="870" t="str">
        <f t="shared" ca="1" si="16"/>
        <v>E= 80</v>
      </c>
      <c r="G157" s="870" t="str">
        <f t="shared" ca="1" si="17"/>
        <v>Petite -10</v>
      </c>
      <c r="H157" s="870" t="str">
        <f t="shared" ca="1" si="18"/>
        <v>Q= 50</v>
      </c>
      <c r="I157" s="870" t="str">
        <f t="shared" ca="1" si="19"/>
        <v>Récent</v>
      </c>
      <c r="J157" s="870" t="str">
        <f t="shared" ca="1" si="20"/>
        <v>Locale</v>
      </c>
    </row>
    <row r="158" spans="1:10" ht="12" customHeight="1">
      <c r="A158" s="870">
        <v>145</v>
      </c>
      <c r="B158" s="870"/>
      <c r="C158" s="870"/>
      <c r="D158" s="870">
        <f t="shared" ca="1" si="14"/>
        <v>180</v>
      </c>
      <c r="E158" s="870" t="str">
        <f t="shared" ca="1" si="15"/>
        <v>Originale +10</v>
      </c>
      <c r="F158" s="870" t="str">
        <f t="shared" ca="1" si="16"/>
        <v>E= 80</v>
      </c>
      <c r="G158" s="870" t="str">
        <f t="shared" ca="1" si="17"/>
        <v>Moyenne</v>
      </c>
      <c r="H158" s="870" t="str">
        <f t="shared" ca="1" si="18"/>
        <v>Q= 40</v>
      </c>
      <c r="I158" s="870" t="str">
        <f t="shared" ca="1" si="19"/>
        <v>Assez Récent</v>
      </c>
      <c r="J158" s="870" t="str">
        <f t="shared" ca="1" si="20"/>
        <v>Régionale</v>
      </c>
    </row>
    <row r="159" spans="1:10" ht="12" customHeight="1">
      <c r="A159" s="870">
        <v>146</v>
      </c>
      <c r="B159" s="870"/>
      <c r="C159" s="870"/>
      <c r="D159" s="870">
        <f t="shared" ca="1" si="14"/>
        <v>40</v>
      </c>
      <c r="E159" s="870" t="str">
        <f t="shared" ca="1" si="15"/>
        <v>Rare +30</v>
      </c>
      <c r="F159" s="870" t="str">
        <f t="shared" ca="1" si="16"/>
        <v>E= 50</v>
      </c>
      <c r="G159" s="870" t="str">
        <f t="shared" ca="1" si="17"/>
        <v>Moyenne</v>
      </c>
      <c r="H159" s="870" t="str">
        <f t="shared" ca="1" si="18"/>
        <v>Q= 50</v>
      </c>
      <c r="I159" s="870" t="str">
        <f t="shared" ca="1" si="19"/>
        <v>Très récent</v>
      </c>
      <c r="J159" s="870" t="str">
        <f t="shared" ca="1" si="20"/>
        <v>Etrangère +50</v>
      </c>
    </row>
    <row r="160" spans="1:10" ht="12" customHeight="1">
      <c r="A160" s="870">
        <v>147</v>
      </c>
      <c r="B160" s="870"/>
      <c r="C160" s="870"/>
      <c r="D160" s="870">
        <f t="shared" ca="1" si="14"/>
        <v>40</v>
      </c>
      <c r="E160" s="870" t="str">
        <f t="shared" ca="1" si="15"/>
        <v>Grotesque -50</v>
      </c>
      <c r="F160" s="870" t="str">
        <f t="shared" ca="1" si="16"/>
        <v>Excellent E++ 100</v>
      </c>
      <c r="G160" s="870" t="str">
        <f t="shared" ca="1" si="17"/>
        <v>Petite -10</v>
      </c>
      <c r="H160" s="870" t="str">
        <f t="shared" ca="1" si="18"/>
        <v>Q- 20</v>
      </c>
      <c r="I160" s="870" t="str">
        <f t="shared" ca="1" si="19"/>
        <v>Récent</v>
      </c>
      <c r="J160" s="870" t="str">
        <f t="shared" ca="1" si="20"/>
        <v>Autre monde +200</v>
      </c>
    </row>
    <row r="161" spans="1:10" ht="12" customHeight="1">
      <c r="A161" s="870">
        <v>148</v>
      </c>
      <c r="B161" s="870"/>
      <c r="C161" s="870"/>
      <c r="D161" s="870">
        <f t="shared" ca="1" si="14"/>
        <v>140</v>
      </c>
      <c r="E161" s="870" t="str">
        <f t="shared" ca="1" si="15"/>
        <v>Inachevée -10</v>
      </c>
      <c r="F161" s="870" t="str">
        <f t="shared" ca="1" si="16"/>
        <v>E= 80</v>
      </c>
      <c r="G161" s="870" t="str">
        <f t="shared" ca="1" si="17"/>
        <v>Petite -10</v>
      </c>
      <c r="H161" s="870" t="str">
        <f t="shared" ca="1" si="18"/>
        <v>Q+ 60</v>
      </c>
      <c r="I161" s="870" t="str">
        <f t="shared" ca="1" si="19"/>
        <v>Très récent</v>
      </c>
      <c r="J161" s="870" t="str">
        <f t="shared" ca="1" si="20"/>
        <v>Régionale</v>
      </c>
    </row>
    <row r="162" spans="1:10" ht="12" customHeight="1">
      <c r="A162" s="870">
        <v>149</v>
      </c>
      <c r="B162" s="870"/>
      <c r="C162" s="870"/>
      <c r="D162" s="870">
        <f t="shared" ca="1" si="14"/>
        <v>100</v>
      </c>
      <c r="E162" s="870" t="str">
        <f t="shared" ca="1" si="15"/>
        <v>Rare +30</v>
      </c>
      <c r="F162" s="870" t="str">
        <f t="shared" ca="1" si="16"/>
        <v>E= 70</v>
      </c>
      <c r="G162" s="870" t="str">
        <f t="shared" ca="1" si="17"/>
        <v>Très Grande +20</v>
      </c>
      <c r="H162" s="870" t="str">
        <f t="shared" ca="1" si="18"/>
        <v>Q= 40</v>
      </c>
      <c r="I162" s="870" t="str">
        <f t="shared" ca="1" si="19"/>
        <v>Récent</v>
      </c>
      <c r="J162" s="870" t="str">
        <f t="shared" ca="1" si="20"/>
        <v>Régionale</v>
      </c>
    </row>
    <row r="163" spans="1:10" ht="12" customHeight="1">
      <c r="A163" s="870">
        <v>150</v>
      </c>
      <c r="B163" s="870"/>
      <c r="C163" s="870"/>
      <c r="D163" s="870">
        <f t="shared" ca="1" si="14"/>
        <v>160</v>
      </c>
      <c r="E163" s="870" t="str">
        <f t="shared" ca="1" si="15"/>
        <v>Défaut -30</v>
      </c>
      <c r="F163" s="870" t="str">
        <f t="shared" ca="1" si="16"/>
        <v>E= 80</v>
      </c>
      <c r="G163" s="870" t="str">
        <f t="shared" ca="1" si="17"/>
        <v>Petite -10</v>
      </c>
      <c r="H163" s="870" t="str">
        <f t="shared" ca="1" si="18"/>
        <v>Q+ 60</v>
      </c>
      <c r="I163" s="870" t="str">
        <f t="shared" ca="1" si="19"/>
        <v>Spécial +100</v>
      </c>
      <c r="J163" s="870" t="str">
        <f t="shared" ca="1" si="20"/>
        <v>Régionale</v>
      </c>
    </row>
    <row r="164" spans="1:10" ht="12" customHeight="1">
      <c r="A164" s="870">
        <v>151</v>
      </c>
      <c r="B164" s="870"/>
      <c r="C164" s="870"/>
      <c r="D164" s="870">
        <f t="shared" ca="1" si="14"/>
        <v>160</v>
      </c>
      <c r="E164" s="870" t="str">
        <f t="shared" ca="1" si="15"/>
        <v>Inachevée -10</v>
      </c>
      <c r="F164" s="870" t="str">
        <f t="shared" ca="1" si="16"/>
        <v>Mauvais E- 40</v>
      </c>
      <c r="G164" s="870" t="str">
        <f t="shared" ca="1" si="17"/>
        <v>Moyenne</v>
      </c>
      <c r="H164" s="870" t="str">
        <f t="shared" ca="1" si="18"/>
        <v>Q= 50</v>
      </c>
      <c r="I164" s="870" t="str">
        <f t="shared" ca="1" si="19"/>
        <v>Récent</v>
      </c>
      <c r="J164" s="870" t="str">
        <f t="shared" ca="1" si="20"/>
        <v>Etrangère +30</v>
      </c>
    </row>
    <row r="165" spans="1:10" ht="12" customHeight="1">
      <c r="A165" s="870">
        <v>152</v>
      </c>
      <c r="B165" s="870"/>
      <c r="C165" s="870"/>
      <c r="D165" s="870">
        <f t="shared" ca="1" si="14"/>
        <v>160</v>
      </c>
      <c r="E165" s="870" t="str">
        <f t="shared" ca="1" si="15"/>
        <v>Grotesque -50</v>
      </c>
      <c r="F165" s="870" t="str">
        <f t="shared" ca="1" si="16"/>
        <v>Mauvais E- 40</v>
      </c>
      <c r="G165" s="870" t="str">
        <f t="shared" ca="1" si="17"/>
        <v>Moyenne</v>
      </c>
      <c r="H165" s="870" t="str">
        <f t="shared" ca="1" si="18"/>
        <v>Q= 50</v>
      </c>
      <c r="I165" s="870" t="str">
        <f t="shared" ca="1" si="19"/>
        <v>Vieux -20</v>
      </c>
      <c r="J165" s="870" t="str">
        <f t="shared" ca="1" si="20"/>
        <v>Etrangère +30</v>
      </c>
    </row>
    <row r="166" spans="1:10" ht="12" customHeight="1">
      <c r="A166" s="870">
        <v>153</v>
      </c>
      <c r="B166" s="870"/>
      <c r="C166" s="870"/>
      <c r="D166" s="870">
        <f t="shared" ca="1" si="14"/>
        <v>60</v>
      </c>
      <c r="E166" s="870" t="str">
        <f t="shared" ca="1" si="15"/>
        <v>Spéciale +50</v>
      </c>
      <c r="F166" s="870" t="str">
        <f t="shared" ca="1" si="16"/>
        <v>Très bon E+ 90</v>
      </c>
      <c r="G166" s="870" t="str">
        <f t="shared" ca="1" si="17"/>
        <v>Très Grande +20</v>
      </c>
      <c r="H166" s="870" t="str">
        <f t="shared" ca="1" si="18"/>
        <v>Q- 30</v>
      </c>
      <c r="I166" s="870" t="str">
        <f t="shared" ca="1" si="19"/>
        <v>Vieux -20</v>
      </c>
      <c r="J166" s="870" t="str">
        <f t="shared" ca="1" si="20"/>
        <v>Etrangère +50</v>
      </c>
    </row>
    <row r="167" spans="1:10" ht="12" customHeight="1">
      <c r="A167" s="870">
        <v>154</v>
      </c>
      <c r="B167" s="870"/>
      <c r="C167" s="870"/>
      <c r="D167" s="870">
        <f t="shared" ca="1" si="14"/>
        <v>200</v>
      </c>
      <c r="E167" s="870" t="str">
        <f t="shared" ca="1" si="15"/>
        <v>Normale</v>
      </c>
      <c r="F167" s="870" t="str">
        <f t="shared" ca="1" si="16"/>
        <v>E= 80</v>
      </c>
      <c r="G167" s="870" t="str">
        <f t="shared" ca="1" si="17"/>
        <v>Moyenne</v>
      </c>
      <c r="H167" s="870" t="str">
        <f t="shared" ca="1" si="18"/>
        <v>Q++ 80</v>
      </c>
      <c r="I167" s="870" t="str">
        <f t="shared" ca="1" si="19"/>
        <v>Vieux -20</v>
      </c>
      <c r="J167" s="870" t="str">
        <f t="shared" ca="1" si="20"/>
        <v>Très locale</v>
      </c>
    </row>
    <row r="168" spans="1:10" ht="12" customHeight="1">
      <c r="A168" s="870">
        <v>155</v>
      </c>
      <c r="B168" s="870"/>
      <c r="C168" s="870"/>
      <c r="D168" s="870">
        <f t="shared" ca="1" si="14"/>
        <v>180</v>
      </c>
      <c r="E168" s="870" t="str">
        <f t="shared" ca="1" si="15"/>
        <v>Défaut -30</v>
      </c>
      <c r="F168" s="870" t="str">
        <f t="shared" ca="1" si="16"/>
        <v>Excellent E++ 100</v>
      </c>
      <c r="G168" s="870" t="str">
        <f t="shared" ca="1" si="17"/>
        <v>Moyenne</v>
      </c>
      <c r="H168" s="870" t="str">
        <f t="shared" ca="1" si="18"/>
        <v>Q- - 10</v>
      </c>
      <c r="I168" s="870" t="str">
        <f t="shared" ca="1" si="19"/>
        <v>Très ancien +80</v>
      </c>
      <c r="J168" s="870" t="str">
        <f t="shared" ca="1" si="20"/>
        <v>Etrangère +50</v>
      </c>
    </row>
    <row r="169" spans="1:10" ht="12" customHeight="1">
      <c r="A169" s="870">
        <v>156</v>
      </c>
      <c r="B169" s="870"/>
      <c r="C169" s="870"/>
      <c r="D169" s="870">
        <f t="shared" ca="1" si="14"/>
        <v>60</v>
      </c>
      <c r="E169" s="870" t="str">
        <f t="shared" ca="1" si="15"/>
        <v>Rare +30</v>
      </c>
      <c r="F169" s="870" t="str">
        <f t="shared" ca="1" si="16"/>
        <v>Très mauvais E- - 20</v>
      </c>
      <c r="G169" s="870" t="str">
        <f t="shared" ca="1" si="17"/>
        <v>Moyenne</v>
      </c>
      <c r="H169" s="870" t="str">
        <f t="shared" ca="1" si="18"/>
        <v>Q= 50</v>
      </c>
      <c r="I169" s="870" t="str">
        <f t="shared" ca="1" si="19"/>
        <v>Spécial +100</v>
      </c>
      <c r="J169" s="870" t="str">
        <f t="shared" ca="1" si="20"/>
        <v>Locale</v>
      </c>
    </row>
    <row r="170" spans="1:10" ht="12" customHeight="1">
      <c r="A170" s="870">
        <v>157</v>
      </c>
      <c r="B170" s="870"/>
      <c r="C170" s="870"/>
      <c r="D170" s="870">
        <f t="shared" ca="1" si="14"/>
        <v>140</v>
      </c>
      <c r="E170" s="870" t="str">
        <f t="shared" ca="1" si="15"/>
        <v>Normale</v>
      </c>
      <c r="F170" s="870" t="str">
        <f t="shared" ca="1" si="16"/>
        <v>Très bon E+ 90</v>
      </c>
      <c r="G170" s="870" t="str">
        <f t="shared" ca="1" si="17"/>
        <v>Petite -10</v>
      </c>
      <c r="H170" s="870" t="str">
        <f t="shared" ca="1" si="18"/>
        <v>Q- 20</v>
      </c>
      <c r="I170" s="870" t="str">
        <f t="shared" ca="1" si="19"/>
        <v>Assez Récent</v>
      </c>
      <c r="J170" s="870" t="str">
        <f t="shared" ca="1" si="20"/>
        <v>Etrangère +30</v>
      </c>
    </row>
  </sheetData>
  <pageMargins left="0.25" right="0.25" top="0.75" bottom="0.75" header="0.3" footer="0.3"/>
  <pageSetup paperSize="9" orientation="portrait" horizontalDpi="300" verticalDpi="300" r:id="rId1"/>
  <headerFooter>
    <oddFooter>&amp;C_x000D_&amp;1#&amp;"Arial"&amp;9&amp;K000000 Internal</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J180"/>
  <sheetViews>
    <sheetView topLeftCell="D104" zoomScaleNormal="100" workbookViewId="0">
      <selection activeCell="G169" sqref="G169"/>
    </sheetView>
  </sheetViews>
  <sheetFormatPr baseColWidth="10" defaultColWidth="11.5546875" defaultRowHeight="14.4"/>
  <cols>
    <col min="1" max="1" width="2.77734375" hidden="1" customWidth="1"/>
    <col min="2" max="2" width="3" hidden="1" customWidth="1"/>
    <col min="3" max="3" width="2.77734375" hidden="1" customWidth="1"/>
    <col min="4" max="4" width="4" customWidth="1"/>
    <col min="5" max="5" width="8.77734375" customWidth="1"/>
    <col min="6" max="6" width="13" customWidth="1"/>
    <col min="7" max="7" width="14.5546875" customWidth="1"/>
    <col min="8" max="8" width="15.21875" customWidth="1"/>
    <col min="9" max="9" width="9.21875" customWidth="1"/>
    <col min="10" max="10" width="13.21875" customWidth="1"/>
    <col min="11" max="11" width="16.33203125" customWidth="1"/>
    <col min="12" max="20" width="6.5546875" hidden="1" customWidth="1"/>
    <col min="21" max="21" width="5.88671875" hidden="1" customWidth="1"/>
    <col min="23" max="23" width="4" bestFit="1" customWidth="1"/>
    <col min="24" max="24" width="5.5546875" bestFit="1" customWidth="1"/>
    <col min="26" max="26" width="4.88671875" customWidth="1"/>
    <col min="27" max="27" width="10.33203125" customWidth="1"/>
    <col min="29" max="31" width="5.109375" customWidth="1"/>
    <col min="32" max="32" width="4" bestFit="1" customWidth="1"/>
    <col min="33" max="33" width="6.77734375" bestFit="1" customWidth="1"/>
    <col min="34" max="34" width="6.109375" bestFit="1" customWidth="1"/>
    <col min="35" max="35" width="10.33203125" bestFit="1" customWidth="1"/>
    <col min="36" max="36" width="3.33203125" bestFit="1" customWidth="1"/>
    <col min="37" max="37" width="7.5546875" bestFit="1" customWidth="1"/>
    <col min="39" max="39" width="3" bestFit="1" customWidth="1"/>
    <col min="40" max="40" width="9.6640625" bestFit="1" customWidth="1"/>
    <col min="41" max="41" width="9.109375" bestFit="1" customWidth="1"/>
    <col min="42" max="42" width="9.21875" bestFit="1" customWidth="1"/>
    <col min="43" max="43" width="5.88671875" customWidth="1"/>
    <col min="44" max="44" width="9.21875" bestFit="1" customWidth="1"/>
    <col min="45" max="45" width="3.33203125" bestFit="1" customWidth="1"/>
    <col min="46" max="46" width="10.33203125" bestFit="1" customWidth="1"/>
    <col min="47" max="47" width="3.33203125" bestFit="1" customWidth="1"/>
    <col min="49" max="49" width="9" bestFit="1" customWidth="1"/>
    <col min="50" max="50" width="7.21875" bestFit="1" customWidth="1"/>
    <col min="52" max="52" width="8" customWidth="1"/>
    <col min="56" max="56" width="9.109375" bestFit="1" customWidth="1"/>
    <col min="57" max="57" width="10.21875" bestFit="1" customWidth="1"/>
    <col min="58" max="58" width="5.33203125" customWidth="1"/>
    <col min="62" max="62" width="6.21875" bestFit="1" customWidth="1"/>
    <col min="63" max="63" width="6.21875" customWidth="1"/>
    <col min="64" max="64" width="6.21875" bestFit="1" customWidth="1"/>
    <col min="69" max="69" width="8" bestFit="1" customWidth="1"/>
    <col min="70" max="70" width="5.88671875" customWidth="1"/>
    <col min="72" max="72" width="3.88671875" customWidth="1"/>
    <col min="75" max="75" width="7.44140625" customWidth="1"/>
    <col min="79" max="79" width="3.109375" bestFit="1" customWidth="1"/>
    <col min="80" max="80" width="4.33203125" bestFit="1" customWidth="1"/>
    <col min="82" max="82" width="3" bestFit="1" customWidth="1"/>
    <col min="84" max="84" width="3" bestFit="1" customWidth="1"/>
    <col min="89" max="89" width="3.44140625" bestFit="1" customWidth="1"/>
    <col min="90" max="90" width="7.88671875" bestFit="1" customWidth="1"/>
    <col min="91" max="91" width="6.6640625" bestFit="1" customWidth="1"/>
    <col min="92" max="92" width="6.21875" customWidth="1"/>
    <col min="94" max="94" width="6.109375" customWidth="1"/>
    <col min="96" max="96" width="5.33203125" customWidth="1"/>
    <col min="98" max="98" width="4" bestFit="1" customWidth="1"/>
    <col min="102" max="102" width="7.77734375" customWidth="1"/>
    <col min="103" max="103" width="5" customWidth="1"/>
    <col min="105" max="105" width="1.6640625" bestFit="1" customWidth="1"/>
    <col min="107" max="107" width="1.6640625" bestFit="1" customWidth="1"/>
    <col min="109" max="109" width="1.6640625" bestFit="1" customWidth="1"/>
    <col min="111" max="111" width="4.109375" bestFit="1" customWidth="1"/>
    <col min="114" max="114" width="6.33203125" bestFit="1" customWidth="1"/>
    <col min="116" max="116" width="11.21875" bestFit="1" customWidth="1"/>
    <col min="117" max="117" width="8" bestFit="1" customWidth="1"/>
    <col min="119" max="122" width="1.88671875" bestFit="1" customWidth="1"/>
    <col min="123" max="123" width="4" bestFit="1" customWidth="1"/>
    <col min="131" max="131" width="3" bestFit="1" customWidth="1"/>
    <col min="132" max="132" width="3.21875" customWidth="1"/>
    <col min="135" max="135" width="2.5546875" bestFit="1" customWidth="1"/>
    <col min="137" max="137" width="3" bestFit="1" customWidth="1"/>
    <col min="139" max="139" width="5.6640625" bestFit="1" customWidth="1"/>
  </cols>
  <sheetData>
    <row r="1" spans="4:140" hidden="1">
      <c r="H1">
        <f ca="1">RANDBETWEEN(1,10)</f>
        <v>9</v>
      </c>
      <c r="I1">
        <f ca="1">RANDBETWEEN(1,100)</f>
        <v>40</v>
      </c>
      <c r="J1">
        <f ca="1">RANDBETWEEN(1,100)</f>
        <v>25</v>
      </c>
      <c r="K1">
        <f ca="1">RANDBETWEEN(1,10)</f>
        <v>6</v>
      </c>
      <c r="U1" s="130">
        <f ca="1">RANDBETWEEN(1,U2)</f>
        <v>41</v>
      </c>
      <c r="V1" s="123"/>
      <c r="W1" s="130">
        <f ca="1">RANDBETWEEN(1,W2)</f>
        <v>97</v>
      </c>
      <c r="X1" s="123"/>
      <c r="Z1" s="130">
        <f ca="1">RANDBETWEEN(1,Z2)</f>
        <v>8</v>
      </c>
      <c r="AA1" s="123"/>
      <c r="AD1" s="130">
        <f ca="1">RANDBETWEEN(1,AD2)</f>
        <v>31</v>
      </c>
      <c r="AE1" s="123"/>
      <c r="AG1" s="130">
        <f ca="1">RANDBETWEEN(1,AG2)</f>
        <v>1</v>
      </c>
      <c r="AH1" s="123" t="str">
        <f ca="1">LOOKUP(AG1,tred10,treVaiV)</f>
        <v>D10x10</v>
      </c>
      <c r="AI1" s="130">
        <f ca="1">RANDBETWEEN(1,AI2)</f>
        <v>7</v>
      </c>
      <c r="AJ1" s="123" t="str">
        <f ca="1">LOOKUP(AI1,tred10,treVaiMatVB)</f>
        <v>x20</v>
      </c>
      <c r="AK1" s="130">
        <f ca="1">RANDBETWEEN(1,AK2)</f>
        <v>66</v>
      </c>
      <c r="AL1" s="123">
        <f ca="1">LOOKUP(AK1,treFouD,treFouVB)*10*RANDBETWEEN(1,10)</f>
        <v>120</v>
      </c>
      <c r="AP1" s="130">
        <f ca="1">RANDBETWEEN(1,AP2)</f>
        <v>4</v>
      </c>
      <c r="AQ1" s="123" t="str">
        <f ca="1">LOOKUP(AP1,tred10,treTapVB)</f>
        <v>+20</v>
      </c>
      <c r="AR1" s="130">
        <f ca="1">RANDBETWEEN(1,AR2)</f>
        <v>6</v>
      </c>
      <c r="AS1" s="123">
        <f ca="1">LOOKUP(AR1,tred10,treStaV)</f>
        <v>20</v>
      </c>
      <c r="AT1" s="130">
        <f ca="1">RANDBETWEEN(1,AT2)</f>
        <v>6</v>
      </c>
      <c r="AU1" s="123">
        <f ca="1">LOOKUP(AT1,tred10,treStaMatV)</f>
        <v>-20</v>
      </c>
      <c r="AV1" s="130">
        <f ca="1">RANDBETWEEN(1,AV2)</f>
        <v>9</v>
      </c>
      <c r="AW1" s="123">
        <f ca="1">LOOKUP(AV1,tred10,treMusVB)</f>
        <v>40</v>
      </c>
      <c r="AX1" s="130">
        <f ca="1">RANDBETWEEN(1,AX2)</f>
        <v>92</v>
      </c>
      <c r="AY1" s="123">
        <f ca="1">LOOKUP(AX1,tred10,treMusVB)</f>
        <v>50</v>
      </c>
      <c r="AZ1" s="130">
        <f ca="1">RANDBETWEEN(1,AZ2)</f>
        <v>1</v>
      </c>
      <c r="BA1" s="123">
        <f ca="1">LOOKUP(AZ1,tred10,treMusVB)</f>
        <v>60</v>
      </c>
      <c r="BF1" s="130">
        <f ca="1">RANDBETWEEN(1,BF2)</f>
        <v>6</v>
      </c>
      <c r="BG1" s="123" t="str">
        <f ca="1">LOOKUP(BF1,treDivCouTeiD,treDivCoutei)</f>
        <v>Claire</v>
      </c>
      <c r="BL1" s="130">
        <f ca="1">RANDBETWEEN(1,BL2)</f>
        <v>1</v>
      </c>
      <c r="BM1" s="123" t="str">
        <f ca="1">LOOKUP(BL1,treEcrD,treEcrDet)</f>
        <v xml:space="preserve">Texte commun </v>
      </c>
      <c r="BN1" s="123" t="str">
        <f ca="1">LOOKUP(BL1,treEcrD,treEcrDet2)</f>
        <v>Sujet libre</v>
      </c>
      <c r="BO1" s="123" t="str">
        <f ca="1">LOOKUP(BL1,treEcrD,treEcrDet3)</f>
        <v>D10x2</v>
      </c>
      <c r="BP1" s="130">
        <f ca="1">RANDBETWEEN(1,BP2)</f>
        <v>1</v>
      </c>
      <c r="BQ1" s="123" t="str">
        <f ca="1">LOOKUP(BP1,TRED10S,treEcrSpe)</f>
        <v>Écriture codée, message secret à NE=D10*x20-D10</v>
      </c>
      <c r="BR1" s="130">
        <f ca="1">RANDBETWEEN(1,BR2)</f>
        <v>65</v>
      </c>
      <c r="BS1" s="123" t="str">
        <f ca="1">LOOKUP(BR1,treGemD,treGem)</f>
        <v>Crapaudine</v>
      </c>
      <c r="BT1" s="130">
        <f ca="1">RANDBETWEEN(1,BT2)</f>
        <v>7</v>
      </c>
      <c r="BU1" s="123" t="str">
        <f ca="1">LOOKUP(BT1,tred10,treMob)</f>
        <v xml:space="preserve">Étagère </v>
      </c>
      <c r="BV1" s="130">
        <f ca="1">RANDBETWEEN(1,BV2)</f>
        <v>5</v>
      </c>
      <c r="BW1" s="123" t="str">
        <f ca="1">LOOKUP(BV1,tred10,treMobMat)</f>
        <v>Bois précieux</v>
      </c>
      <c r="BX1" s="130">
        <f ca="1">RANDBETWEEN(1,BX2)</f>
        <v>6</v>
      </c>
      <c r="BY1" s="123" t="str">
        <f ca="1">LOOKUP(BX1,TRED10S,treMobSpe)</f>
        <v>Compartiment</v>
      </c>
      <c r="BZ1" s="130">
        <f ca="1">RANDBETWEEN(1,BZ2)</f>
        <v>3</v>
      </c>
      <c r="CA1" s="123" t="str">
        <f ca="1">LOOKUP(BZ1,TRED10S,trePie)</f>
        <v>Sous (la moins précieuse)</v>
      </c>
      <c r="CC1" s="130">
        <f ca="1">RANDBETWEEN(1,CC2)</f>
        <v>3</v>
      </c>
      <c r="CD1" s="123" t="str">
        <f ca="1">LOOKUP(CC1,tred10,trePieCon)</f>
        <v>Bourse précieuse</v>
      </c>
      <c r="CF1" s="130">
        <f ca="1">RANDBETWEEN(1,CF2)</f>
        <v>3</v>
      </c>
      <c r="CG1" s="123" t="str">
        <f ca="1">LOOKUP(CF1,trePND,trePN)</f>
        <v>Potion d’alchimie1</v>
      </c>
      <c r="CJ1" s="130">
        <f ca="1">RANDBETWEEN(1,CJ2)</f>
        <v>3</v>
      </c>
      <c r="CK1" s="123" t="str">
        <f ca="1">LOOKUP(CJ1,tred10,trePNCon)</f>
        <v>Pot de bois (déterminer la forme)</v>
      </c>
      <c r="DC1" s="130">
        <f ca="1">RANDBETWEEN(1,DC2)</f>
        <v>81</v>
      </c>
      <c r="DD1" s="123" t="str">
        <f ca="1">LOOKUP(DC1,treFouD,treMag)</f>
        <v>Potion</v>
      </c>
      <c r="DE1" s="130">
        <f ca="1">RANDBETWEEN(1,DE2)</f>
        <v>3</v>
      </c>
      <c r="DF1" s="123" t="str">
        <f ca="1">LOOKUP(DE1,treFouD,treMag)</f>
        <v>Talisman</v>
      </c>
      <c r="DG1" s="130">
        <f ca="1">RANDBETWEEN(1,DG2)</f>
        <v>73</v>
      </c>
      <c r="DH1" s="123" t="str">
        <f ca="1">LOOKUP(DG1,treFouD,treMag)</f>
        <v>Écrits1</v>
      </c>
      <c r="DI1" t="str">
        <f ca="1">LOOKUP(DI2,TRED10S,treMagPotEli)</f>
        <v>Pot en métal</v>
      </c>
      <c r="DJ1" t="str">
        <f ca="1">LOOKUP(DJ2,TRED10S,treMagAmuBagBat)</f>
        <v>Ébène</v>
      </c>
      <c r="DK1" t="str">
        <f ca="1">LOOKUP(DK2,TRED10S,treMatPou)</f>
        <v>Pot en terre cuite</v>
      </c>
      <c r="DL1" t="str">
        <f ca="1">LOOKUP(DL2,TRED100,treMagDie)</f>
        <v>Sur’Kil</v>
      </c>
      <c r="DM1" t="str">
        <f ca="1">LOOKUP(DM2,TRED100,treMagAli)</f>
        <v>EA</v>
      </c>
      <c r="DN1" t="str">
        <f ca="1">LOOKUP(DG1,treFouD,treRelProB)</f>
        <v>Déterminez la forme selon la table Écrits, NEMxNE usages avant d’épuiser la magie.</v>
      </c>
      <c r="DO1">
        <f ca="1">LOOKUP(DG1,treFouD,treMagP1)</f>
        <v>1</v>
      </c>
      <c r="DP1">
        <f ca="1">LOOKUP(DG1,treFouD,treMagP2)</f>
        <v>1</v>
      </c>
      <c r="DQ1">
        <f ca="1">LOOKUP(DG1,treFouD,treMagP3)</f>
        <v>1</v>
      </c>
      <c r="DR1">
        <f ca="1">LOOKUP(DG1,treFouD,treMagP4)</f>
        <v>1</v>
      </c>
      <c r="DS1" s="130">
        <f ca="1">RANDBETWEEN(1,DS2)</f>
        <v>73</v>
      </c>
      <c r="DT1" s="123" t="str">
        <f ca="1">LOOKUP(DS1,treMagProD,treMagPro)</f>
        <v>Influence de masse</v>
      </c>
      <c r="DU1" t="str">
        <f ca="1">LOOKUP(DS1,treMagProD,treMagProTex)</f>
        <v>Permet de parler dans la tête de RMa(relique) cibles en vue de X. Même race. Langue commune NE&gt;10. Permet un test de CI sans modificateur aucun. / 1x/jour. Coûte (nombre de cibles) EN par usage.</v>
      </c>
      <c r="DW1" s="130">
        <f ca="1">RANDBETWEEN(1,DW2)</f>
        <v>53</v>
      </c>
      <c r="DX1" s="123" t="str">
        <f ca="1">LOOKUP(DW1,treMagProSpeD,treMagProSpe)</f>
        <v>Focus</v>
      </c>
      <c r="DY1" t="str">
        <f ca="1">LOOKUP(DW1,treMagProSpeD,treMagProSpeTex)</f>
        <v>Déterminez un sort de l’alignement à RMa active que la relique lancera sur toute personne autre que son créateur / propriétaire / alignement / race de X (D10*) qui touchera la relique directement ou indirectement (déplacement, toucher avec objet, etc.).  / Permanent. Effet immédiat. Coûte 1 PdM par usage.</v>
      </c>
      <c r="EA1" s="130">
        <f ca="1">RANDBETWEEN(1,EA2)</f>
        <v>4</v>
      </c>
      <c r="EB1" s="123" t="str">
        <f ca="1">LOOKUP(EA1,treMagPouD,treMagPou)</f>
        <v xml:space="preserve">Aquatique </v>
      </c>
      <c r="EC1" t="str">
        <f ca="1">LOOKUP(EA1,treMagPouD,treMagPouTex)</f>
        <v>Donne une MVp=RMa/2 sous l’eau, coûte 1 PdM / phase, bonus Nage+RMa</v>
      </c>
      <c r="EE1" s="130">
        <f ca="1">RANDBETWEEN(1,EE2)</f>
        <v>86</v>
      </c>
      <c r="EF1" s="123" t="str">
        <f ca="1">LOOKUP(EE1,treMagCatD,treMagCat)</f>
        <v>Étourdissement</v>
      </c>
      <c r="EG1" s="130">
        <f ca="1">RANDBETWEEN(1,EG2)</f>
        <v>7</v>
      </c>
      <c r="EH1" s="123">
        <f ca="1">LOOKUP(EG1,TRED10S,treReg1)</f>
        <v>2</v>
      </c>
      <c r="EI1" t="str">
        <f ca="1">LOOKUP(RANDBETWEEN(1,10),TRED10S,treReg2)</f>
        <v>Malus de combat / souffle (d2)</v>
      </c>
      <c r="EJ1" t="str">
        <f ca="1">LOOKUP(RANDBETWEEN(1,10),TRED10S,treReg3)</f>
        <v>Heure</v>
      </c>
    </row>
    <row r="2" spans="4:140" ht="15" hidden="1" thickBot="1">
      <c r="H2" t="str">
        <f ca="1">LOOKUP(H1,TRED10S,TREARME)</f>
        <v>Rare</v>
      </c>
      <c r="I2" t="str">
        <f ca="1">LOOKUP(I1,TRED100,treArmeCommune)</f>
        <v>Lance Porte-fanon</v>
      </c>
      <c r="J2" t="str">
        <f ca="1">LOOKUP(J1,TRED100,treArmeRare)</f>
        <v>Masse Marteau</v>
      </c>
      <c r="K2" t="str">
        <f ca="1">LOOKUP(K1,tred10,treEquipement)</f>
        <v>Transport d’arme</v>
      </c>
      <c r="U2" s="125">
        <v>100</v>
      </c>
      <c r="V2" s="124" t="str">
        <f ca="1">LOOKUP(U1,treDeArt,treArt)</f>
        <v>Professionnel</v>
      </c>
      <c r="W2" s="125">
        <v>100</v>
      </c>
      <c r="X2" s="124">
        <f ca="1">LOOKUP(W1,treDNS,treNS)</f>
        <v>8</v>
      </c>
      <c r="Z2" s="125">
        <v>10</v>
      </c>
      <c r="AA2" s="124" t="str">
        <f ca="1">LOOKUP(Z1,trePro,treOutil)</f>
        <v>Habits de maître</v>
      </c>
      <c r="AD2" s="125">
        <v>100</v>
      </c>
      <c r="AE2" s="124" t="str">
        <f ca="1">LOOKUP(AD1,treDVet,treVet)</f>
        <v>Brassard (Bras)</v>
      </c>
      <c r="AF2" s="124" t="str">
        <f ca="1">LOOKUP(AD1,treDVet,treVetMat)</f>
        <v>Lin</v>
      </c>
      <c r="AG2" s="125">
        <v>10</v>
      </c>
      <c r="AH2" s="124" t="str">
        <f ca="1">LOOKUP(AG1,tred10,treVaisselle)</f>
        <v>Cruche</v>
      </c>
      <c r="AI2" s="125">
        <v>10</v>
      </c>
      <c r="AJ2" s="124" t="str">
        <f ca="1">LOOKUP(AI1,tred10,treVaiMat)</f>
        <v>Bronze</v>
      </c>
      <c r="AK2" s="125">
        <v>100</v>
      </c>
      <c r="AL2" s="124" t="str">
        <f ca="1">LOOKUP(AK1,treFouD,treFourrure)</f>
        <v>Hermine blanche</v>
      </c>
      <c r="AP2" s="125">
        <v>10</v>
      </c>
      <c r="AQ2" s="124" t="str">
        <f ca="1">LOOKUP(AP1,tred10,treTap)</f>
        <v>Religieux</v>
      </c>
      <c r="AR2" s="125">
        <v>10</v>
      </c>
      <c r="AS2" s="124" t="str">
        <f ca="1">LOOKUP(AR1,tred10,treSta)</f>
        <v>Créature</v>
      </c>
      <c r="AT2" s="125">
        <v>10</v>
      </c>
      <c r="AU2" s="124" t="str">
        <f ca="1">LOOKUP(AT1,tred10,treStaMat)</f>
        <v>Glaise</v>
      </c>
      <c r="AV2" s="125">
        <v>10</v>
      </c>
      <c r="AW2" s="124" t="str">
        <f ca="1">LOOKUP(AV1,tred10,treMus)</f>
        <v>Trompette/Corne (d2)</v>
      </c>
      <c r="AX2" s="125">
        <v>100</v>
      </c>
      <c r="AY2" s="124" t="str">
        <f ca="1">LOOKUP(AX1,trePreD,trePre)</f>
        <v>Collier  D10x4</v>
      </c>
      <c r="AZ2" s="125">
        <v>100</v>
      </c>
      <c r="BA2" s="124" t="str">
        <f ca="1">LOOKUP(AZ1,trePreMatD,trePreMat)</f>
        <v>Étain  80</v>
      </c>
      <c r="BF2" s="125">
        <v>10</v>
      </c>
      <c r="BG2" s="124" t="str">
        <f ca="1">LOOKUP(BF1,trePreMatD,trePreMat)</f>
        <v>Étain  80</v>
      </c>
      <c r="BL2" s="125">
        <v>100</v>
      </c>
      <c r="BM2" s="124" t="str">
        <f ca="1">LOOKUP(BL1,trePreMatD,trePreMat)</f>
        <v>Étain  80</v>
      </c>
      <c r="BP2" s="125">
        <v>10</v>
      </c>
      <c r="BQ2" s="124">
        <f ca="1">LOOKUP(BP1,TRED10S,treEcrSpeV)</f>
        <v>-30</v>
      </c>
      <c r="BR2" s="125">
        <v>100</v>
      </c>
      <c r="BS2" s="124" t="str">
        <f ca="1">LOOKUP(BR1,trePreMatD,trePreMat)</f>
        <v>Cuivre  20</v>
      </c>
      <c r="BT2" s="125">
        <v>10</v>
      </c>
      <c r="BU2" s="124"/>
      <c r="BV2" s="125">
        <v>10</v>
      </c>
      <c r="BW2" s="124">
        <f ca="1">LOOKUP(BV1,tred10,treMobMatV)</f>
        <v>40</v>
      </c>
      <c r="BX2" s="125">
        <v>10</v>
      </c>
      <c r="BY2" s="124">
        <f ca="1">LOOKUP(BX1,tred10,treMobMatV)</f>
        <v>-20</v>
      </c>
      <c r="BZ2" s="125">
        <v>10</v>
      </c>
      <c r="CA2" s="124">
        <f ca="1">LOOKUP(BZ1,TRED10S,trePieN)</f>
        <v>5</v>
      </c>
      <c r="CB2">
        <f ca="1">LOOKUP(BZ1,TRED10S,trePieV)</f>
        <v>1</v>
      </c>
      <c r="CC2" s="125">
        <v>10</v>
      </c>
      <c r="CD2" s="124">
        <f ca="1">LOOKUP(CC1,tred10,trePieConV)</f>
        <v>30</v>
      </c>
      <c r="CF2" s="125">
        <v>20</v>
      </c>
      <c r="CG2" s="124">
        <f ca="1">LOOKUP(CF1,tred10,trePieConV)</f>
        <v>30</v>
      </c>
      <c r="CJ2" s="125">
        <v>10</v>
      </c>
      <c r="CK2" s="124">
        <f ca="1">LOOKUP(CJ1,tred10,trePNConV)</f>
        <v>10</v>
      </c>
      <c r="CU2" t="s">
        <v>653</v>
      </c>
      <c r="CV2" t="s">
        <v>324</v>
      </c>
      <c r="CW2" t="s">
        <v>5611</v>
      </c>
      <c r="DC2" s="125">
        <v>100</v>
      </c>
      <c r="DD2" s="124">
        <f ca="1">LOOKUP(DC1,tred10,trePieConV)</f>
        <v>30</v>
      </c>
      <c r="DE2" s="125">
        <v>100</v>
      </c>
      <c r="DF2" s="124">
        <f ca="1">LOOKUP(DE1,tred10,trePieConV)</f>
        <v>30</v>
      </c>
      <c r="DG2" s="125">
        <v>100</v>
      </c>
      <c r="DH2" s="124">
        <f ca="1">LOOKUP(DG1,tred10,trePieConV)</f>
        <v>30</v>
      </c>
      <c r="DI2">
        <f ca="1">RANDBETWEEN(1,10)</f>
        <v>8</v>
      </c>
      <c r="DJ2">
        <f t="shared" ref="DJ2:DK2" ca="1" si="0">RANDBETWEEN(1,10)</f>
        <v>6</v>
      </c>
      <c r="DK2">
        <f t="shared" ca="1" si="0"/>
        <v>6</v>
      </c>
      <c r="DL2">
        <f ca="1">RANDBETWEEN(1,100)</f>
        <v>65</v>
      </c>
      <c r="DM2">
        <f ca="1">RANDBETWEEN(1,100)</f>
        <v>37</v>
      </c>
      <c r="DS2" s="125">
        <v>100</v>
      </c>
      <c r="DT2" s="124">
        <f ca="1">LOOKUP(DS1,tred10,trePieConV)</f>
        <v>30</v>
      </c>
      <c r="DW2" s="125">
        <v>100</v>
      </c>
      <c r="DX2" s="124">
        <f ca="1">LOOKUP(DW1,tred10,trePieConV)</f>
        <v>30</v>
      </c>
      <c r="EA2" s="125">
        <v>100</v>
      </c>
      <c r="EB2" s="124">
        <f ca="1">LOOKUP(EA1,tred10,trePieConV)</f>
        <v>40</v>
      </c>
      <c r="EE2" s="125">
        <v>100</v>
      </c>
      <c r="EF2" s="124">
        <f ca="1">LOOKUP(EE1,tred10,trePieConV)</f>
        <v>30</v>
      </c>
      <c r="EG2" s="125">
        <v>10</v>
      </c>
      <c r="EH2" s="124">
        <f ca="1">LOOKUP(EG1,tred10,trePieConV)</f>
        <v>25</v>
      </c>
    </row>
    <row r="3" spans="4:140" ht="21" hidden="1" thickBot="1">
      <c r="D3" t="s">
        <v>6154</v>
      </c>
      <c r="E3" t="s">
        <v>5251</v>
      </c>
      <c r="F3" t="s">
        <v>5250</v>
      </c>
      <c r="G3" t="s">
        <v>5252</v>
      </c>
      <c r="H3" s="855" t="s">
        <v>5253</v>
      </c>
      <c r="I3" t="s">
        <v>5254</v>
      </c>
      <c r="J3" t="s">
        <v>5295</v>
      </c>
      <c r="K3" t="s">
        <v>5346</v>
      </c>
      <c r="O3" t="s">
        <v>5370</v>
      </c>
      <c r="P3" t="s">
        <v>5422</v>
      </c>
      <c r="Q3" t="s">
        <v>5431</v>
      </c>
      <c r="U3" t="s">
        <v>5440</v>
      </c>
      <c r="V3" t="s">
        <v>5441</v>
      </c>
      <c r="W3" t="s">
        <v>5454</v>
      </c>
      <c r="X3" t="s">
        <v>5443</v>
      </c>
      <c r="Y3" t="s">
        <v>5444</v>
      </c>
      <c r="Z3" t="s">
        <v>5452</v>
      </c>
      <c r="AA3" t="s">
        <v>5453</v>
      </c>
      <c r="AB3" t="s">
        <v>5467</v>
      </c>
      <c r="AC3" t="s">
        <v>5466</v>
      </c>
      <c r="AD3" t="s">
        <v>5472</v>
      </c>
      <c r="AE3" t="s">
        <v>5474</v>
      </c>
      <c r="AF3" t="s">
        <v>5473</v>
      </c>
      <c r="AG3" t="s">
        <v>5513</v>
      </c>
      <c r="AH3" t="s">
        <v>5514</v>
      </c>
      <c r="AI3" t="s">
        <v>5515</v>
      </c>
      <c r="AJ3" t="s">
        <v>5516</v>
      </c>
      <c r="AK3" t="s">
        <v>5527</v>
      </c>
      <c r="AL3" t="s">
        <v>5528</v>
      </c>
      <c r="AM3" t="s">
        <v>5529</v>
      </c>
      <c r="AP3" t="s">
        <v>5544</v>
      </c>
      <c r="AQ3" t="s">
        <v>5545</v>
      </c>
      <c r="AR3" t="s">
        <v>5562</v>
      </c>
      <c r="AS3" t="s">
        <v>5563</v>
      </c>
      <c r="AT3" t="s">
        <v>5564</v>
      </c>
      <c r="AU3" t="s">
        <v>5565</v>
      </c>
      <c r="AV3" t="s">
        <v>5576</v>
      </c>
      <c r="AW3" t="s">
        <v>5577</v>
      </c>
      <c r="AX3" t="s">
        <v>5586</v>
      </c>
      <c r="AY3" t="s">
        <v>5587</v>
      </c>
      <c r="AZ3" t="s">
        <v>5600</v>
      </c>
      <c r="BA3" t="s">
        <v>5601</v>
      </c>
      <c r="BB3" t="s">
        <v>5684</v>
      </c>
      <c r="BC3" t="s">
        <v>5685</v>
      </c>
      <c r="BD3" t="s">
        <v>5702</v>
      </c>
      <c r="BE3" t="s">
        <v>5703</v>
      </c>
      <c r="BF3" t="s">
        <v>5705</v>
      </c>
      <c r="BG3" t="s">
        <v>5706</v>
      </c>
      <c r="BH3" s="1208" t="s">
        <v>5717</v>
      </c>
      <c r="BI3" s="1238" t="s">
        <v>5722</v>
      </c>
      <c r="BJ3" s="1239" t="s">
        <v>5723</v>
      </c>
      <c r="BK3" s="1239" t="s">
        <v>5782</v>
      </c>
      <c r="BL3" s="1223" t="s">
        <v>5771</v>
      </c>
      <c r="BM3" s="1240" t="s">
        <v>5772</v>
      </c>
      <c r="BN3" t="s">
        <v>5773</v>
      </c>
      <c r="BO3" t="s">
        <v>5774</v>
      </c>
      <c r="BP3" t="s">
        <v>5779</v>
      </c>
      <c r="BQ3" t="s">
        <v>5780</v>
      </c>
      <c r="BR3" t="s">
        <v>5802</v>
      </c>
      <c r="BS3" t="s">
        <v>5803</v>
      </c>
      <c r="BU3" t="s">
        <v>5842</v>
      </c>
      <c r="BV3" t="s">
        <v>5846</v>
      </c>
      <c r="BW3" t="s">
        <v>5847</v>
      </c>
      <c r="BX3" t="s">
        <v>5853</v>
      </c>
      <c r="BZ3" t="s">
        <v>5868</v>
      </c>
      <c r="CA3" t="s">
        <v>5869</v>
      </c>
      <c r="CB3" t="s">
        <v>5870</v>
      </c>
      <c r="CC3" t="s">
        <v>5871</v>
      </c>
      <c r="CD3" t="s">
        <v>5872</v>
      </c>
      <c r="CE3" t="s">
        <v>5873</v>
      </c>
      <c r="CF3" t="s">
        <v>5882</v>
      </c>
      <c r="CG3" t="s">
        <v>5883</v>
      </c>
      <c r="CH3" t="s">
        <v>5892</v>
      </c>
      <c r="CI3" t="s">
        <v>5893</v>
      </c>
      <c r="CJ3" t="s">
        <v>5903</v>
      </c>
      <c r="CK3" t="s">
        <v>5904</v>
      </c>
      <c r="CL3" t="s">
        <v>5906</v>
      </c>
      <c r="CM3" t="s">
        <v>5907</v>
      </c>
      <c r="CN3" t="s">
        <v>5956</v>
      </c>
      <c r="CO3" t="s">
        <v>5957</v>
      </c>
      <c r="CP3" t="s">
        <v>6056</v>
      </c>
      <c r="CQ3" t="s">
        <v>6057</v>
      </c>
      <c r="CR3" t="s">
        <v>6058</v>
      </c>
      <c r="CS3" t="s">
        <v>6059</v>
      </c>
      <c r="CT3" t="s">
        <v>6150</v>
      </c>
      <c r="CU3" t="s">
        <v>6151</v>
      </c>
      <c r="CV3" t="s">
        <v>6152</v>
      </c>
      <c r="CW3" t="s">
        <v>6153</v>
      </c>
      <c r="CX3" t="s">
        <v>6156</v>
      </c>
      <c r="CY3" t="s">
        <v>6199</v>
      </c>
      <c r="CZ3" t="s">
        <v>6200</v>
      </c>
      <c r="DB3" t="s">
        <v>6345</v>
      </c>
      <c r="DD3" t="s">
        <v>6346</v>
      </c>
      <c r="DF3" t="s">
        <v>6347</v>
      </c>
      <c r="DH3" t="s">
        <v>6360</v>
      </c>
      <c r="DI3" t="s">
        <v>6372</v>
      </c>
      <c r="DJ3" t="s">
        <v>6373</v>
      </c>
      <c r="DK3" t="s">
        <v>6374</v>
      </c>
      <c r="DL3" t="s">
        <v>6441</v>
      </c>
      <c r="DM3" t="s">
        <v>6442</v>
      </c>
      <c r="DN3" t="s">
        <v>6463</v>
      </c>
      <c r="DO3" t="s">
        <v>6465</v>
      </c>
      <c r="DP3" t="s">
        <v>6466</v>
      </c>
      <c r="DQ3" t="s">
        <v>6467</v>
      </c>
      <c r="DR3" t="s">
        <v>6468</v>
      </c>
      <c r="DS3" t="s">
        <v>6612</v>
      </c>
      <c r="DT3" t="s">
        <v>6613</v>
      </c>
      <c r="DU3" t="s">
        <v>6614</v>
      </c>
      <c r="DW3" t="s">
        <v>6658</v>
      </c>
      <c r="DX3" t="s">
        <v>6656</v>
      </c>
      <c r="DZ3" t="s">
        <v>6657</v>
      </c>
      <c r="EA3" t="s">
        <v>6685</v>
      </c>
      <c r="EC3" t="s">
        <v>6686</v>
      </c>
      <c r="ED3" t="s">
        <v>6687</v>
      </c>
      <c r="EE3" t="s">
        <v>6698</v>
      </c>
      <c r="EF3" t="s">
        <v>6699</v>
      </c>
      <c r="EG3" t="s">
        <v>6707</v>
      </c>
      <c r="EH3" t="s">
        <v>6708</v>
      </c>
      <c r="EI3" t="s">
        <v>6709</v>
      </c>
    </row>
    <row r="4" spans="4:140" ht="16.8" hidden="1" customHeight="1" thickBot="1">
      <c r="D4" t="s">
        <v>653</v>
      </c>
      <c r="E4">
        <v>1</v>
      </c>
      <c r="F4">
        <v>1</v>
      </c>
      <c r="G4">
        <v>1</v>
      </c>
      <c r="H4" s="1158" t="s">
        <v>5366</v>
      </c>
      <c r="I4" s="1160" t="s">
        <v>5255</v>
      </c>
      <c r="J4" s="1163" t="s">
        <v>5296</v>
      </c>
      <c r="K4" s="1166" t="s">
        <v>5336</v>
      </c>
      <c r="L4" s="861" t="s">
        <v>5361</v>
      </c>
      <c r="M4" s="1169" t="s">
        <v>5347</v>
      </c>
      <c r="N4" s="1170" t="s">
        <v>5354</v>
      </c>
      <c r="O4" s="1183" t="s">
        <v>5371</v>
      </c>
      <c r="P4" s="1186" t="s">
        <v>5411</v>
      </c>
      <c r="Q4" s="1186" t="s">
        <v>5423</v>
      </c>
      <c r="R4" s="860" t="s">
        <v>5361</v>
      </c>
      <c r="S4" s="1188" t="s">
        <v>5347</v>
      </c>
      <c r="T4" s="1188" t="s">
        <v>5354</v>
      </c>
      <c r="U4" s="1188">
        <v>1</v>
      </c>
      <c r="V4" s="1166" t="s">
        <v>5434</v>
      </c>
      <c r="W4" s="1198">
        <v>1</v>
      </c>
      <c r="X4" s="1188">
        <v>0</v>
      </c>
      <c r="Y4" s="1169" t="s">
        <v>3875</v>
      </c>
      <c r="Z4" s="1202">
        <v>1</v>
      </c>
      <c r="AA4" s="1199" t="s">
        <v>5445</v>
      </c>
      <c r="AB4" s="1166" t="s">
        <v>5455</v>
      </c>
      <c r="AC4" s="1170">
        <v>20</v>
      </c>
      <c r="AD4" s="1170">
        <v>1</v>
      </c>
      <c r="AE4" s="1170" t="s">
        <v>5468</v>
      </c>
      <c r="AF4">
        <v>0</v>
      </c>
      <c r="AG4" s="1166" t="s">
        <v>5484</v>
      </c>
      <c r="AH4" s="1170" t="s">
        <v>5485</v>
      </c>
      <c r="AI4" s="1208" t="s">
        <v>5501</v>
      </c>
      <c r="AJ4" s="1209" t="s">
        <v>5502</v>
      </c>
      <c r="AK4">
        <v>1</v>
      </c>
      <c r="AL4" s="1166" t="s">
        <v>5517</v>
      </c>
      <c r="AM4">
        <v>1</v>
      </c>
      <c r="AN4" s="1166" t="s">
        <v>5530</v>
      </c>
      <c r="AO4" s="1169" t="s">
        <v>5531</v>
      </c>
      <c r="AP4" s="1166" t="s">
        <v>5538</v>
      </c>
      <c r="AQ4" s="1170">
        <v>-20</v>
      </c>
      <c r="AR4" s="1166" t="s">
        <v>5549</v>
      </c>
      <c r="AS4" s="1170">
        <v>50</v>
      </c>
      <c r="AT4" s="1214" t="s">
        <v>5554</v>
      </c>
      <c r="AU4" s="1215">
        <v>-20</v>
      </c>
      <c r="AV4" s="1166" t="s">
        <v>5566</v>
      </c>
      <c r="AW4" s="1170">
        <v>60</v>
      </c>
      <c r="AX4">
        <v>1</v>
      </c>
      <c r="AY4" s="1166" t="s">
        <v>5578</v>
      </c>
      <c r="AZ4">
        <v>1</v>
      </c>
      <c r="BA4" s="1166" t="s">
        <v>5588</v>
      </c>
      <c r="BB4" s="919" t="s">
        <v>5602</v>
      </c>
      <c r="BC4" s="1166" t="s">
        <v>3912</v>
      </c>
      <c r="BD4" s="1166" t="s">
        <v>5696</v>
      </c>
      <c r="BE4" s="1166"/>
      <c r="BF4" s="1241">
        <v>1</v>
      </c>
      <c r="BG4" s="1208" t="s">
        <v>5704</v>
      </c>
      <c r="BH4" s="1166" t="s">
        <v>5707</v>
      </c>
      <c r="BI4" s="1166" t="s">
        <v>5718</v>
      </c>
      <c r="BJ4" s="1243">
        <v>0</v>
      </c>
      <c r="BK4" s="1250">
        <v>1</v>
      </c>
      <c r="BL4" s="1198">
        <v>1</v>
      </c>
      <c r="BM4" s="1169" t="s">
        <v>5724</v>
      </c>
      <c r="BN4" s="1169" t="s">
        <v>5725</v>
      </c>
      <c r="BO4" s="1170" t="s">
        <v>2585</v>
      </c>
      <c r="BP4" s="1166" t="s">
        <v>5775</v>
      </c>
      <c r="BQ4" s="1170">
        <v>-30</v>
      </c>
      <c r="BR4">
        <v>1</v>
      </c>
      <c r="BS4" s="1188" t="s">
        <v>5783</v>
      </c>
      <c r="BU4" s="1166" t="s">
        <v>5809</v>
      </c>
      <c r="BV4" s="1166" t="s">
        <v>5554</v>
      </c>
      <c r="BW4" s="1170">
        <v>-20</v>
      </c>
      <c r="BX4" s="1166" t="s">
        <v>5849</v>
      </c>
      <c r="BZ4" s="1166" t="s">
        <v>5854</v>
      </c>
      <c r="CA4" s="1170">
        <v>5</v>
      </c>
      <c r="CB4" s="1170">
        <v>1</v>
      </c>
      <c r="CC4" s="1166" t="s">
        <v>5856</v>
      </c>
      <c r="CD4" s="1170">
        <v>10</v>
      </c>
      <c r="CE4" s="1166" t="s">
        <v>5864</v>
      </c>
      <c r="CF4" s="1262">
        <v>1</v>
      </c>
      <c r="CG4" s="1256" t="s">
        <v>5875</v>
      </c>
      <c r="CH4" s="1268" t="s">
        <v>5886</v>
      </c>
      <c r="CI4" s="1269" t="s">
        <v>5884</v>
      </c>
      <c r="CJ4" s="1166" t="s">
        <v>5856</v>
      </c>
      <c r="CK4" s="1170">
        <v>30</v>
      </c>
      <c r="CL4" s="1198">
        <v>1</v>
      </c>
      <c r="CM4" s="1169" t="s">
        <v>4006</v>
      </c>
      <c r="CN4" s="1284">
        <v>1</v>
      </c>
      <c r="CO4" s="1273" t="s">
        <v>5908</v>
      </c>
      <c r="CP4" s="1284">
        <v>1</v>
      </c>
      <c r="CQ4" s="1273" t="s">
        <v>5958</v>
      </c>
      <c r="CR4" s="1284">
        <v>1</v>
      </c>
      <c r="CS4" s="1273" t="s">
        <v>6006</v>
      </c>
      <c r="CT4">
        <v>1</v>
      </c>
      <c r="CU4" s="1166" t="s">
        <v>6060</v>
      </c>
      <c r="CV4" s="857" t="s">
        <v>6061</v>
      </c>
      <c r="CW4" s="1169" t="s">
        <v>6062</v>
      </c>
      <c r="CX4" s="480" t="s">
        <v>6157</v>
      </c>
      <c r="CY4" s="1308">
        <v>1</v>
      </c>
      <c r="CZ4" s="1305" t="s">
        <v>6159</v>
      </c>
      <c r="DA4" s="1305">
        <v>3</v>
      </c>
      <c r="DB4" s="1166" t="s">
        <v>6226</v>
      </c>
      <c r="DC4" s="1169">
        <v>3</v>
      </c>
      <c r="DD4" s="1166" t="s">
        <v>6266</v>
      </c>
      <c r="DE4" s="1169">
        <v>1</v>
      </c>
      <c r="DF4" s="1166" t="s">
        <v>6306</v>
      </c>
      <c r="DG4" s="1169">
        <v>5</v>
      </c>
      <c r="DH4" s="1166" t="s">
        <v>6348</v>
      </c>
      <c r="DI4" s="1326" t="s">
        <v>6361</v>
      </c>
      <c r="DJ4" s="1326" t="s">
        <v>6365</v>
      </c>
      <c r="DK4" s="1326" t="s">
        <v>6369</v>
      </c>
      <c r="DL4" s="1327" t="s">
        <v>6375</v>
      </c>
      <c r="DM4" s="1340" t="s">
        <v>4238</v>
      </c>
      <c r="DN4" s="1200" t="s">
        <v>6462</v>
      </c>
      <c r="DO4" s="1200">
        <v>1</v>
      </c>
      <c r="DP4" s="1200">
        <v>1</v>
      </c>
      <c r="DQ4" s="1200">
        <v>2</v>
      </c>
      <c r="DR4" s="1200">
        <v>2</v>
      </c>
      <c r="DS4" s="1757">
        <v>1</v>
      </c>
      <c r="DT4" s="1765" t="s">
        <v>6470</v>
      </c>
      <c r="DU4" s="1761" t="str">
        <f>DV4&amp;" / "&amp;DV5</f>
        <v>Peut attirer une créature au hasard (alignée comme la relique) du monde Ancien/Humain/Divin (d3) avec P=RMa(Relique)% 1x/jour. Test d’Em(Com)+NEM pour deviner cette propriété avant de prendre l’objet. La créature qui arrivera par ses propres moyens et attaquera les êtres présents à alignement différent du sien. Sinon obéira à X. / Sort DS6. Créature reste NE+1h. Distance=illimitée. Toujours la même race de créature appelée. Doit être tuée/repoussée avant la fin par V(car)x1, 1x/h, sinon attaque X.</v>
      </c>
      <c r="DV4" s="1355" t="s">
        <v>6471</v>
      </c>
      <c r="DW4" s="1363">
        <v>1</v>
      </c>
      <c r="DX4" s="1239" t="s">
        <v>3861</v>
      </c>
      <c r="DY4" s="1239" t="s">
        <v>137</v>
      </c>
      <c r="DZ4" s="1364" t="s">
        <v>137</v>
      </c>
      <c r="EA4" s="1248">
        <v>1</v>
      </c>
      <c r="EB4" s="1361"/>
      <c r="EC4" s="1365" t="s">
        <v>6661</v>
      </c>
      <c r="ED4" s="1239" t="s">
        <v>6662</v>
      </c>
      <c r="EE4" s="1369">
        <v>1</v>
      </c>
      <c r="EF4" s="1169" t="s">
        <v>6688</v>
      </c>
      <c r="EG4" s="1188">
        <v>1</v>
      </c>
      <c r="EH4" s="1170" t="s">
        <v>6700</v>
      </c>
      <c r="EI4" s="1170" t="s">
        <v>1849</v>
      </c>
    </row>
    <row r="5" spans="4:140" ht="16.8" hidden="1" customHeight="1" thickBot="1">
      <c r="D5" t="s">
        <v>324</v>
      </c>
      <c r="E5">
        <v>2</v>
      </c>
      <c r="F5">
        <v>2</v>
      </c>
      <c r="G5">
        <v>5</v>
      </c>
      <c r="H5" s="1159" t="s">
        <v>5367</v>
      </c>
      <c r="I5" s="1161" t="s">
        <v>5256</v>
      </c>
      <c r="J5" s="1164" t="s">
        <v>5297</v>
      </c>
      <c r="K5" s="1167" t="s">
        <v>5337</v>
      </c>
      <c r="L5" s="1171" t="s">
        <v>5360</v>
      </c>
      <c r="M5" s="1172" t="s">
        <v>5348</v>
      </c>
      <c r="N5" s="1173" t="s">
        <v>5355</v>
      </c>
      <c r="O5" s="1184" t="s">
        <v>5372</v>
      </c>
      <c r="P5" s="1187" t="s">
        <v>5412</v>
      </c>
      <c r="Q5" s="1187" t="s">
        <v>5424</v>
      </c>
      <c r="R5" s="1171" t="s">
        <v>5360</v>
      </c>
      <c r="S5" s="1189" t="s">
        <v>5348</v>
      </c>
      <c r="T5" s="1189" t="s">
        <v>5355</v>
      </c>
      <c r="U5" s="1189">
        <v>50</v>
      </c>
      <c r="V5" s="1169" t="s">
        <v>5435</v>
      </c>
      <c r="W5" s="1197">
        <v>20</v>
      </c>
      <c r="X5" s="1195">
        <v>1</v>
      </c>
      <c r="Y5" s="1196" t="s">
        <v>3926</v>
      </c>
      <c r="Z5" s="1203">
        <v>3</v>
      </c>
      <c r="AA5" s="1200" t="s">
        <v>5446</v>
      </c>
      <c r="AB5" s="1191" t="s">
        <v>5456</v>
      </c>
      <c r="AC5" s="1205">
        <v>40</v>
      </c>
      <c r="AD5" s="1205">
        <v>40</v>
      </c>
      <c r="AE5" s="1205" t="s">
        <v>5475</v>
      </c>
      <c r="AF5">
        <v>10</v>
      </c>
      <c r="AG5" s="1191" t="s">
        <v>5486</v>
      </c>
      <c r="AH5" s="1205" t="s">
        <v>5487</v>
      </c>
      <c r="AI5" s="1210" t="s">
        <v>586</v>
      </c>
      <c r="AJ5" s="1211" t="s">
        <v>5503</v>
      </c>
      <c r="AK5">
        <v>17</v>
      </c>
      <c r="AL5" s="1169" t="s">
        <v>5518</v>
      </c>
      <c r="AM5">
        <v>2</v>
      </c>
      <c r="AN5" s="1210" t="s">
        <v>5532</v>
      </c>
      <c r="AO5" s="1200" t="s">
        <v>5533</v>
      </c>
      <c r="AP5" s="1191" t="s">
        <v>5539</v>
      </c>
      <c r="AQ5" s="1212" t="s">
        <v>5546</v>
      </c>
      <c r="AR5" s="1191" t="s">
        <v>5550</v>
      </c>
      <c r="AS5" s="1205">
        <v>0</v>
      </c>
      <c r="AT5" s="1187" t="s">
        <v>5555</v>
      </c>
      <c r="AU5" s="1207">
        <v>-10</v>
      </c>
      <c r="AV5" s="1191" t="s">
        <v>5567</v>
      </c>
      <c r="AW5" s="1205">
        <v>80</v>
      </c>
      <c r="AX5">
        <v>41</v>
      </c>
      <c r="AY5" s="1191" t="s">
        <v>5579</v>
      </c>
      <c r="AZ5">
        <v>18</v>
      </c>
      <c r="BA5" s="1169" t="s">
        <v>5589</v>
      </c>
      <c r="BB5" s="1219" t="s">
        <v>5603</v>
      </c>
      <c r="BC5" s="1169" t="s">
        <v>5608</v>
      </c>
      <c r="BD5" s="1222" t="s">
        <v>5697</v>
      </c>
      <c r="BE5" s="1230"/>
      <c r="BF5" s="1230">
        <v>3</v>
      </c>
      <c r="BG5" s="1238" t="s">
        <v>3036</v>
      </c>
      <c r="BH5" s="1191" t="s">
        <v>5708</v>
      </c>
      <c r="BI5" s="1191" t="s">
        <v>5719</v>
      </c>
      <c r="BJ5" s="1244">
        <v>20</v>
      </c>
      <c r="BK5" s="1251">
        <v>0.5</v>
      </c>
      <c r="BL5" s="1246">
        <v>21</v>
      </c>
      <c r="BM5" s="1192" t="s">
        <v>5726</v>
      </c>
      <c r="BN5" s="1192" t="s">
        <v>5727</v>
      </c>
      <c r="BO5" s="1205" t="s">
        <v>5728</v>
      </c>
      <c r="BP5" s="1191" t="s">
        <v>5776</v>
      </c>
      <c r="BQ5" s="1205">
        <v>50</v>
      </c>
      <c r="BR5" s="1248">
        <v>5</v>
      </c>
      <c r="BS5" s="1254" t="s">
        <v>5787</v>
      </c>
      <c r="BU5" s="1191" t="s">
        <v>5680</v>
      </c>
      <c r="BV5" s="1191" t="s">
        <v>5555</v>
      </c>
      <c r="BW5" s="1205">
        <v>-10</v>
      </c>
      <c r="BX5" s="1191" t="s">
        <v>5850</v>
      </c>
      <c r="BZ5" s="1191" t="s">
        <v>3956</v>
      </c>
      <c r="CA5" s="1205">
        <v>1</v>
      </c>
      <c r="CB5" s="1205">
        <v>10</v>
      </c>
      <c r="CC5" s="1191" t="s">
        <v>5857</v>
      </c>
      <c r="CD5" s="1205">
        <v>20</v>
      </c>
      <c r="CE5" s="1191" t="s">
        <v>5865</v>
      </c>
      <c r="CF5" s="1263">
        <v>4</v>
      </c>
      <c r="CG5" s="1257" t="s">
        <v>5876</v>
      </c>
      <c r="CH5" s="1219" t="s">
        <v>5886</v>
      </c>
      <c r="CI5" s="1192" t="s">
        <v>5885</v>
      </c>
      <c r="CJ5" s="1191" t="s">
        <v>5857</v>
      </c>
      <c r="CK5" s="1205">
        <v>40</v>
      </c>
      <c r="CL5" s="1203">
        <v>6</v>
      </c>
      <c r="CM5" s="1200" t="s">
        <v>5506</v>
      </c>
      <c r="CN5" s="1285">
        <v>5</v>
      </c>
      <c r="CO5" s="1275" t="s">
        <v>5909</v>
      </c>
      <c r="CP5" s="1287">
        <v>6</v>
      </c>
      <c r="CQ5" s="1278" t="s">
        <v>5959</v>
      </c>
      <c r="CR5" s="1289">
        <v>2</v>
      </c>
      <c r="CS5" s="1280" t="s">
        <v>6007</v>
      </c>
      <c r="CT5">
        <v>5</v>
      </c>
      <c r="CU5" s="1012" t="s">
        <v>6063</v>
      </c>
      <c r="CV5" s="858" t="s">
        <v>6064</v>
      </c>
      <c r="CW5" s="858" t="s">
        <v>6065</v>
      </c>
      <c r="CX5" s="480" t="s">
        <v>6157</v>
      </c>
      <c r="CY5" s="1309">
        <v>5</v>
      </c>
      <c r="CZ5" s="1306" t="s">
        <v>6160</v>
      </c>
      <c r="DA5" s="1306">
        <v>3</v>
      </c>
      <c r="DB5" s="1012" t="s">
        <v>6227</v>
      </c>
      <c r="DC5" s="858">
        <v>1</v>
      </c>
      <c r="DD5" s="1012" t="s">
        <v>6267</v>
      </c>
      <c r="DE5" s="858">
        <v>5</v>
      </c>
      <c r="DF5" s="1012" t="s">
        <v>6307</v>
      </c>
      <c r="DG5" s="858">
        <v>1</v>
      </c>
      <c r="DH5" s="1191" t="s">
        <v>6352</v>
      </c>
      <c r="DI5" s="1326" t="s">
        <v>6362</v>
      </c>
      <c r="DJ5" s="1326" t="s">
        <v>6366</v>
      </c>
      <c r="DK5" s="1326" t="s">
        <v>6370</v>
      </c>
      <c r="DL5" s="1328" t="s">
        <v>6375</v>
      </c>
      <c r="DM5" s="1341" t="s">
        <v>4238</v>
      </c>
      <c r="DN5" s="858" t="s">
        <v>6458</v>
      </c>
      <c r="DO5" s="858">
        <v>1</v>
      </c>
      <c r="DP5" s="858">
        <v>1</v>
      </c>
      <c r="DQ5" s="858">
        <v>2</v>
      </c>
      <c r="DR5" s="858">
        <v>3</v>
      </c>
      <c r="DS5" s="1758"/>
      <c r="DT5" s="1766"/>
      <c r="DU5" s="1762"/>
      <c r="DV5" s="1356" t="s">
        <v>6472</v>
      </c>
      <c r="DW5" s="1757">
        <v>11</v>
      </c>
      <c r="DX5" s="1753" t="s">
        <v>6620</v>
      </c>
      <c r="DY5" s="639" t="s">
        <v>6621</v>
      </c>
      <c r="DZ5" s="1753" t="str">
        <f>DY5&amp;" / "&amp;DY6</f>
        <v>Perd 1 EN permanent (ne peut être contré) contre un bonus +RMa(relique) à n’importe quel test de talent. À faire avant le test.  / Permanent. Max 1x/tour.</v>
      </c>
      <c r="EA5" s="1248">
        <v>6</v>
      </c>
      <c r="EB5" s="1366"/>
      <c r="EC5" s="1367" t="s">
        <v>2543</v>
      </c>
      <c r="ED5" s="1201" t="s">
        <v>6663</v>
      </c>
      <c r="EE5" s="1370">
        <v>4</v>
      </c>
      <c r="EF5" s="1200" t="s">
        <v>6689</v>
      </c>
      <c r="EG5" s="1254">
        <v>2</v>
      </c>
      <c r="EH5" s="1205" t="s">
        <v>6701</v>
      </c>
      <c r="EI5" s="1205" t="s">
        <v>6702</v>
      </c>
    </row>
    <row r="6" spans="4:140" ht="16.8" hidden="1" customHeight="1" thickBot="1">
      <c r="D6" t="s">
        <v>324</v>
      </c>
      <c r="E6">
        <v>3</v>
      </c>
      <c r="F6">
        <v>3</v>
      </c>
      <c r="G6">
        <v>8</v>
      </c>
      <c r="H6" s="1158" t="s">
        <v>5368</v>
      </c>
      <c r="I6" s="1162" t="s">
        <v>5257</v>
      </c>
      <c r="J6" s="1165" t="s">
        <v>5298</v>
      </c>
      <c r="K6" s="1012" t="s">
        <v>5338</v>
      </c>
      <c r="L6" s="1158" t="s">
        <v>5362</v>
      </c>
      <c r="M6" s="858" t="s">
        <v>5349</v>
      </c>
      <c r="N6" s="126" t="s">
        <v>5356</v>
      </c>
      <c r="O6" s="1185" t="s">
        <v>5373</v>
      </c>
      <c r="P6" s="1184" t="s">
        <v>5413</v>
      </c>
      <c r="Q6" s="1184" t="s">
        <v>5425</v>
      </c>
      <c r="R6" s="1158" t="s">
        <v>5362</v>
      </c>
      <c r="S6" s="1158" t="s">
        <v>5432</v>
      </c>
      <c r="T6" s="1158" t="s">
        <v>5356</v>
      </c>
      <c r="U6" s="1158">
        <v>62</v>
      </c>
      <c r="V6" s="1012" t="s">
        <v>1782</v>
      </c>
      <c r="W6" s="854">
        <v>37</v>
      </c>
      <c r="X6" s="1158">
        <v>2</v>
      </c>
      <c r="Y6" s="858" t="s">
        <v>3972</v>
      </c>
      <c r="Z6" s="1204">
        <v>5</v>
      </c>
      <c r="AA6" s="1201" t="s">
        <v>5447</v>
      </c>
      <c r="AB6" s="1012" t="s">
        <v>5457</v>
      </c>
      <c r="AC6" s="126">
        <v>30</v>
      </c>
      <c r="AD6" s="126">
        <v>61</v>
      </c>
      <c r="AE6" s="126" t="s">
        <v>5476</v>
      </c>
      <c r="AF6">
        <v>50</v>
      </c>
      <c r="AG6" s="1012" t="s">
        <v>5488</v>
      </c>
      <c r="AH6" s="126" t="s">
        <v>5489</v>
      </c>
      <c r="AI6" s="1187" t="s">
        <v>586</v>
      </c>
      <c r="AJ6" s="1207" t="s">
        <v>5503</v>
      </c>
      <c r="AK6">
        <v>29</v>
      </c>
      <c r="AL6" s="1169" t="s">
        <v>3344</v>
      </c>
      <c r="AM6">
        <v>3</v>
      </c>
      <c r="AN6" s="1012" t="s">
        <v>2058</v>
      </c>
      <c r="AO6" s="858" t="s">
        <v>5534</v>
      </c>
      <c r="AP6" s="1012" t="s">
        <v>5540</v>
      </c>
      <c r="AQ6" s="126">
        <v>0</v>
      </c>
      <c r="AR6" s="1012" t="s">
        <v>1600</v>
      </c>
      <c r="AS6" s="126">
        <v>-20</v>
      </c>
      <c r="AT6" s="1191" t="s">
        <v>5556</v>
      </c>
      <c r="AU6" s="1205">
        <v>0</v>
      </c>
      <c r="AV6" s="1012" t="s">
        <v>5568</v>
      </c>
      <c r="AW6" s="126">
        <v>10</v>
      </c>
      <c r="AX6">
        <v>62</v>
      </c>
      <c r="AY6" s="1192" t="s">
        <v>5580</v>
      </c>
      <c r="AZ6">
        <v>30</v>
      </c>
      <c r="BA6" s="1169" t="s">
        <v>5590</v>
      </c>
      <c r="BB6" s="920" t="s">
        <v>653</v>
      </c>
      <c r="BC6" s="1169" t="s">
        <v>5609</v>
      </c>
      <c r="BD6" s="1223" t="s">
        <v>5698</v>
      </c>
      <c r="BE6" s="1231">
        <v>-10</v>
      </c>
      <c r="BF6" s="126">
        <v>7</v>
      </c>
      <c r="BG6" s="1239" t="s">
        <v>3663</v>
      </c>
      <c r="BH6" s="1012" t="s">
        <v>5709</v>
      </c>
      <c r="BI6" s="1012" t="s">
        <v>5720</v>
      </c>
      <c r="BJ6" s="1245">
        <v>50</v>
      </c>
      <c r="BK6" s="1252">
        <v>10</v>
      </c>
      <c r="BL6" s="1247">
        <v>31</v>
      </c>
      <c r="BM6" s="858" t="s">
        <v>5434</v>
      </c>
      <c r="BN6" s="1253" t="s">
        <v>5781</v>
      </c>
      <c r="BO6" s="126" t="s">
        <v>5729</v>
      </c>
      <c r="BP6" s="1012" t="s">
        <v>5777</v>
      </c>
      <c r="BQ6" s="126">
        <v>-50</v>
      </c>
      <c r="BR6">
        <v>9</v>
      </c>
      <c r="BS6" s="1158" t="s">
        <v>2792</v>
      </c>
      <c r="BU6" s="1012" t="s">
        <v>5816</v>
      </c>
      <c r="BV6" s="1012" t="s">
        <v>5556</v>
      </c>
      <c r="BW6" s="126">
        <v>0</v>
      </c>
      <c r="BX6" s="1012" t="s">
        <v>5851</v>
      </c>
      <c r="BZ6" s="1012" t="s">
        <v>3857</v>
      </c>
      <c r="CA6" s="126">
        <v>0.5</v>
      </c>
      <c r="CB6" s="126">
        <v>100</v>
      </c>
      <c r="CC6" s="1012" t="s">
        <v>5858</v>
      </c>
      <c r="CD6" s="126">
        <v>30</v>
      </c>
      <c r="CE6" s="1012" t="s">
        <v>5866</v>
      </c>
      <c r="CF6" s="1264">
        <v>6</v>
      </c>
      <c r="CG6" s="1258" t="s">
        <v>5877</v>
      </c>
      <c r="CH6" s="920" t="s">
        <v>5886</v>
      </c>
      <c r="CI6" s="858" t="s">
        <v>5887</v>
      </c>
      <c r="CJ6" s="1012" t="s">
        <v>5895</v>
      </c>
      <c r="CK6" s="126">
        <v>10</v>
      </c>
      <c r="CL6" s="1247">
        <v>8</v>
      </c>
      <c r="CM6" s="858" t="s">
        <v>2215</v>
      </c>
      <c r="CN6" s="1286">
        <v>6</v>
      </c>
      <c r="CO6" s="1276" t="s">
        <v>5910</v>
      </c>
      <c r="CP6" s="1286">
        <v>11</v>
      </c>
      <c r="CQ6" s="1276" t="s">
        <v>5960</v>
      </c>
      <c r="CR6" s="1286">
        <v>4</v>
      </c>
      <c r="CS6" s="1276" t="s">
        <v>6008</v>
      </c>
      <c r="CT6">
        <v>9</v>
      </c>
      <c r="CU6" s="1012" t="s">
        <v>6066</v>
      </c>
      <c r="CV6" s="858" t="s">
        <v>6067</v>
      </c>
      <c r="CW6" s="858" t="s">
        <v>6068</v>
      </c>
      <c r="CX6" s="480" t="s">
        <v>6157</v>
      </c>
      <c r="CY6" s="1309">
        <v>9</v>
      </c>
      <c r="CZ6" s="1306" t="s">
        <v>6161</v>
      </c>
      <c r="DA6" s="1306">
        <v>3</v>
      </c>
      <c r="DB6" s="1012" t="s">
        <v>6228</v>
      </c>
      <c r="DC6" s="858">
        <v>5</v>
      </c>
      <c r="DD6" s="1012" t="s">
        <v>6268</v>
      </c>
      <c r="DE6" s="858">
        <v>1</v>
      </c>
      <c r="DF6" s="1012" t="s">
        <v>6308</v>
      </c>
      <c r="DG6" s="858">
        <v>1</v>
      </c>
      <c r="DH6" s="1012" t="s">
        <v>6355</v>
      </c>
      <c r="DI6" s="1326" t="s">
        <v>6363</v>
      </c>
      <c r="DJ6" s="1326" t="s">
        <v>6367</v>
      </c>
      <c r="DK6" s="1326" t="s">
        <v>6371</v>
      </c>
      <c r="DL6" s="1330" t="s">
        <v>6384</v>
      </c>
      <c r="DM6" s="1342" t="s">
        <v>4193</v>
      </c>
      <c r="DN6" s="1200" t="s">
        <v>6457</v>
      </c>
      <c r="DO6" s="1200">
        <v>1</v>
      </c>
      <c r="DP6" s="1200">
        <v>1</v>
      </c>
      <c r="DQ6" s="1200">
        <v>1</v>
      </c>
      <c r="DR6" s="1200">
        <v>2</v>
      </c>
      <c r="DS6" s="1769">
        <v>2</v>
      </c>
      <c r="DT6" s="1777" t="s">
        <v>6473</v>
      </c>
      <c r="DU6" s="1761" t="str">
        <f>DV6&amp;" / "&amp;DV7</f>
        <v>Selon les tables spéciales de création de Perso : Livre Personnage 1.3.36, un des tables 3, 7, 8, 13 et 14 (lancez d5). Relancez jusqu’à avoir un résultat qui donne un réel avantage. / Permanent.</v>
      </c>
      <c r="DV6" s="1357" t="s">
        <v>6474</v>
      </c>
      <c r="DW6" s="1758"/>
      <c r="DX6" s="1754"/>
      <c r="DY6" s="1351" t="s">
        <v>6622</v>
      </c>
      <c r="DZ6" s="1754"/>
      <c r="EA6">
        <v>26</v>
      </c>
      <c r="EB6" s="1272"/>
      <c r="EC6" s="1300" t="s">
        <v>6664</v>
      </c>
      <c r="ED6" s="1200" t="s">
        <v>6665</v>
      </c>
      <c r="EE6" s="1371">
        <v>9</v>
      </c>
      <c r="EF6" s="858" t="s">
        <v>6690</v>
      </c>
      <c r="EG6" s="1158">
        <v>3</v>
      </c>
      <c r="EH6" s="126" t="s">
        <v>6703</v>
      </c>
      <c r="EI6" s="126" t="s">
        <v>6704</v>
      </c>
    </row>
    <row r="7" spans="4:140" ht="16.8" hidden="1" customHeight="1" thickBot="1">
      <c r="D7" t="s">
        <v>5611</v>
      </c>
      <c r="E7">
        <v>4</v>
      </c>
      <c r="F7">
        <v>4</v>
      </c>
      <c r="G7">
        <v>10</v>
      </c>
      <c r="H7" s="1159" t="s">
        <v>5369</v>
      </c>
      <c r="I7" s="1161" t="s">
        <v>5258</v>
      </c>
      <c r="J7" s="1164" t="s">
        <v>5299</v>
      </c>
      <c r="K7" s="1167" t="s">
        <v>5339</v>
      </c>
      <c r="L7" s="1171" t="s">
        <v>5363</v>
      </c>
      <c r="M7" s="1172" t="s">
        <v>5350</v>
      </c>
      <c r="N7" s="1173" t="s">
        <v>5357</v>
      </c>
      <c r="O7" s="1184" t="s">
        <v>5374</v>
      </c>
      <c r="P7" s="1187" t="s">
        <v>5414</v>
      </c>
      <c r="Q7" s="1187" t="s">
        <v>5426</v>
      </c>
      <c r="R7" s="1171" t="s">
        <v>5363</v>
      </c>
      <c r="S7" s="1189" t="s">
        <v>5433</v>
      </c>
      <c r="T7" s="1189" t="s">
        <v>5357</v>
      </c>
      <c r="U7" s="1189">
        <v>76</v>
      </c>
      <c r="V7" s="1191" t="s">
        <v>2303</v>
      </c>
      <c r="W7" s="1197">
        <v>52</v>
      </c>
      <c r="X7" s="1195">
        <v>3</v>
      </c>
      <c r="Y7" s="1196" t="s">
        <v>4024</v>
      </c>
      <c r="Z7" s="1203">
        <v>6</v>
      </c>
      <c r="AA7" s="1200" t="s">
        <v>5448</v>
      </c>
      <c r="AB7" s="1191" t="s">
        <v>5458</v>
      </c>
      <c r="AC7" s="1205">
        <v>50</v>
      </c>
      <c r="AD7" s="1205">
        <v>73</v>
      </c>
      <c r="AE7" s="1205" t="s">
        <v>5477</v>
      </c>
      <c r="AF7">
        <v>-30</v>
      </c>
      <c r="AG7" s="1191" t="s">
        <v>3912</v>
      </c>
      <c r="AH7" s="1205" t="s">
        <v>5490</v>
      </c>
      <c r="AI7" s="1210" t="s">
        <v>586</v>
      </c>
      <c r="AJ7" s="1211" t="s">
        <v>5503</v>
      </c>
      <c r="AK7">
        <v>37</v>
      </c>
      <c r="AL7" s="1169" t="s">
        <v>5519</v>
      </c>
      <c r="AM7">
        <v>4</v>
      </c>
      <c r="AN7" s="1210" t="s">
        <v>2050</v>
      </c>
      <c r="AO7" s="1200" t="s">
        <v>5535</v>
      </c>
      <c r="AP7" s="1191" t="s">
        <v>656</v>
      </c>
      <c r="AQ7" s="1212" t="s">
        <v>5547</v>
      </c>
      <c r="AR7" s="1191" t="s">
        <v>5551</v>
      </c>
      <c r="AS7" s="1205">
        <v>-40</v>
      </c>
      <c r="AT7" s="1187" t="s">
        <v>5557</v>
      </c>
      <c r="AU7" s="1207">
        <v>20</v>
      </c>
      <c r="AV7" s="1191" t="s">
        <v>5569</v>
      </c>
      <c r="AW7" s="1205">
        <v>20</v>
      </c>
      <c r="AX7">
        <v>71</v>
      </c>
      <c r="AY7" s="1012" t="s">
        <v>5581</v>
      </c>
      <c r="AZ7">
        <v>38</v>
      </c>
      <c r="BA7" s="1169" t="s">
        <v>5591</v>
      </c>
      <c r="BB7" s="1219" t="s">
        <v>5604</v>
      </c>
      <c r="BC7" s="1169" t="s">
        <v>5610</v>
      </c>
      <c r="BD7" s="1224" t="s">
        <v>3958</v>
      </c>
      <c r="BE7" s="1232">
        <v>-10</v>
      </c>
      <c r="BF7" s="1205">
        <v>9</v>
      </c>
      <c r="BG7" s="1223" t="s">
        <v>3915</v>
      </c>
      <c r="BH7" s="1191" t="s">
        <v>5710</v>
      </c>
      <c r="BI7" s="1191" t="s">
        <v>5721</v>
      </c>
      <c r="BJ7" s="1244">
        <v>100</v>
      </c>
      <c r="BK7" s="1251">
        <v>50</v>
      </c>
      <c r="BL7" s="1246">
        <v>40</v>
      </c>
      <c r="BM7" s="1192" t="s">
        <v>5730</v>
      </c>
      <c r="BN7" s="1192" t="s">
        <v>5731</v>
      </c>
      <c r="BO7" s="1205" t="s">
        <v>5489</v>
      </c>
      <c r="BP7" s="1191" t="s">
        <v>5778</v>
      </c>
      <c r="BQ7" s="1205">
        <v>500</v>
      </c>
      <c r="BR7" s="1248">
        <v>13</v>
      </c>
      <c r="BS7" s="1254" t="s">
        <v>5793</v>
      </c>
      <c r="BU7" s="1191" t="s">
        <v>5820</v>
      </c>
      <c r="BV7" s="1191" t="s">
        <v>5557</v>
      </c>
      <c r="BW7" s="1205">
        <v>20</v>
      </c>
      <c r="BX7" s="1191" t="s">
        <v>5852</v>
      </c>
      <c r="BZ7" s="1191" t="s">
        <v>5855</v>
      </c>
      <c r="CA7" s="1205">
        <v>0.2</v>
      </c>
      <c r="CB7" s="1205">
        <v>1000</v>
      </c>
      <c r="CC7" s="1191" t="s">
        <v>5859</v>
      </c>
      <c r="CD7" s="1205">
        <v>40</v>
      </c>
      <c r="CE7" s="1191" t="s">
        <v>5867</v>
      </c>
      <c r="CF7" s="1264">
        <v>11</v>
      </c>
      <c r="CG7" s="1258" t="s">
        <v>5878</v>
      </c>
      <c r="CH7" s="1219" t="s">
        <v>5888</v>
      </c>
      <c r="CI7" s="1192" t="s">
        <v>5889</v>
      </c>
      <c r="CJ7" s="1191" t="s">
        <v>5896</v>
      </c>
      <c r="CK7" s="1205">
        <v>50</v>
      </c>
      <c r="CL7" s="1203">
        <v>14</v>
      </c>
      <c r="CM7" s="1200" t="s">
        <v>3956</v>
      </c>
      <c r="CN7" s="1285">
        <v>9</v>
      </c>
      <c r="CO7" s="1275" t="s">
        <v>5911</v>
      </c>
      <c r="CP7" s="1288">
        <v>15</v>
      </c>
      <c r="CQ7" s="1278" t="s">
        <v>5961</v>
      </c>
      <c r="CR7" s="1289">
        <v>8</v>
      </c>
      <c r="CS7" s="1280" t="s">
        <v>6009</v>
      </c>
      <c r="CT7">
        <v>13</v>
      </c>
      <c r="CU7" s="1012" t="s">
        <v>6069</v>
      </c>
      <c r="CV7" s="858" t="s">
        <v>6070</v>
      </c>
      <c r="CW7" s="858" t="s">
        <v>6071</v>
      </c>
      <c r="CX7" s="480" t="s">
        <v>6157</v>
      </c>
      <c r="CY7" s="1309">
        <v>13</v>
      </c>
      <c r="CZ7" s="1306" t="s">
        <v>6162</v>
      </c>
      <c r="DA7" s="1306">
        <v>3</v>
      </c>
      <c r="DB7" s="1012" t="s">
        <v>6229</v>
      </c>
      <c r="DC7" s="858">
        <v>3</v>
      </c>
      <c r="DD7" s="1012" t="s">
        <v>6269</v>
      </c>
      <c r="DE7" s="858">
        <v>1</v>
      </c>
      <c r="DF7" s="1012" t="s">
        <v>6309</v>
      </c>
      <c r="DG7" s="858">
        <v>1</v>
      </c>
      <c r="DH7" s="1191" t="s">
        <v>6357</v>
      </c>
      <c r="DI7" s="1326" t="s">
        <v>6364</v>
      </c>
      <c r="DJ7" s="1326" t="s">
        <v>6368</v>
      </c>
      <c r="DK7" s="1326" t="s">
        <v>5850</v>
      </c>
      <c r="DL7" s="1330" t="s">
        <v>6394</v>
      </c>
      <c r="DM7" s="1342" t="s">
        <v>4193</v>
      </c>
      <c r="DN7" s="1200" t="s">
        <v>6449</v>
      </c>
      <c r="DO7" s="1200">
        <v>1</v>
      </c>
      <c r="DP7" s="1200">
        <v>1</v>
      </c>
      <c r="DQ7" s="1200">
        <v>2</v>
      </c>
      <c r="DR7" s="1200">
        <v>3</v>
      </c>
      <c r="DS7" s="1770"/>
      <c r="DT7" s="1778"/>
      <c r="DU7" s="1762"/>
      <c r="DV7" s="1358" t="s">
        <v>6475</v>
      </c>
      <c r="DW7" s="1769">
        <v>21</v>
      </c>
      <c r="DX7" s="1771" t="s">
        <v>6623</v>
      </c>
      <c r="DY7" s="1352" t="s">
        <v>6624</v>
      </c>
      <c r="DZ7" s="1753" t="str">
        <f>DY7&amp;" / "&amp;DY8</f>
        <v>Procure un bonus de +RMa dans les tests liés à la recherche, dialogue et réflexion sur l’alignement de la relique. Uniquement intellectuel et strictement lié aux questions théologiques. / Permanent. NE fois par jour.</v>
      </c>
      <c r="EA7">
        <v>31</v>
      </c>
      <c r="EB7" s="1368"/>
      <c r="EC7" s="1367" t="s">
        <v>6666</v>
      </c>
      <c r="ED7" s="1201" t="s">
        <v>6665</v>
      </c>
      <c r="EE7" s="1370">
        <v>11</v>
      </c>
      <c r="EF7" s="1200" t="s">
        <v>811</v>
      </c>
      <c r="EG7" s="1254">
        <v>4</v>
      </c>
      <c r="EH7" s="1205" t="s">
        <v>6705</v>
      </c>
      <c r="EI7" s="1205" t="s">
        <v>6706</v>
      </c>
    </row>
    <row r="8" spans="4:140" ht="16.8" hidden="1" customHeight="1" thickTop="1" thickBot="1">
      <c r="E8">
        <v>5</v>
      </c>
      <c r="F8">
        <v>5</v>
      </c>
      <c r="I8" s="1162" t="s">
        <v>5259</v>
      </c>
      <c r="J8" s="1165" t="s">
        <v>5300</v>
      </c>
      <c r="K8" s="1168" t="s">
        <v>5340</v>
      </c>
      <c r="L8" s="1158" t="s">
        <v>5364</v>
      </c>
      <c r="M8" s="858" t="s">
        <v>5351</v>
      </c>
      <c r="N8" s="126" t="s">
        <v>5358</v>
      </c>
      <c r="O8" s="1185" t="s">
        <v>5375</v>
      </c>
      <c r="P8" s="1184" t="s">
        <v>5415</v>
      </c>
      <c r="Q8" s="1184" t="s">
        <v>5427</v>
      </c>
      <c r="R8" s="1158" t="s">
        <v>5365</v>
      </c>
      <c r="S8" s="1158" t="s">
        <v>5353</v>
      </c>
      <c r="T8" s="1158" t="s">
        <v>5356</v>
      </c>
      <c r="U8" s="139">
        <v>80</v>
      </c>
      <c r="V8" s="1192" t="s">
        <v>5436</v>
      </c>
      <c r="W8" s="854">
        <v>65</v>
      </c>
      <c r="X8" s="1158">
        <v>4</v>
      </c>
      <c r="Y8" s="858" t="s">
        <v>4076</v>
      </c>
      <c r="Z8" s="1204">
        <v>8</v>
      </c>
      <c r="AA8" s="1201" t="s">
        <v>5449</v>
      </c>
      <c r="AB8" s="1012" t="s">
        <v>5459</v>
      </c>
      <c r="AC8" s="126">
        <v>80</v>
      </c>
      <c r="AD8" s="139">
        <v>82</v>
      </c>
      <c r="AE8" s="139" t="s">
        <v>5478</v>
      </c>
      <c r="AF8">
        <v>150</v>
      </c>
      <c r="AG8" s="1187" t="s">
        <v>5491</v>
      </c>
      <c r="AH8" s="1207" t="s">
        <v>5492</v>
      </c>
      <c r="AI8" s="1187" t="s">
        <v>5504</v>
      </c>
      <c r="AJ8" s="1207" t="s">
        <v>5505</v>
      </c>
      <c r="AK8">
        <v>41</v>
      </c>
      <c r="AL8" s="1191" t="s">
        <v>5520</v>
      </c>
      <c r="AM8">
        <v>2</v>
      </c>
      <c r="AN8" s="1187" t="s">
        <v>5536</v>
      </c>
      <c r="AO8" s="1201" t="s">
        <v>5537</v>
      </c>
      <c r="AP8" s="1012" t="s">
        <v>5541</v>
      </c>
      <c r="AQ8" s="1213" t="s">
        <v>5546</v>
      </c>
      <c r="AR8" s="1012" t="s">
        <v>4258</v>
      </c>
      <c r="AS8" s="126">
        <v>-20</v>
      </c>
      <c r="AT8" s="1191" t="s">
        <v>5504</v>
      </c>
      <c r="AU8" s="1205">
        <v>40</v>
      </c>
      <c r="AV8" s="1012" t="s">
        <v>5570</v>
      </c>
      <c r="AW8" s="126">
        <v>16</v>
      </c>
      <c r="AX8">
        <v>89</v>
      </c>
      <c r="AY8" s="858" t="s">
        <v>5582</v>
      </c>
      <c r="AZ8">
        <v>42</v>
      </c>
      <c r="BA8" s="1216" t="s">
        <v>5592</v>
      </c>
      <c r="BB8" s="920" t="s">
        <v>5605</v>
      </c>
      <c r="BC8" s="1169" t="s">
        <v>1473</v>
      </c>
      <c r="BD8" s="1225" t="s">
        <v>5160</v>
      </c>
      <c r="BE8" s="1233">
        <v>10</v>
      </c>
      <c r="BF8" s="126">
        <v>10</v>
      </c>
      <c r="BG8" s="1240" t="s">
        <v>3863</v>
      </c>
      <c r="BH8" s="1012" t="s">
        <v>5711</v>
      </c>
      <c r="BI8" s="858"/>
      <c r="BJ8" s="858"/>
      <c r="BK8" s="858"/>
      <c r="BL8" s="1247">
        <v>45</v>
      </c>
      <c r="BM8" s="858" t="s">
        <v>5732</v>
      </c>
      <c r="BN8" s="858" t="s">
        <v>5733</v>
      </c>
      <c r="BO8" s="126" t="s">
        <v>5734</v>
      </c>
      <c r="BR8">
        <v>17</v>
      </c>
      <c r="BS8" s="1158" t="s">
        <v>3261</v>
      </c>
      <c r="BU8" s="1012" t="s">
        <v>5824</v>
      </c>
      <c r="BV8" s="1012" t="s">
        <v>5504</v>
      </c>
      <c r="BW8" s="126">
        <v>40</v>
      </c>
      <c r="CC8" s="1012" t="s">
        <v>5860</v>
      </c>
      <c r="CD8" s="126">
        <v>50</v>
      </c>
      <c r="CF8" s="1265">
        <v>12</v>
      </c>
      <c r="CG8" s="1259" t="s">
        <v>5879</v>
      </c>
      <c r="CH8" s="1270" t="s">
        <v>5890</v>
      </c>
      <c r="CI8" s="1271" t="s">
        <v>5891</v>
      </c>
      <c r="CJ8" s="1012" t="s">
        <v>5897</v>
      </c>
      <c r="CK8" s="126">
        <v>90</v>
      </c>
      <c r="CL8" s="1247">
        <v>17</v>
      </c>
      <c r="CM8" s="858" t="s">
        <v>5905</v>
      </c>
      <c r="CN8" s="1286">
        <v>11</v>
      </c>
      <c r="CO8" s="1276" t="s">
        <v>5912</v>
      </c>
      <c r="CP8" s="1286">
        <v>18</v>
      </c>
      <c r="CQ8" s="1276" t="s">
        <v>5962</v>
      </c>
      <c r="CR8" s="1286">
        <v>12</v>
      </c>
      <c r="CS8" s="1276" t="s">
        <v>6010</v>
      </c>
      <c r="CT8">
        <v>17</v>
      </c>
      <c r="CU8" s="1012" t="s">
        <v>6072</v>
      </c>
      <c r="CV8" s="858" t="s">
        <v>6073</v>
      </c>
      <c r="CW8" s="858" t="s">
        <v>6074</v>
      </c>
      <c r="CX8" s="480" t="s">
        <v>6157</v>
      </c>
      <c r="CY8" s="1309" t="s">
        <v>6201</v>
      </c>
      <c r="CZ8" s="1306" t="s">
        <v>6163</v>
      </c>
      <c r="DA8" s="1306">
        <v>1</v>
      </c>
      <c r="DB8" s="1012" t="s">
        <v>6230</v>
      </c>
      <c r="DC8" s="858">
        <v>1</v>
      </c>
      <c r="DD8" s="1012" t="s">
        <v>6270</v>
      </c>
      <c r="DE8" s="858">
        <v>3</v>
      </c>
      <c r="DF8" s="1012" t="s">
        <v>6310</v>
      </c>
      <c r="DG8" s="858">
        <v>1</v>
      </c>
      <c r="DH8" s="1169" t="s">
        <v>6349</v>
      </c>
      <c r="DL8" s="1331" t="s">
        <v>6404</v>
      </c>
      <c r="DM8" s="1343" t="s">
        <v>4001</v>
      </c>
      <c r="DN8" s="1169" t="s">
        <v>6448</v>
      </c>
      <c r="DO8" s="1350">
        <v>1</v>
      </c>
      <c r="DP8" s="1350">
        <v>1</v>
      </c>
      <c r="DQ8" s="1350">
        <v>1</v>
      </c>
      <c r="DR8" s="1350">
        <v>2</v>
      </c>
      <c r="DS8" s="1757">
        <v>9</v>
      </c>
      <c r="DT8" s="1765" t="s">
        <v>6476</v>
      </c>
      <c r="DU8" s="1761" t="str">
        <f>DV8&amp;" / "&amp;DV9</f>
        <v>Peut repousser une créature dans son monde ou la faire fuir à NEx5 km (selon). Déterminer l’alignement et la race cible qui peut être repoussée ainsi. Si tRP alors la créature est seulement bannie (repoussée) pendant NEx2 tours.  / NEx2 usages par jour. Distance de la cible = NEx10m. Durée = NE+1 jours.</v>
      </c>
      <c r="DV8" s="1359" t="s">
        <v>6477</v>
      </c>
      <c r="DW8" s="1770"/>
      <c r="DX8" s="1772"/>
      <c r="DY8" s="1353" t="s">
        <v>6625</v>
      </c>
      <c r="DZ8" s="1754"/>
      <c r="EA8">
        <v>41</v>
      </c>
      <c r="EB8" s="1272"/>
      <c r="EC8" s="1300" t="s">
        <v>6667</v>
      </c>
      <c r="ED8" s="1200" t="s">
        <v>6668</v>
      </c>
      <c r="EE8" s="1012">
        <v>31</v>
      </c>
      <c r="EF8" s="858" t="s">
        <v>6691</v>
      </c>
    </row>
    <row r="9" spans="4:140" ht="16.8" hidden="1" customHeight="1" thickBot="1">
      <c r="E9">
        <v>6</v>
      </c>
      <c r="F9">
        <v>6</v>
      </c>
      <c r="I9" s="1161" t="s">
        <v>5260</v>
      </c>
      <c r="J9" s="1164" t="s">
        <v>5301</v>
      </c>
      <c r="K9" s="1167" t="s">
        <v>5341</v>
      </c>
      <c r="L9" s="1171" t="s">
        <v>2041</v>
      </c>
      <c r="M9" s="1172" t="s">
        <v>5352</v>
      </c>
      <c r="N9" s="1173" t="s">
        <v>5359</v>
      </c>
      <c r="O9" s="1184" t="s">
        <v>5376</v>
      </c>
      <c r="P9" s="1187" t="s">
        <v>5416</v>
      </c>
      <c r="Q9" s="1187" t="s">
        <v>5426</v>
      </c>
      <c r="U9" s="1193">
        <v>89</v>
      </c>
      <c r="V9" s="858" t="s">
        <v>5437</v>
      </c>
      <c r="W9" s="1197">
        <v>76</v>
      </c>
      <c r="X9" s="1195">
        <v>5</v>
      </c>
      <c r="Y9" s="1196" t="s">
        <v>4120</v>
      </c>
      <c r="Z9" s="1203">
        <v>9</v>
      </c>
      <c r="AA9" s="1200" t="s">
        <v>5450</v>
      </c>
      <c r="AB9" s="1191" t="s">
        <v>5460</v>
      </c>
      <c r="AC9" s="1205">
        <v>35</v>
      </c>
      <c r="AD9" s="1206">
        <v>86</v>
      </c>
      <c r="AE9" s="1206" t="s">
        <v>5479</v>
      </c>
      <c r="AF9">
        <v>200</v>
      </c>
      <c r="AG9" s="1191" t="s">
        <v>5493</v>
      </c>
      <c r="AH9" s="1205" t="s">
        <v>5494</v>
      </c>
      <c r="AI9" s="1210" t="s">
        <v>5506</v>
      </c>
      <c r="AJ9" s="1211" t="s">
        <v>5507</v>
      </c>
      <c r="AK9">
        <v>53</v>
      </c>
      <c r="AL9" s="1192" t="s">
        <v>5471</v>
      </c>
      <c r="AM9">
        <v>4</v>
      </c>
      <c r="AP9" s="1191" t="s">
        <v>142</v>
      </c>
      <c r="AQ9" s="1205">
        <v>0</v>
      </c>
      <c r="AR9" s="1191" t="s">
        <v>564</v>
      </c>
      <c r="AS9" s="1205">
        <v>20</v>
      </c>
      <c r="AT9" s="1187" t="s">
        <v>5558</v>
      </c>
      <c r="AU9" s="1207">
        <v>-20</v>
      </c>
      <c r="AV9" s="1191" t="s">
        <v>5571</v>
      </c>
      <c r="AW9" s="1205">
        <v>12</v>
      </c>
      <c r="AX9">
        <v>91</v>
      </c>
      <c r="AY9" s="1191" t="s">
        <v>5583</v>
      </c>
      <c r="AZ9">
        <v>54</v>
      </c>
      <c r="BA9" s="1217" t="s">
        <v>5593</v>
      </c>
      <c r="BB9" s="1219" t="s">
        <v>5606</v>
      </c>
      <c r="BC9" s="1169" t="s">
        <v>5484</v>
      </c>
      <c r="BD9" s="1226" t="s">
        <v>5699</v>
      </c>
      <c r="BE9" s="1234">
        <v>30</v>
      </c>
      <c r="BF9" s="1192"/>
      <c r="BG9" s="1192"/>
      <c r="BH9" s="1191" t="s">
        <v>5712</v>
      </c>
      <c r="BI9" s="1192"/>
      <c r="BJ9" s="1192"/>
      <c r="BK9" s="1192"/>
      <c r="BL9" s="1246">
        <v>55</v>
      </c>
      <c r="BM9" s="1192" t="s">
        <v>5735</v>
      </c>
      <c r="BN9" s="1192" t="s">
        <v>5736</v>
      </c>
      <c r="BO9" s="1205" t="s">
        <v>5487</v>
      </c>
      <c r="BR9" s="1248">
        <v>21</v>
      </c>
      <c r="BS9" s="1254" t="s">
        <v>5798</v>
      </c>
      <c r="BU9" s="1191" t="s">
        <v>5827</v>
      </c>
      <c r="BV9" s="1191" t="s">
        <v>5843</v>
      </c>
      <c r="BW9" s="1205">
        <v>-20</v>
      </c>
      <c r="CC9" s="1191" t="s">
        <v>5861</v>
      </c>
      <c r="CD9" s="1205">
        <v>80</v>
      </c>
      <c r="CF9" s="1266">
        <v>16</v>
      </c>
      <c r="CG9" s="1260" t="s">
        <v>5880</v>
      </c>
      <c r="CJ9" s="1191" t="s">
        <v>5898</v>
      </c>
      <c r="CK9" s="1205">
        <v>200</v>
      </c>
      <c r="CL9" s="1272">
        <v>18</v>
      </c>
      <c r="CM9" s="1200" t="s">
        <v>3857</v>
      </c>
      <c r="CN9" s="1285">
        <v>13</v>
      </c>
      <c r="CO9" s="1275" t="s">
        <v>5913</v>
      </c>
      <c r="CP9" s="1288">
        <v>21</v>
      </c>
      <c r="CQ9" s="1278" t="s">
        <v>5963</v>
      </c>
      <c r="CR9" s="1289">
        <v>14</v>
      </c>
      <c r="CS9" s="1280" t="s">
        <v>6011</v>
      </c>
      <c r="CT9">
        <v>21</v>
      </c>
      <c r="CU9" s="1012" t="s">
        <v>6075</v>
      </c>
      <c r="CV9" s="858" t="s">
        <v>6076</v>
      </c>
      <c r="CW9" s="858" t="s">
        <v>6077</v>
      </c>
      <c r="CX9" s="480" t="s">
        <v>6158</v>
      </c>
      <c r="CY9" s="1309" t="s">
        <v>6202</v>
      </c>
      <c r="CZ9" s="1306" t="s">
        <v>6164</v>
      </c>
      <c r="DA9" s="1306">
        <v>1</v>
      </c>
      <c r="DB9" s="1012" t="s">
        <v>6231</v>
      </c>
      <c r="DC9" s="858">
        <v>1</v>
      </c>
      <c r="DD9" s="1012" t="s">
        <v>6271</v>
      </c>
      <c r="DE9" s="858">
        <v>1</v>
      </c>
      <c r="DF9" s="1012" t="s">
        <v>6311</v>
      </c>
      <c r="DG9" s="858">
        <v>1</v>
      </c>
      <c r="DH9" s="1192" t="s">
        <v>6353</v>
      </c>
      <c r="DL9" s="1333" t="s">
        <v>6410</v>
      </c>
      <c r="DM9" s="1344" t="s">
        <v>4105</v>
      </c>
      <c r="DN9" s="858" t="s">
        <v>6460</v>
      </c>
      <c r="DO9" s="858">
        <v>1</v>
      </c>
      <c r="DP9" s="858">
        <v>1</v>
      </c>
      <c r="DQ9" s="858">
        <v>1</v>
      </c>
      <c r="DR9" s="858">
        <v>1</v>
      </c>
      <c r="DS9" s="1758"/>
      <c r="DT9" s="1766"/>
      <c r="DU9" s="1762"/>
      <c r="DV9" s="1356" t="s">
        <v>6478</v>
      </c>
      <c r="DW9" s="1757">
        <v>31</v>
      </c>
      <c r="DX9" s="1753" t="s">
        <v>6626</v>
      </c>
      <c r="DY9" s="639" t="s">
        <v>6627</v>
      </c>
      <c r="DZ9" s="1753" t="str">
        <f>DY9&amp;" / "&amp;DY10</f>
        <v>La relique peut donner un bonus de +RMa à un test de sens ou permet de relancer un test raté de ce sens.  / NE fois par jour. Un seul sens par jour.</v>
      </c>
      <c r="EA9">
        <v>51</v>
      </c>
      <c r="EB9" s="1368"/>
      <c r="EC9" s="1367" t="s">
        <v>6669</v>
      </c>
      <c r="ED9" s="1201" t="s">
        <v>6670</v>
      </c>
      <c r="EE9" s="1210">
        <v>36</v>
      </c>
      <c r="EF9" s="1200" t="s">
        <v>6692</v>
      </c>
    </row>
    <row r="10" spans="4:140" ht="16.8" hidden="1" customHeight="1" thickBot="1">
      <c r="E10">
        <v>7</v>
      </c>
      <c r="F10">
        <v>7</v>
      </c>
      <c r="I10" s="1162" t="s">
        <v>5261</v>
      </c>
      <c r="J10" s="1165" t="s">
        <v>5302</v>
      </c>
      <c r="K10" s="1168" t="s">
        <v>5342</v>
      </c>
      <c r="L10" s="1158" t="s">
        <v>5365</v>
      </c>
      <c r="M10" s="858" t="s">
        <v>5353</v>
      </c>
      <c r="N10" s="126" t="s">
        <v>5356</v>
      </c>
      <c r="O10" s="1185" t="s">
        <v>5377</v>
      </c>
      <c r="P10" s="1184" t="s">
        <v>5417</v>
      </c>
      <c r="Q10" s="1184" t="s">
        <v>5428</v>
      </c>
      <c r="U10" s="139">
        <v>93</v>
      </c>
      <c r="V10" s="858" t="s">
        <v>5438</v>
      </c>
      <c r="W10" s="854">
        <v>85</v>
      </c>
      <c r="X10" s="1158">
        <v>6</v>
      </c>
      <c r="Y10" s="858" t="s">
        <v>4163</v>
      </c>
      <c r="Z10" s="1204">
        <v>10</v>
      </c>
      <c r="AA10" s="1201" t="s">
        <v>5451</v>
      </c>
      <c r="AB10" s="1012" t="s">
        <v>5461</v>
      </c>
      <c r="AC10" s="126">
        <v>40</v>
      </c>
      <c r="AD10" s="139">
        <v>88</v>
      </c>
      <c r="AE10" s="139" t="s">
        <v>5480</v>
      </c>
      <c r="AF10">
        <v>20</v>
      </c>
      <c r="AG10" s="1187" t="s">
        <v>1473</v>
      </c>
      <c r="AH10" s="1207" t="s">
        <v>5485</v>
      </c>
      <c r="AI10" s="1187" t="s">
        <v>5508</v>
      </c>
      <c r="AJ10" s="1207" t="s">
        <v>5509</v>
      </c>
      <c r="AK10">
        <v>62</v>
      </c>
      <c r="AL10" s="1192" t="s">
        <v>5521</v>
      </c>
      <c r="AM10">
        <v>6</v>
      </c>
      <c r="AP10" s="1012" t="s">
        <v>5542</v>
      </c>
      <c r="AQ10" s="126">
        <v>0</v>
      </c>
      <c r="AR10" s="1012" t="s">
        <v>5552</v>
      </c>
      <c r="AS10" s="126">
        <v>0</v>
      </c>
      <c r="AT10" s="1191" t="s">
        <v>575</v>
      </c>
      <c r="AU10" s="1205">
        <v>10</v>
      </c>
      <c r="AV10" s="1012" t="s">
        <v>5572</v>
      </c>
      <c r="AW10" s="126">
        <v>100</v>
      </c>
      <c r="AX10">
        <v>98</v>
      </c>
      <c r="AY10" s="1192" t="s">
        <v>5584</v>
      </c>
      <c r="AZ10">
        <v>71</v>
      </c>
      <c r="BA10" s="1012" t="s">
        <v>5594</v>
      </c>
      <c r="BB10" s="920" t="s">
        <v>1600</v>
      </c>
      <c r="BC10" s="1169" t="s">
        <v>5611</v>
      </c>
      <c r="BD10" s="1227" t="s">
        <v>5161</v>
      </c>
      <c r="BE10" s="1235">
        <v>50</v>
      </c>
      <c r="BF10" s="858"/>
      <c r="BG10" s="858"/>
      <c r="BH10" s="1012" t="s">
        <v>5713</v>
      </c>
      <c r="BI10" s="858"/>
      <c r="BJ10" s="858"/>
      <c r="BK10" s="858"/>
      <c r="BL10" s="1247">
        <v>59</v>
      </c>
      <c r="BM10" s="858" t="s">
        <v>5737</v>
      </c>
      <c r="BN10" s="858" t="s">
        <v>5738</v>
      </c>
      <c r="BO10" s="126" t="s">
        <v>5739</v>
      </c>
      <c r="BR10">
        <v>25</v>
      </c>
      <c r="BS10" s="1158" t="s">
        <v>3264</v>
      </c>
      <c r="BU10" s="1012" t="s">
        <v>5831</v>
      </c>
      <c r="BV10" s="1012" t="s">
        <v>5844</v>
      </c>
      <c r="BW10" s="126">
        <v>10</v>
      </c>
      <c r="CC10" s="1012" t="s">
        <v>5679</v>
      </c>
      <c r="CD10" s="126">
        <v>25</v>
      </c>
      <c r="CF10" s="1267">
        <v>20</v>
      </c>
      <c r="CG10" s="1261" t="s">
        <v>5881</v>
      </c>
      <c r="CJ10" s="1012" t="s">
        <v>5899</v>
      </c>
      <c r="CK10" s="126">
        <v>400</v>
      </c>
      <c r="CL10" s="854">
        <v>20</v>
      </c>
      <c r="CM10" s="858" t="s">
        <v>3908</v>
      </c>
      <c r="CN10" s="1286">
        <v>14</v>
      </c>
      <c r="CO10" s="1276" t="s">
        <v>5914</v>
      </c>
      <c r="CP10" s="1277">
        <v>23</v>
      </c>
      <c r="CQ10" s="1276" t="s">
        <v>5964</v>
      </c>
      <c r="CR10" s="1277">
        <v>16</v>
      </c>
      <c r="CS10" s="1276" t="s">
        <v>6012</v>
      </c>
      <c r="CT10">
        <v>25</v>
      </c>
      <c r="CU10" s="1012" t="s">
        <v>6078</v>
      </c>
      <c r="CV10" s="858" t="s">
        <v>6079</v>
      </c>
      <c r="CW10" s="1290" t="s">
        <v>6080</v>
      </c>
      <c r="CX10" s="480" t="s">
        <v>6158</v>
      </c>
      <c r="CY10" s="1309" t="s">
        <v>6203</v>
      </c>
      <c r="CZ10" s="1306" t="s">
        <v>6165</v>
      </c>
      <c r="DA10" s="1306">
        <v>1</v>
      </c>
      <c r="DB10" s="1012" t="s">
        <v>6232</v>
      </c>
      <c r="DC10" s="858">
        <v>5</v>
      </c>
      <c r="DD10" s="1012" t="s">
        <v>6272</v>
      </c>
      <c r="DE10" s="858">
        <v>3</v>
      </c>
      <c r="DF10" s="1012" t="s">
        <v>6312</v>
      </c>
      <c r="DG10" s="858">
        <v>5</v>
      </c>
      <c r="DH10" s="858" t="s">
        <v>6445</v>
      </c>
      <c r="DL10" s="1333" t="s">
        <v>6417</v>
      </c>
      <c r="DM10" s="1344" t="s">
        <v>4105</v>
      </c>
      <c r="DN10" s="858" t="s">
        <v>6456</v>
      </c>
      <c r="DO10" s="858">
        <v>1</v>
      </c>
      <c r="DP10" s="858">
        <v>1</v>
      </c>
      <c r="DQ10" s="858">
        <v>1</v>
      </c>
      <c r="DR10" s="858">
        <v>1</v>
      </c>
      <c r="DS10" s="1769">
        <v>11</v>
      </c>
      <c r="DT10" s="1777" t="s">
        <v>6479</v>
      </c>
      <c r="DU10" s="1761" t="str">
        <f>DV10&amp;" / "&amp;DV11</f>
        <v>Déterminez une caractéristique au hasard (D10), elle reçoit un bonus +RMa x D10*.  / Permanent.</v>
      </c>
      <c r="DV10" s="1357" t="s">
        <v>6480</v>
      </c>
      <c r="DW10" s="1758"/>
      <c r="DX10" s="1754"/>
      <c r="DY10" s="1351" t="s">
        <v>6628</v>
      </c>
      <c r="DZ10" s="1754"/>
      <c r="EA10">
        <v>56</v>
      </c>
      <c r="EB10" s="1272"/>
      <c r="EC10" s="1300" t="s">
        <v>6671</v>
      </c>
      <c r="ED10" s="1200" t="s">
        <v>6672</v>
      </c>
      <c r="EE10" s="1012">
        <v>46</v>
      </c>
      <c r="EF10" s="858" t="s">
        <v>579</v>
      </c>
    </row>
    <row r="11" spans="4:140" ht="16.8" hidden="1" customHeight="1" thickBot="1">
      <c r="E11">
        <v>8</v>
      </c>
      <c r="F11">
        <v>8</v>
      </c>
      <c r="I11" s="1161" t="s">
        <v>5262</v>
      </c>
      <c r="J11" s="1164" t="s">
        <v>5303</v>
      </c>
      <c r="K11" s="1167" t="s">
        <v>5343</v>
      </c>
      <c r="O11" s="1184" t="s">
        <v>5378</v>
      </c>
      <c r="P11" s="1187" t="s">
        <v>5418</v>
      </c>
      <c r="Q11" s="1187" t="s">
        <v>5428</v>
      </c>
      <c r="U11" s="1194">
        <v>95</v>
      </c>
      <c r="V11" s="1192" t="s">
        <v>5439</v>
      </c>
      <c r="W11" s="1197">
        <v>92</v>
      </c>
      <c r="X11" s="1195">
        <v>7</v>
      </c>
      <c r="Y11" s="1196" t="s">
        <v>4212</v>
      </c>
      <c r="AB11" s="1191" t="s">
        <v>5462</v>
      </c>
      <c r="AC11" s="1205">
        <v>25</v>
      </c>
      <c r="AD11" s="1206">
        <v>92</v>
      </c>
      <c r="AE11" s="1206" t="s">
        <v>5481</v>
      </c>
      <c r="AF11">
        <v>100</v>
      </c>
      <c r="AG11" s="1191" t="s">
        <v>5495</v>
      </c>
      <c r="AH11" s="1205" t="s">
        <v>5496</v>
      </c>
      <c r="AI11" s="1210" t="s">
        <v>3956</v>
      </c>
      <c r="AJ11" s="1211" t="s">
        <v>5510</v>
      </c>
      <c r="AK11">
        <v>68</v>
      </c>
      <c r="AL11" s="1192" t="s">
        <v>5522</v>
      </c>
      <c r="AM11">
        <v>8</v>
      </c>
      <c r="AP11" s="1191" t="s">
        <v>2545</v>
      </c>
      <c r="AQ11" s="1205">
        <v>-10</v>
      </c>
      <c r="AR11" s="1191" t="s">
        <v>5553</v>
      </c>
      <c r="AS11" s="1205">
        <v>10</v>
      </c>
      <c r="AT11" s="1187" t="s">
        <v>5559</v>
      </c>
      <c r="AU11" s="1207">
        <v>30</v>
      </c>
      <c r="AV11" s="1191" t="s">
        <v>5573</v>
      </c>
      <c r="AW11" s="1205">
        <v>50</v>
      </c>
      <c r="AX11">
        <v>100</v>
      </c>
      <c r="AY11" s="1192" t="s">
        <v>5585</v>
      </c>
      <c r="AZ11">
        <v>85</v>
      </c>
      <c r="BA11" s="858" t="s">
        <v>5595</v>
      </c>
      <c r="BB11" s="1219" t="s">
        <v>5607</v>
      </c>
      <c r="BC11" s="1169" t="s">
        <v>5612</v>
      </c>
      <c r="BD11" s="1228" t="s">
        <v>5166</v>
      </c>
      <c r="BE11" s="1236">
        <v>20</v>
      </c>
      <c r="BF11" s="1192"/>
      <c r="BG11" s="1192"/>
      <c r="BH11" s="1191" t="s">
        <v>5714</v>
      </c>
      <c r="BI11" s="1192"/>
      <c r="BJ11" s="1192"/>
      <c r="BK11" s="1192"/>
      <c r="BL11" s="1246">
        <v>61</v>
      </c>
      <c r="BM11" s="1192" t="s">
        <v>5740</v>
      </c>
      <c r="BN11" s="1192" t="s">
        <v>5741</v>
      </c>
      <c r="BO11" s="1205" t="s">
        <v>5742</v>
      </c>
      <c r="BR11" s="1248">
        <v>29</v>
      </c>
      <c r="BS11" s="1254" t="s">
        <v>5800</v>
      </c>
      <c r="BU11" s="1191" t="s">
        <v>5835</v>
      </c>
      <c r="BV11" s="1191" t="s">
        <v>5559</v>
      </c>
      <c r="BW11" s="1205">
        <v>30</v>
      </c>
      <c r="CC11" s="1191" t="s">
        <v>1782</v>
      </c>
      <c r="CD11" s="1205" t="s">
        <v>4628</v>
      </c>
      <c r="CJ11" s="1191" t="s">
        <v>5900</v>
      </c>
      <c r="CK11" s="1205">
        <v>800</v>
      </c>
      <c r="CN11" s="1285">
        <v>15</v>
      </c>
      <c r="CO11" s="1275" t="s">
        <v>5915</v>
      </c>
      <c r="CP11" s="1279">
        <v>24</v>
      </c>
      <c r="CQ11" s="1278" t="s">
        <v>5965</v>
      </c>
      <c r="CR11" s="1281">
        <v>17</v>
      </c>
      <c r="CS11" s="1280" t="s">
        <v>6013</v>
      </c>
      <c r="CT11">
        <v>29</v>
      </c>
      <c r="CU11" s="1012" t="s">
        <v>6081</v>
      </c>
      <c r="CV11" s="858" t="s">
        <v>6082</v>
      </c>
      <c r="CW11" s="858" t="s">
        <v>6083</v>
      </c>
      <c r="CX11" s="480" t="s">
        <v>6158</v>
      </c>
      <c r="CY11" s="1309" t="s">
        <v>6204</v>
      </c>
      <c r="CZ11" s="1306" t="s">
        <v>6166</v>
      </c>
      <c r="DA11" s="1306">
        <v>3</v>
      </c>
      <c r="DB11" s="1012" t="s">
        <v>6233</v>
      </c>
      <c r="DC11" s="858">
        <v>1</v>
      </c>
      <c r="DD11" s="1012" t="s">
        <v>6273</v>
      </c>
      <c r="DE11" s="858">
        <v>1</v>
      </c>
      <c r="DF11" s="1012" t="s">
        <v>6313</v>
      </c>
      <c r="DG11" s="858">
        <v>1</v>
      </c>
      <c r="DH11" s="1192" t="s">
        <v>6358</v>
      </c>
      <c r="DL11" s="1335" t="s">
        <v>6419</v>
      </c>
      <c r="DM11" s="1210" t="s">
        <v>3953</v>
      </c>
      <c r="DN11" s="858" t="s">
        <v>6461</v>
      </c>
      <c r="DO11" s="858">
        <v>1</v>
      </c>
      <c r="DP11" s="858">
        <v>2</v>
      </c>
      <c r="DQ11" s="858">
        <v>2</v>
      </c>
      <c r="DR11" s="858">
        <v>2</v>
      </c>
      <c r="DS11" s="1770"/>
      <c r="DT11" s="1778"/>
      <c r="DU11" s="1762"/>
      <c r="DV11" s="1358" t="s">
        <v>6481</v>
      </c>
      <c r="DW11" s="1769">
        <v>36</v>
      </c>
      <c r="DX11" s="1771" t="s">
        <v>6629</v>
      </c>
      <c r="DY11" s="1352" t="s">
        <v>6630</v>
      </c>
      <c r="DZ11" s="1753" t="str">
        <f>DY11&amp;" / "&amp;DY12</f>
        <v>Influence X à agir conformément à l’alignement. Un test par jour, au réveil, sur V(res) de X -RMa(relique) pour éviter l’influence sinon X agit comme un fanatique de cet alignement jusqu’à la prochaine CS.  / Permanent.</v>
      </c>
      <c r="EA11">
        <v>61</v>
      </c>
      <c r="EB11" s="1368"/>
      <c r="EC11" s="1367" t="s">
        <v>6673</v>
      </c>
      <c r="ED11" s="1201" t="s">
        <v>6674</v>
      </c>
      <c r="EE11" s="1210">
        <v>51</v>
      </c>
      <c r="EF11" s="1200" t="s">
        <v>6693</v>
      </c>
    </row>
    <row r="12" spans="4:140" ht="16.8" hidden="1" customHeight="1" thickBot="1">
      <c r="E12">
        <v>9</v>
      </c>
      <c r="F12">
        <v>9</v>
      </c>
      <c r="I12" s="1162" t="s">
        <v>5263</v>
      </c>
      <c r="J12" s="1165" t="s">
        <v>5304</v>
      </c>
      <c r="K12" s="1168" t="s">
        <v>5344</v>
      </c>
      <c r="O12" s="1185" t="s">
        <v>5379</v>
      </c>
      <c r="P12" s="1184" t="s">
        <v>5419</v>
      </c>
      <c r="Q12" s="1184" t="s">
        <v>5428</v>
      </c>
      <c r="U12" s="139">
        <v>98</v>
      </c>
      <c r="V12" s="1192" t="s">
        <v>596</v>
      </c>
      <c r="W12" s="854">
        <v>97</v>
      </c>
      <c r="X12" s="1158">
        <v>8</v>
      </c>
      <c r="Y12" s="858" t="s">
        <v>4250</v>
      </c>
      <c r="AB12" s="1012" t="s">
        <v>5463</v>
      </c>
      <c r="AC12" s="126">
        <v>30</v>
      </c>
      <c r="AD12" s="139">
        <v>95</v>
      </c>
      <c r="AE12" s="139" t="s">
        <v>5482</v>
      </c>
      <c r="AF12">
        <v>250</v>
      </c>
      <c r="AG12" s="1187" t="s">
        <v>5497</v>
      </c>
      <c r="AH12" s="1207" t="s">
        <v>5498</v>
      </c>
      <c r="AI12" s="1187" t="s">
        <v>3857</v>
      </c>
      <c r="AJ12" s="1207" t="s">
        <v>5511</v>
      </c>
      <c r="AK12">
        <v>71</v>
      </c>
      <c r="AL12" s="1012" t="s">
        <v>5470</v>
      </c>
      <c r="AM12">
        <v>3</v>
      </c>
      <c r="AP12" s="1012" t="s">
        <v>5543</v>
      </c>
      <c r="AQ12" s="1213" t="s">
        <v>5548</v>
      </c>
      <c r="AR12" s="1012" t="s">
        <v>656</v>
      </c>
      <c r="AS12" s="126">
        <v>40</v>
      </c>
      <c r="AT12" s="1191" t="s">
        <v>5560</v>
      </c>
      <c r="AU12" s="1205">
        <v>50</v>
      </c>
      <c r="AV12" s="1012" t="s">
        <v>5574</v>
      </c>
      <c r="AW12" s="126">
        <v>40</v>
      </c>
      <c r="AZ12">
        <v>91</v>
      </c>
      <c r="BA12" s="1216" t="s">
        <v>5596</v>
      </c>
      <c r="BB12" s="920" t="s">
        <v>5602</v>
      </c>
      <c r="BC12" s="1169" t="s">
        <v>5493</v>
      </c>
      <c r="BD12" s="1229" t="s">
        <v>5700</v>
      </c>
      <c r="BE12" s="1237">
        <v>40</v>
      </c>
      <c r="BF12" s="1221"/>
      <c r="BG12" s="1221"/>
      <c r="BH12" s="1012" t="s">
        <v>5715</v>
      </c>
      <c r="BI12" s="1221"/>
      <c r="BJ12" s="1221"/>
      <c r="BK12" s="1192"/>
      <c r="BL12" s="1247">
        <v>62</v>
      </c>
      <c r="BM12" s="858" t="s">
        <v>5743</v>
      </c>
      <c r="BN12" s="858" t="s">
        <v>5744</v>
      </c>
      <c r="BO12" s="126" t="s">
        <v>5745</v>
      </c>
      <c r="BR12">
        <v>33</v>
      </c>
      <c r="BS12" s="1158" t="s">
        <v>5801</v>
      </c>
      <c r="BU12" s="1012" t="s">
        <v>5610</v>
      </c>
      <c r="BV12" s="1012" t="s">
        <v>5560</v>
      </c>
      <c r="BW12" s="126">
        <v>50</v>
      </c>
      <c r="CC12" s="1012" t="s">
        <v>5862</v>
      </c>
      <c r="CD12" s="126">
        <v>30</v>
      </c>
      <c r="CJ12" s="1012" t="s">
        <v>5901</v>
      </c>
      <c r="CK12" s="126">
        <v>600</v>
      </c>
      <c r="CN12" s="1277">
        <v>16</v>
      </c>
      <c r="CO12" s="1276" t="s">
        <v>5916</v>
      </c>
      <c r="CP12" s="1277">
        <v>26</v>
      </c>
      <c r="CQ12" s="1276" t="s">
        <v>5966</v>
      </c>
      <c r="CR12" s="1277">
        <v>18</v>
      </c>
      <c r="CS12" s="1276" t="s">
        <v>6014</v>
      </c>
      <c r="CT12">
        <v>33</v>
      </c>
      <c r="CU12" s="1012" t="s">
        <v>4616</v>
      </c>
      <c r="CV12" s="858" t="s">
        <v>6084</v>
      </c>
      <c r="CW12" s="858" t="s">
        <v>6085</v>
      </c>
      <c r="CX12" s="480" t="s">
        <v>6158</v>
      </c>
      <c r="CY12" s="1309" t="s">
        <v>6205</v>
      </c>
      <c r="CZ12" s="1306" t="s">
        <v>6167</v>
      </c>
      <c r="DA12" s="1306">
        <v>1</v>
      </c>
      <c r="DB12" s="1012" t="s">
        <v>6234</v>
      </c>
      <c r="DC12" s="858">
        <v>1</v>
      </c>
      <c r="DD12" s="1012" t="s">
        <v>6274</v>
      </c>
      <c r="DE12" s="858">
        <v>1</v>
      </c>
      <c r="DF12" s="1012" t="s">
        <v>6314</v>
      </c>
      <c r="DG12" s="858">
        <v>1</v>
      </c>
      <c r="DH12" s="1169" t="s">
        <v>6350</v>
      </c>
      <c r="DL12" s="1336" t="s">
        <v>97</v>
      </c>
      <c r="DM12" s="1345" t="s">
        <v>6439</v>
      </c>
      <c r="DN12" s="1200" t="s">
        <v>6455</v>
      </c>
      <c r="DO12" s="1200">
        <v>1</v>
      </c>
      <c r="DP12" s="1200">
        <v>1</v>
      </c>
      <c r="DQ12" s="1200">
        <v>1</v>
      </c>
      <c r="DR12" s="1200">
        <v>1</v>
      </c>
      <c r="DS12" s="854">
        <v>17</v>
      </c>
      <c r="DT12" s="1290" t="s">
        <v>1508</v>
      </c>
      <c r="DU12" s="858" t="str">
        <f>DV12</f>
        <v>Bonus de RMa aux tests de Moral et de NEC.</v>
      </c>
      <c r="DV12" s="1012" t="s">
        <v>6482</v>
      </c>
      <c r="DW12" s="1770"/>
      <c r="DX12" s="1772"/>
      <c r="DY12" s="1353" t="s">
        <v>6475</v>
      </c>
      <c r="DZ12" s="1754"/>
      <c r="EA12">
        <v>71</v>
      </c>
      <c r="EB12" s="1272"/>
      <c r="EC12" s="1300" t="s">
        <v>6675</v>
      </c>
      <c r="ED12" s="1200" t="s">
        <v>6676</v>
      </c>
      <c r="EE12" s="1012">
        <v>56</v>
      </c>
      <c r="EF12" s="858" t="s">
        <v>2021</v>
      </c>
    </row>
    <row r="13" spans="4:140" ht="23.4" hidden="1" customHeight="1" thickBot="1">
      <c r="E13">
        <v>10</v>
      </c>
      <c r="F13">
        <v>10</v>
      </c>
      <c r="I13" s="1161" t="s">
        <v>5264</v>
      </c>
      <c r="J13" s="1164" t="s">
        <v>5305</v>
      </c>
      <c r="K13" s="1167" t="s">
        <v>5345</v>
      </c>
      <c r="O13" s="1184" t="s">
        <v>5380</v>
      </c>
      <c r="P13" s="1187" t="s">
        <v>5420</v>
      </c>
      <c r="Q13" s="1187" t="s">
        <v>5429</v>
      </c>
      <c r="W13" s="1197">
        <v>100</v>
      </c>
      <c r="X13" s="1195">
        <v>9</v>
      </c>
      <c r="Y13" s="1196" t="s">
        <v>4292</v>
      </c>
      <c r="AB13" s="1191" t="s">
        <v>5464</v>
      </c>
      <c r="AC13" s="1205" t="s">
        <v>5465</v>
      </c>
      <c r="AD13" s="1206">
        <v>98</v>
      </c>
      <c r="AE13" s="1206" t="s">
        <v>5483</v>
      </c>
      <c r="AF13">
        <v>300</v>
      </c>
      <c r="AG13" s="1191" t="s">
        <v>5499</v>
      </c>
      <c r="AH13" s="1205" t="s">
        <v>5500</v>
      </c>
      <c r="AI13" s="1210" t="s">
        <v>3908</v>
      </c>
      <c r="AJ13" s="1211" t="s">
        <v>5512</v>
      </c>
      <c r="AK13">
        <v>79</v>
      </c>
      <c r="AL13" s="858" t="s">
        <v>5523</v>
      </c>
      <c r="AM13">
        <v>6</v>
      </c>
      <c r="AP13" s="1191" t="s">
        <v>2546</v>
      </c>
      <c r="AQ13" s="1205" t="s">
        <v>137</v>
      </c>
      <c r="AR13" s="1191" t="s">
        <v>2177</v>
      </c>
      <c r="AS13" s="1205">
        <v>30</v>
      </c>
      <c r="AT13" s="1187" t="s">
        <v>5561</v>
      </c>
      <c r="AU13" s="1207">
        <v>60</v>
      </c>
      <c r="AV13" s="1191" t="s">
        <v>5575</v>
      </c>
      <c r="AW13" s="1205">
        <v>50</v>
      </c>
      <c r="AZ13">
        <v>95</v>
      </c>
      <c r="BA13" s="1217" t="s">
        <v>5597</v>
      </c>
      <c r="BB13" s="1220" t="s">
        <v>5561</v>
      </c>
      <c r="BC13" s="1169" t="s">
        <v>5613</v>
      </c>
      <c r="BD13" s="1169" t="s">
        <v>5701</v>
      </c>
      <c r="BE13" s="126">
        <v>80</v>
      </c>
      <c r="BH13" s="1191" t="s">
        <v>5716</v>
      </c>
      <c r="BL13" s="1246">
        <v>68</v>
      </c>
      <c r="BM13" s="1192" t="s">
        <v>5746</v>
      </c>
      <c r="BN13" s="1249" t="s">
        <v>5781</v>
      </c>
      <c r="BO13" s="1205" t="s">
        <v>5747</v>
      </c>
      <c r="BR13" s="1248">
        <v>37</v>
      </c>
      <c r="BS13" s="1254" t="s">
        <v>5783</v>
      </c>
      <c r="BU13" s="1191" t="s">
        <v>5840</v>
      </c>
      <c r="BV13" s="1191" t="s">
        <v>5845</v>
      </c>
      <c r="BW13" s="1205">
        <v>20</v>
      </c>
      <c r="CC13" s="1191" t="s">
        <v>5863</v>
      </c>
      <c r="CD13" s="1205">
        <v>30</v>
      </c>
      <c r="CJ13" s="1191" t="s">
        <v>5902</v>
      </c>
      <c r="CK13" s="1205">
        <v>80</v>
      </c>
      <c r="CN13" s="1274">
        <v>17</v>
      </c>
      <c r="CO13" s="1275" t="s">
        <v>5917</v>
      </c>
      <c r="CP13" s="1279">
        <v>28</v>
      </c>
      <c r="CQ13" s="1278" t="s">
        <v>5967</v>
      </c>
      <c r="CR13" s="1281">
        <v>20</v>
      </c>
      <c r="CS13" s="1280" t="s">
        <v>6015</v>
      </c>
      <c r="CT13">
        <v>37</v>
      </c>
      <c r="CU13" s="1291" t="s">
        <v>6086</v>
      </c>
      <c r="CV13" s="1292" t="s">
        <v>6087</v>
      </c>
      <c r="CW13" s="1292" t="s">
        <v>6088</v>
      </c>
      <c r="CX13" s="480" t="s">
        <v>6155</v>
      </c>
      <c r="CY13" s="1316" t="s">
        <v>6206</v>
      </c>
      <c r="CZ13" s="1307" t="s">
        <v>6168</v>
      </c>
      <c r="DA13" s="1307">
        <v>3</v>
      </c>
      <c r="DB13" s="1291" t="s">
        <v>6235</v>
      </c>
      <c r="DC13" s="1292">
        <v>1</v>
      </c>
      <c r="DD13" s="1291" t="s">
        <v>6275</v>
      </c>
      <c r="DE13" s="1292">
        <v>1</v>
      </c>
      <c r="DF13" s="1291" t="s">
        <v>6315</v>
      </c>
      <c r="DG13" s="1292">
        <v>1</v>
      </c>
      <c r="DH13" s="1192" t="s">
        <v>6155</v>
      </c>
      <c r="DL13" s="1338" t="s">
        <v>6435</v>
      </c>
      <c r="DM13" s="1346" t="s">
        <v>6440</v>
      </c>
      <c r="DN13" s="1200" t="s">
        <v>6459</v>
      </c>
      <c r="DO13" s="1200">
        <v>1</v>
      </c>
      <c r="DP13" s="1200">
        <v>1</v>
      </c>
      <c r="DQ13" s="1200">
        <v>1</v>
      </c>
      <c r="DR13" s="1200">
        <v>1</v>
      </c>
      <c r="DS13" s="1767">
        <v>19</v>
      </c>
      <c r="DT13" s="1777" t="s">
        <v>2188</v>
      </c>
      <c r="DU13" s="1761" t="str">
        <f>DV13&amp;" / "&amp;DV14</f>
        <v>X remplace tous ses traits de caractère par un (seul) autre au choix de X. / Permanent.</v>
      </c>
      <c r="DV13" s="1357" t="s">
        <v>6483</v>
      </c>
      <c r="DW13" s="1757">
        <v>41</v>
      </c>
      <c r="DX13" s="1753" t="s">
        <v>6631</v>
      </c>
      <c r="DY13" s="639" t="s">
        <v>6632</v>
      </c>
      <c r="DZ13" s="1753" t="str">
        <f>DY13&amp;" / "&amp;DY14</f>
        <v>Déterminez un sort de l’alignement à RMa active que la relique lancera sur toute personne autre que son créateur / propriétaire / alignement / race de X (D10*) qui touchera la relique directement ou indirectement (déplacement, toucher avec objet, etc.).  / Permanent. Effet immédiat. Coûte 1 PdM par usage.</v>
      </c>
      <c r="EA13">
        <v>76</v>
      </c>
      <c r="EB13" s="1368"/>
      <c r="EC13" s="1367" t="s">
        <v>6677</v>
      </c>
      <c r="ED13" s="1201" t="s">
        <v>6678</v>
      </c>
      <c r="EE13" s="1210">
        <v>61</v>
      </c>
      <c r="EF13" s="1200" t="s">
        <v>6694</v>
      </c>
    </row>
    <row r="14" spans="4:140" ht="21.6" hidden="1" customHeight="1" thickBot="1">
      <c r="F14">
        <v>11</v>
      </c>
      <c r="I14" s="1160" t="s">
        <v>5255</v>
      </c>
      <c r="J14" s="1163" t="s">
        <v>5296</v>
      </c>
      <c r="O14" s="1183" t="s">
        <v>5371</v>
      </c>
      <c r="P14" s="1184" t="s">
        <v>5421</v>
      </c>
      <c r="Q14" s="1184" t="s">
        <v>5430</v>
      </c>
      <c r="AK14">
        <v>85</v>
      </c>
      <c r="AL14" s="858" t="s">
        <v>5469</v>
      </c>
      <c r="AM14">
        <v>9</v>
      </c>
      <c r="AZ14">
        <v>98</v>
      </c>
      <c r="BA14" s="1217" t="s">
        <v>5598</v>
      </c>
      <c r="BC14" s="1214" t="s">
        <v>5614</v>
      </c>
      <c r="BL14" s="1247">
        <v>72</v>
      </c>
      <c r="BM14" s="858" t="s">
        <v>5748</v>
      </c>
      <c r="BN14" s="858" t="s">
        <v>5749</v>
      </c>
      <c r="BO14" s="126" t="s">
        <v>5750</v>
      </c>
      <c r="BR14" s="1248">
        <v>40</v>
      </c>
      <c r="BS14" s="1170" t="s">
        <v>5784</v>
      </c>
      <c r="BU14" s="1169" t="s">
        <v>5810</v>
      </c>
      <c r="CN14" s="1277">
        <v>18</v>
      </c>
      <c r="CO14" s="1276" t="s">
        <v>5918</v>
      </c>
      <c r="CP14" s="1277">
        <v>31</v>
      </c>
      <c r="CQ14" s="1276" t="s">
        <v>5968</v>
      </c>
      <c r="CR14" s="1277">
        <v>21</v>
      </c>
      <c r="CS14" s="1276" t="s">
        <v>6016</v>
      </c>
      <c r="CT14">
        <v>41</v>
      </c>
      <c r="CU14" s="1293" t="s">
        <v>6089</v>
      </c>
      <c r="CV14" s="1294" t="s">
        <v>6090</v>
      </c>
      <c r="CW14" s="1295" t="s">
        <v>6091</v>
      </c>
      <c r="CY14" s="1317" t="s">
        <v>6207</v>
      </c>
      <c r="CZ14" s="1295" t="s">
        <v>6169</v>
      </c>
      <c r="DA14" s="1295">
        <v>1</v>
      </c>
      <c r="DB14" s="1296" t="s">
        <v>6236</v>
      </c>
      <c r="DC14" s="1295">
        <v>1</v>
      </c>
      <c r="DD14" s="1296" t="s">
        <v>6276</v>
      </c>
      <c r="DE14" s="1295">
        <v>3</v>
      </c>
      <c r="DF14" s="1296" t="s">
        <v>6316</v>
      </c>
      <c r="DG14" s="1295">
        <v>3</v>
      </c>
      <c r="DH14" s="858" t="s">
        <v>5894</v>
      </c>
      <c r="DL14" s="1241" t="s">
        <v>6376</v>
      </c>
      <c r="DM14" s="1340" t="s">
        <v>4238</v>
      </c>
      <c r="DN14" s="1200" t="s">
        <v>6464</v>
      </c>
      <c r="DO14" s="1200">
        <v>1</v>
      </c>
      <c r="DP14" s="1200">
        <v>1</v>
      </c>
      <c r="DQ14" s="1200">
        <v>1</v>
      </c>
      <c r="DR14" s="1200">
        <v>1</v>
      </c>
      <c r="DS14" s="1768"/>
      <c r="DT14" s="1778"/>
      <c r="DU14" s="1762"/>
      <c r="DV14" s="1358" t="s">
        <v>6475</v>
      </c>
      <c r="DW14" s="1758"/>
      <c r="DX14" s="1754"/>
      <c r="DY14" s="1351" t="s">
        <v>6633</v>
      </c>
      <c r="DZ14" s="1754"/>
      <c r="EA14">
        <v>81</v>
      </c>
      <c r="EB14" s="1272"/>
      <c r="EC14" s="1300" t="s">
        <v>6679</v>
      </c>
      <c r="ED14" s="1200" t="s">
        <v>6680</v>
      </c>
      <c r="EE14" s="1012">
        <v>66</v>
      </c>
      <c r="EF14" s="858" t="s">
        <v>6695</v>
      </c>
    </row>
    <row r="15" spans="4:140" ht="21.6" hidden="1" customHeight="1" thickBot="1">
      <c r="F15">
        <v>12</v>
      </c>
      <c r="I15" s="1161" t="s">
        <v>5256</v>
      </c>
      <c r="J15" s="1164" t="s">
        <v>5297</v>
      </c>
      <c r="O15" s="1184" t="s">
        <v>5372</v>
      </c>
      <c r="AK15">
        <v>89</v>
      </c>
      <c r="AL15" s="858" t="s">
        <v>4283</v>
      </c>
      <c r="AM15">
        <v>12</v>
      </c>
      <c r="AZ15">
        <v>100</v>
      </c>
      <c r="BA15" s="1217" t="s">
        <v>5599</v>
      </c>
      <c r="BC15" s="1221" t="s">
        <v>2474</v>
      </c>
      <c r="BL15" s="1246">
        <v>75</v>
      </c>
      <c r="BM15" s="1192" t="s">
        <v>5751</v>
      </c>
      <c r="BN15" s="1192" t="s">
        <v>5752</v>
      </c>
      <c r="BO15" s="1205" t="s">
        <v>5753</v>
      </c>
      <c r="BR15" s="1248">
        <v>43</v>
      </c>
      <c r="BS15" s="1205" t="s">
        <v>5788</v>
      </c>
      <c r="BU15" s="1192" t="s">
        <v>5813</v>
      </c>
      <c r="CN15" s="1274">
        <v>20</v>
      </c>
      <c r="CO15" s="1275" t="s">
        <v>5919</v>
      </c>
      <c r="CP15" s="1279">
        <v>34</v>
      </c>
      <c r="CQ15" s="1278" t="s">
        <v>5969</v>
      </c>
      <c r="CR15" s="1281">
        <v>24</v>
      </c>
      <c r="CS15" s="1280" t="s">
        <v>6017</v>
      </c>
      <c r="CT15">
        <v>44</v>
      </c>
      <c r="CU15" s="1296" t="s">
        <v>6092</v>
      </c>
      <c r="CV15" s="1295" t="s">
        <v>6093</v>
      </c>
      <c r="CW15" s="1295" t="s">
        <v>6094</v>
      </c>
      <c r="CY15" s="1317" t="s">
        <v>6208</v>
      </c>
      <c r="CZ15" s="1295" t="s">
        <v>6170</v>
      </c>
      <c r="DA15" s="1295">
        <v>1</v>
      </c>
      <c r="DB15" s="1296" t="s">
        <v>6237</v>
      </c>
      <c r="DC15" s="1295">
        <v>5</v>
      </c>
      <c r="DD15" s="1296" t="s">
        <v>6277</v>
      </c>
      <c r="DE15" s="1295">
        <v>1</v>
      </c>
      <c r="DF15" s="1296" t="s">
        <v>6317</v>
      </c>
      <c r="DG15" s="1295">
        <v>1</v>
      </c>
      <c r="DH15" s="1192" t="s">
        <v>6446</v>
      </c>
      <c r="DL15" s="1329" t="s">
        <v>6376</v>
      </c>
      <c r="DM15" s="1341" t="s">
        <v>4238</v>
      </c>
      <c r="DN15" s="1200" t="s">
        <v>6453</v>
      </c>
      <c r="DO15" s="1200">
        <v>1</v>
      </c>
      <c r="DP15" s="1200">
        <v>2</v>
      </c>
      <c r="DQ15" s="1200">
        <v>3</v>
      </c>
      <c r="DR15" s="1200">
        <v>4</v>
      </c>
      <c r="DS15" s="1708">
        <v>20</v>
      </c>
      <c r="DT15" s="1765" t="s">
        <v>6484</v>
      </c>
      <c r="DU15" s="1761" t="str">
        <f t="shared" ref="DU15" si="1">DV15&amp;" / "&amp;DV16</f>
        <v>Bonus général de +NE pour X.  / Permanent.</v>
      </c>
      <c r="DV15" s="1359" t="s">
        <v>6485</v>
      </c>
      <c r="DW15" s="1769">
        <v>61</v>
      </c>
      <c r="DX15" s="1771" t="s">
        <v>6634</v>
      </c>
      <c r="DY15" s="1352" t="s">
        <v>6635</v>
      </c>
      <c r="DZ15" s="1753" t="str">
        <f>DY15&amp;" / "&amp;DY16</f>
        <v>X gagne Détection Magie +RMa. Tout teste réussi donne Alignement, Foi, type de magie, NEM et NE.  / Permanent. NE fois par jour. Distance RMa mètres.</v>
      </c>
      <c r="EA15">
        <v>91</v>
      </c>
      <c r="EB15" s="1368"/>
      <c r="EC15" s="1367" t="s">
        <v>6681</v>
      </c>
      <c r="ED15" s="1201" t="s">
        <v>6682</v>
      </c>
      <c r="EE15" s="1210">
        <v>76</v>
      </c>
      <c r="EF15" s="1200" t="s">
        <v>6696</v>
      </c>
    </row>
    <row r="16" spans="4:140" ht="21.6" hidden="1" customHeight="1" thickBot="1">
      <c r="F16">
        <v>13</v>
      </c>
      <c r="I16" s="1162" t="s">
        <v>5257</v>
      </c>
      <c r="J16" s="1165" t="s">
        <v>5298</v>
      </c>
      <c r="O16" s="1185" t="s">
        <v>5373</v>
      </c>
      <c r="AK16">
        <v>92</v>
      </c>
      <c r="AL16" s="1191" t="s">
        <v>5524</v>
      </c>
      <c r="AM16">
        <v>4</v>
      </c>
      <c r="BC16" s="1221" t="s">
        <v>5615</v>
      </c>
      <c r="BL16" s="1247">
        <v>81</v>
      </c>
      <c r="BM16" s="858" t="s">
        <v>5754</v>
      </c>
      <c r="BN16" s="858" t="s">
        <v>5736</v>
      </c>
      <c r="BO16" s="126" t="s">
        <v>5750</v>
      </c>
      <c r="BR16" s="1248">
        <v>46</v>
      </c>
      <c r="BS16" s="126" t="s">
        <v>5790</v>
      </c>
      <c r="BU16" s="858" t="s">
        <v>5817</v>
      </c>
      <c r="CN16" s="1277">
        <v>21</v>
      </c>
      <c r="CO16" s="1276" t="s">
        <v>5920</v>
      </c>
      <c r="CP16" s="1277">
        <v>38</v>
      </c>
      <c r="CQ16" s="1276" t="s">
        <v>5970</v>
      </c>
      <c r="CR16" s="1277">
        <v>25</v>
      </c>
      <c r="CS16" s="1276" t="s">
        <v>6018</v>
      </c>
      <c r="CT16">
        <v>47</v>
      </c>
      <c r="CU16" s="1296" t="s">
        <v>6095</v>
      </c>
      <c r="CV16" s="1295" t="s">
        <v>2067</v>
      </c>
      <c r="CW16" s="1295" t="s">
        <v>6096</v>
      </c>
      <c r="CY16" s="1317" t="s">
        <v>6209</v>
      </c>
      <c r="CZ16" s="1295" t="s">
        <v>6171</v>
      </c>
      <c r="DA16" s="1295">
        <v>1</v>
      </c>
      <c r="DB16" s="1296" t="s">
        <v>6238</v>
      </c>
      <c r="DC16" s="1295">
        <v>3</v>
      </c>
      <c r="DD16" s="1296" t="s">
        <v>6278</v>
      </c>
      <c r="DE16" s="1295">
        <v>3</v>
      </c>
      <c r="DF16" s="1296" t="s">
        <v>6318</v>
      </c>
      <c r="DG16" s="1295">
        <v>1</v>
      </c>
      <c r="DH16" s="1169" t="s">
        <v>6351</v>
      </c>
      <c r="DL16" s="1237" t="s">
        <v>6385</v>
      </c>
      <c r="DM16" s="1342" t="s">
        <v>4193</v>
      </c>
      <c r="DN16" s="858" t="s">
        <v>6450</v>
      </c>
      <c r="DO16" s="858">
        <v>1</v>
      </c>
      <c r="DP16" s="858">
        <v>2</v>
      </c>
      <c r="DQ16" s="858">
        <v>2</v>
      </c>
      <c r="DR16" s="858">
        <v>3</v>
      </c>
      <c r="DS16" s="1709"/>
      <c r="DT16" s="1766"/>
      <c r="DU16" s="1762"/>
      <c r="DV16" s="1356" t="s">
        <v>6486</v>
      </c>
      <c r="DW16" s="1770"/>
      <c r="DX16" s="1772"/>
      <c r="DY16" s="1353" t="s">
        <v>6636</v>
      </c>
      <c r="DZ16" s="1754"/>
      <c r="EA16">
        <v>96</v>
      </c>
      <c r="EB16" s="1272"/>
      <c r="EC16" s="1300" t="s">
        <v>6683</v>
      </c>
      <c r="ED16" s="1200" t="s">
        <v>6684</v>
      </c>
      <c r="EE16" s="1012">
        <v>89</v>
      </c>
      <c r="EF16" s="858" t="s">
        <v>6697</v>
      </c>
    </row>
    <row r="17" spans="6:136" ht="21.6" hidden="1" customHeight="1" thickBot="1">
      <c r="F17">
        <v>14</v>
      </c>
      <c r="I17" s="1161" t="s">
        <v>5258</v>
      </c>
      <c r="J17" s="1164" t="s">
        <v>5299</v>
      </c>
      <c r="O17" s="1184" t="s">
        <v>5374</v>
      </c>
      <c r="AK17">
        <v>95</v>
      </c>
      <c r="AL17" s="1192" t="s">
        <v>3955</v>
      </c>
      <c r="AM17">
        <v>8</v>
      </c>
      <c r="BC17" s="1221" t="s">
        <v>5616</v>
      </c>
      <c r="BL17" s="1246">
        <v>85</v>
      </c>
      <c r="BM17" s="1192" t="s">
        <v>4644</v>
      </c>
      <c r="BN17" s="1192" t="s">
        <v>5755</v>
      </c>
      <c r="BO17" s="1205" t="s">
        <v>5756</v>
      </c>
      <c r="BR17" s="1248">
        <v>49</v>
      </c>
      <c r="BS17" s="1205" t="s">
        <v>5794</v>
      </c>
      <c r="BU17" s="1192" t="s">
        <v>5821</v>
      </c>
      <c r="CN17" s="1274">
        <v>23</v>
      </c>
      <c r="CO17" s="1275" t="s">
        <v>5921</v>
      </c>
      <c r="CP17" s="1279">
        <v>40</v>
      </c>
      <c r="CQ17" s="1278" t="s">
        <v>5971</v>
      </c>
      <c r="CR17" s="1281">
        <v>27</v>
      </c>
      <c r="CS17" s="1280" t="s">
        <v>6019</v>
      </c>
      <c r="CT17">
        <v>50</v>
      </c>
      <c r="CU17" s="1296" t="s">
        <v>6097</v>
      </c>
      <c r="CV17" s="1295" t="s">
        <v>6098</v>
      </c>
      <c r="CW17" s="1295" t="s">
        <v>6099</v>
      </c>
      <c r="CY17" s="1317" t="s">
        <v>301</v>
      </c>
      <c r="CZ17" s="1295" t="s">
        <v>6172</v>
      </c>
      <c r="DA17" s="1295">
        <v>1</v>
      </c>
      <c r="DB17" s="1296" t="s">
        <v>6239</v>
      </c>
      <c r="DC17" s="1295">
        <v>1</v>
      </c>
      <c r="DD17" s="1296" t="s">
        <v>6279</v>
      </c>
      <c r="DE17" s="1295">
        <v>1</v>
      </c>
      <c r="DF17" s="1296" t="s">
        <v>6319</v>
      </c>
      <c r="DG17" s="1295">
        <v>3</v>
      </c>
      <c r="DH17" s="1192" t="s">
        <v>6354</v>
      </c>
      <c r="DL17" s="1237" t="s">
        <v>6395</v>
      </c>
      <c r="DM17" s="1342" t="s">
        <v>4193</v>
      </c>
      <c r="DN17" s="1200" t="s">
        <v>6451</v>
      </c>
      <c r="DO17" s="1200">
        <v>1</v>
      </c>
      <c r="DP17" s="1200">
        <v>1</v>
      </c>
      <c r="DQ17" s="1200">
        <v>1</v>
      </c>
      <c r="DR17" s="1200">
        <v>1</v>
      </c>
      <c r="DS17" s="1767">
        <v>23</v>
      </c>
      <c r="DT17" s="1777" t="s">
        <v>6487</v>
      </c>
      <c r="DU17" s="1761" t="str">
        <f t="shared" ref="DU17" si="2">DV17&amp;" / "&amp;DV18</f>
        <v>Permet de contrôler (activer/désactiver) les propriétés de NE focus connus et situés à moins de NEMx10m de X. Durée de désactivation = RMa phases. / NE/2 usages par jour. Test sur EM(Inu)x1.</v>
      </c>
      <c r="DV17" s="1357" t="s">
        <v>6488</v>
      </c>
      <c r="DW17" s="1757">
        <v>66</v>
      </c>
      <c r="DX17" s="1753" t="s">
        <v>1854</v>
      </c>
      <c r="DY17" s="639" t="s">
        <v>6637</v>
      </c>
      <c r="DZ17" s="1753" t="str">
        <f>DY17&amp;" / "&amp;DY18</f>
        <v>X teste chaque jour, à son réveil, sa V(Res)-RMa(relique), en cas d’échec alors +1 Foi si même alignement que la relique, maximum NEM(relique)x10 ou -1 Foi si différent (minimum 10).  / Permanent.</v>
      </c>
      <c r="EE17" s="1210">
        <v>91</v>
      </c>
      <c r="EF17" s="1200" t="s">
        <v>5206</v>
      </c>
    </row>
    <row r="18" spans="6:136" ht="21.6" hidden="1" customHeight="1" thickBot="1">
      <c r="F18">
        <v>15</v>
      </c>
      <c r="I18" s="1162" t="s">
        <v>5259</v>
      </c>
      <c r="J18" s="1165" t="s">
        <v>5300</v>
      </c>
      <c r="O18" s="1185" t="s">
        <v>5375</v>
      </c>
      <c r="AK18">
        <v>98</v>
      </c>
      <c r="AL18" s="1192" t="s">
        <v>5525</v>
      </c>
      <c r="AM18">
        <v>12</v>
      </c>
      <c r="BC18" s="1221" t="s">
        <v>5617</v>
      </c>
      <c r="BL18" s="1247">
        <v>90</v>
      </c>
      <c r="BM18" s="858" t="s">
        <v>871</v>
      </c>
      <c r="BN18" s="858" t="s">
        <v>5757</v>
      </c>
      <c r="BO18" s="126" t="s">
        <v>5758</v>
      </c>
      <c r="BR18" s="1248">
        <v>52</v>
      </c>
      <c r="BS18" s="126" t="s">
        <v>5796</v>
      </c>
      <c r="BU18" s="858" t="s">
        <v>5668</v>
      </c>
      <c r="CN18" s="1277">
        <v>24</v>
      </c>
      <c r="CO18" s="1276" t="s">
        <v>5922</v>
      </c>
      <c r="CP18" s="1277">
        <v>41</v>
      </c>
      <c r="CQ18" s="1276" t="s">
        <v>5972</v>
      </c>
      <c r="CR18" s="1282">
        <v>30</v>
      </c>
      <c r="CS18" s="1283" t="s">
        <v>6020</v>
      </c>
      <c r="CT18">
        <v>53</v>
      </c>
      <c r="CU18" s="1296" t="s">
        <v>6100</v>
      </c>
      <c r="CV18" s="1295" t="s">
        <v>6101</v>
      </c>
      <c r="CW18" s="1294" t="s">
        <v>6102</v>
      </c>
      <c r="CY18" s="1317" t="s">
        <v>6210</v>
      </c>
      <c r="CZ18" s="1295" t="s">
        <v>6173</v>
      </c>
      <c r="DA18" s="1295">
        <v>1</v>
      </c>
      <c r="DB18" s="1296" t="s">
        <v>6240</v>
      </c>
      <c r="DC18" s="1295">
        <v>3</v>
      </c>
      <c r="DD18" s="1296" t="s">
        <v>6280</v>
      </c>
      <c r="DE18" s="1295">
        <v>1</v>
      </c>
      <c r="DF18" s="1296" t="s">
        <v>6320</v>
      </c>
      <c r="DG18" s="1295">
        <v>5</v>
      </c>
      <c r="DH18" s="858" t="s">
        <v>6356</v>
      </c>
      <c r="DL18" s="1332" t="s">
        <v>6405</v>
      </c>
      <c r="DM18" s="1343" t="s">
        <v>4001</v>
      </c>
      <c r="DN18" s="858" t="s">
        <v>6452</v>
      </c>
      <c r="DO18" s="858">
        <v>1</v>
      </c>
      <c r="DP18" s="858">
        <v>1</v>
      </c>
      <c r="DQ18" s="858">
        <v>2</v>
      </c>
      <c r="DR18" s="858">
        <v>3</v>
      </c>
      <c r="DS18" s="1768"/>
      <c r="DT18" s="1778"/>
      <c r="DU18" s="1762"/>
      <c r="DV18" s="1358" t="s">
        <v>6489</v>
      </c>
      <c r="DW18" s="1758"/>
      <c r="DX18" s="1754"/>
      <c r="DY18" s="1351" t="s">
        <v>6475</v>
      </c>
      <c r="DZ18" s="1754"/>
      <c r="EC18" s="1248"/>
    </row>
    <row r="19" spans="6:136" ht="21.6" hidden="1" customHeight="1" thickBot="1">
      <c r="F19">
        <v>16</v>
      </c>
      <c r="I19" s="1161" t="s">
        <v>5260</v>
      </c>
      <c r="J19" s="1164" t="s">
        <v>5301</v>
      </c>
      <c r="O19" s="1184" t="s">
        <v>5376</v>
      </c>
      <c r="AK19">
        <v>100</v>
      </c>
      <c r="AL19" s="1192" t="s">
        <v>5526</v>
      </c>
      <c r="AM19">
        <v>16</v>
      </c>
      <c r="BC19" s="1221" t="s">
        <v>5618</v>
      </c>
      <c r="BL19" s="1246">
        <v>94</v>
      </c>
      <c r="BM19" s="1192" t="s">
        <v>5759</v>
      </c>
      <c r="BN19" s="1192" t="s">
        <v>5760</v>
      </c>
      <c r="BO19" s="1205" t="s">
        <v>5761</v>
      </c>
      <c r="BR19" s="1248">
        <v>55</v>
      </c>
      <c r="BS19" s="1205" t="s">
        <v>5799</v>
      </c>
      <c r="BU19" s="1192" t="s">
        <v>5828</v>
      </c>
      <c r="CN19" s="1274">
        <v>26</v>
      </c>
      <c r="CO19" s="1275" t="s">
        <v>5923</v>
      </c>
      <c r="CP19" s="1279">
        <v>43</v>
      </c>
      <c r="CQ19" s="1278" t="s">
        <v>5973</v>
      </c>
      <c r="CR19" s="1281">
        <v>32</v>
      </c>
      <c r="CS19" s="1280" t="s">
        <v>6021</v>
      </c>
      <c r="CT19">
        <v>56</v>
      </c>
      <c r="CU19" s="1296" t="s">
        <v>6103</v>
      </c>
      <c r="CV19" s="1295" t="s">
        <v>2056</v>
      </c>
      <c r="CW19" s="1295" t="s">
        <v>6104</v>
      </c>
      <c r="CY19" s="1317" t="s">
        <v>6211</v>
      </c>
      <c r="CZ19" s="1295" t="s">
        <v>6174</v>
      </c>
      <c r="DA19" s="1295">
        <v>3</v>
      </c>
      <c r="DB19" s="1296" t="s">
        <v>6241</v>
      </c>
      <c r="DC19" s="1295">
        <v>1</v>
      </c>
      <c r="DD19" s="1296" t="s">
        <v>6281</v>
      </c>
      <c r="DE19" s="1295">
        <v>1</v>
      </c>
      <c r="DF19" s="1296" t="s">
        <v>6321</v>
      </c>
      <c r="DG19" s="1295">
        <v>3</v>
      </c>
      <c r="DH19" s="1192" t="s">
        <v>6359</v>
      </c>
      <c r="DL19" s="1334" t="s">
        <v>6411</v>
      </c>
      <c r="DM19" s="1344" t="s">
        <v>4105</v>
      </c>
      <c r="DN19" s="858" t="s">
        <v>6454</v>
      </c>
      <c r="DO19" s="858">
        <v>0</v>
      </c>
      <c r="DP19" s="858">
        <v>0</v>
      </c>
      <c r="DQ19" s="858">
        <v>0</v>
      </c>
      <c r="DR19" s="858">
        <v>0</v>
      </c>
      <c r="DS19" s="1708">
        <v>24</v>
      </c>
      <c r="DT19" s="1765" t="s">
        <v>6490</v>
      </c>
      <c r="DU19" s="1761" t="str">
        <f t="shared" ref="DU19" si="3">DV19&amp;" / "&amp;DV20</f>
        <v>Permet de communiquer avec une race [animal/créature Monde Humain/créature Monde Ancien/créature Monde Divin] (D10*). Déterminer le mode de communication parole/ signe/pensée (d3). Donne 1 ExT à chaque réussite si langue parlée existe.  / Sort DS1. Durée=NEx5 phases. Distance NEx5m. RMa active.</v>
      </c>
      <c r="DV19" s="1359" t="s">
        <v>6491</v>
      </c>
      <c r="DW19" s="1769">
        <v>74</v>
      </c>
      <c r="DX19" s="1771" t="s">
        <v>4645</v>
      </c>
      <c r="DY19" s="1352" t="s">
        <v>6638</v>
      </c>
      <c r="DZ19" s="1753" t="str">
        <f>DY19&amp;" / "&amp;DY20</f>
        <v>X agit selon un trait de caractère déterminé au hasard correspondant à l’alignement de la relique, voir MdJ. Ce trait s’ajoute aux autres ou les remplace si opposé. À chaque fois que X agit contre ce trait de caractère, il perd NEM(relique) EN. / Permanent.</v>
      </c>
      <c r="EC19" s="1248"/>
    </row>
    <row r="20" spans="6:136" ht="21.6" hidden="1" customHeight="1" thickBot="1">
      <c r="F20">
        <v>17</v>
      </c>
      <c r="I20" s="1162" t="s">
        <v>5261</v>
      </c>
      <c r="J20" s="1165" t="s">
        <v>5302</v>
      </c>
      <c r="O20" s="1185" t="s">
        <v>5377</v>
      </c>
      <c r="BC20" s="1221" t="s">
        <v>5619</v>
      </c>
      <c r="BL20" s="1247">
        <v>97</v>
      </c>
      <c r="BM20" s="858" t="s">
        <v>5762</v>
      </c>
      <c r="BN20" s="858" t="s">
        <v>5763</v>
      </c>
      <c r="BO20" s="126" t="s">
        <v>5764</v>
      </c>
      <c r="BR20" s="1248">
        <v>58</v>
      </c>
      <c r="BS20" s="126" t="s">
        <v>2792</v>
      </c>
      <c r="BU20" s="858" t="s">
        <v>5832</v>
      </c>
      <c r="CN20" s="1277">
        <v>29</v>
      </c>
      <c r="CO20" s="1276" t="s">
        <v>5924</v>
      </c>
      <c r="CP20" s="1277">
        <v>44</v>
      </c>
      <c r="CQ20" s="1276" t="s">
        <v>5974</v>
      </c>
      <c r="CR20" s="1282">
        <v>34</v>
      </c>
      <c r="CS20" s="1283" t="s">
        <v>6022</v>
      </c>
      <c r="CT20">
        <v>59</v>
      </c>
      <c r="CU20" s="1296" t="s">
        <v>6105</v>
      </c>
      <c r="CV20" s="1295" t="s">
        <v>6106</v>
      </c>
      <c r="CW20" s="1294" t="s">
        <v>6107</v>
      </c>
      <c r="CY20" s="1317" t="s">
        <v>6212</v>
      </c>
      <c r="CZ20" s="1295" t="s">
        <v>6175</v>
      </c>
      <c r="DA20" s="1295">
        <v>1</v>
      </c>
      <c r="DB20" s="1296" t="s">
        <v>6242</v>
      </c>
      <c r="DC20" s="1295">
        <v>1</v>
      </c>
      <c r="DD20" s="1296" t="s">
        <v>6282</v>
      </c>
      <c r="DE20" s="1295">
        <v>1</v>
      </c>
      <c r="DF20" s="1296" t="s">
        <v>6322</v>
      </c>
      <c r="DG20" s="1295">
        <v>5</v>
      </c>
      <c r="DL20" s="1334" t="s">
        <v>6418</v>
      </c>
      <c r="DM20" s="1344" t="s">
        <v>4105</v>
      </c>
      <c r="DS20" s="1709"/>
      <c r="DT20" s="1766"/>
      <c r="DU20" s="1762"/>
      <c r="DV20" s="1356" t="s">
        <v>6492</v>
      </c>
      <c r="DW20" s="1770"/>
      <c r="DX20" s="1772"/>
      <c r="DY20" s="1353" t="s">
        <v>6475</v>
      </c>
      <c r="DZ20" s="1754"/>
    </row>
    <row r="21" spans="6:136" ht="21.6" hidden="1" customHeight="1" thickBot="1">
      <c r="F21">
        <v>18</v>
      </c>
      <c r="I21" s="1161" t="s">
        <v>5262</v>
      </c>
      <c r="J21" s="1164" t="s">
        <v>5303</v>
      </c>
      <c r="O21" s="1184" t="s">
        <v>5378</v>
      </c>
      <c r="BC21" s="1221" t="s">
        <v>5620</v>
      </c>
      <c r="BL21" s="1246">
        <v>99</v>
      </c>
      <c r="BM21" s="1192" t="s">
        <v>5765</v>
      </c>
      <c r="BN21" s="1192" t="s">
        <v>5766</v>
      </c>
      <c r="BO21" s="1205" t="s">
        <v>5767</v>
      </c>
      <c r="BR21" s="1248">
        <v>61</v>
      </c>
      <c r="BS21" s="1205" t="s">
        <v>5793</v>
      </c>
      <c r="BU21" s="1192" t="s">
        <v>5836</v>
      </c>
      <c r="CN21" s="1274">
        <v>30</v>
      </c>
      <c r="CO21" s="1275" t="s">
        <v>5925</v>
      </c>
      <c r="CP21" s="1279">
        <v>46</v>
      </c>
      <c r="CQ21" s="1278" t="s">
        <v>5975</v>
      </c>
      <c r="CR21" s="1281">
        <v>35</v>
      </c>
      <c r="CS21" s="1280" t="s">
        <v>6023</v>
      </c>
      <c r="CT21">
        <v>62</v>
      </c>
      <c r="CU21" s="1296" t="s">
        <v>6108</v>
      </c>
      <c r="CV21" s="1295" t="s">
        <v>6109</v>
      </c>
      <c r="CW21" s="1294" t="s">
        <v>6110</v>
      </c>
      <c r="CY21" s="1317" t="s">
        <v>6213</v>
      </c>
      <c r="CZ21" s="1295" t="s">
        <v>6176</v>
      </c>
      <c r="DA21" s="1295">
        <v>3</v>
      </c>
      <c r="DB21" s="1296" t="s">
        <v>6243</v>
      </c>
      <c r="DC21" s="1295">
        <v>1</v>
      </c>
      <c r="DD21" s="1296" t="s">
        <v>6283</v>
      </c>
      <c r="DE21" s="1295">
        <v>1</v>
      </c>
      <c r="DF21" s="1296" t="s">
        <v>6323</v>
      </c>
      <c r="DG21" s="1295">
        <v>1</v>
      </c>
      <c r="DL21" s="1211" t="s">
        <v>6420</v>
      </c>
      <c r="DM21" s="1210" t="s">
        <v>3953</v>
      </c>
      <c r="DS21" s="1767">
        <v>27</v>
      </c>
      <c r="DT21" s="1362" t="s">
        <v>6493</v>
      </c>
      <c r="DU21" s="1761" t="str">
        <f t="shared" ref="DU21" si="4">DV21&amp;" / "&amp;DV22</f>
        <v>Permet de communiquer mentalement avec des êtres en vue, NE/3 conversations parallèles. Envoi d’images et d’impressions mais pas de mots. Peut percevoir des émotions si cible rate V(res)x1, 1x/tour, test à la demande.  / Sort DS3. Durée=NEx10 phases. Distance NEx10m. RMa active.</v>
      </c>
      <c r="DV21" s="1357" t="s">
        <v>6495</v>
      </c>
      <c r="DW21" s="1757">
        <v>76</v>
      </c>
      <c r="DX21" s="1753" t="s">
        <v>6639</v>
      </c>
      <c r="DY21" s="639" t="s">
        <v>6640</v>
      </c>
      <c r="DZ21" s="1753" t="str">
        <f>DY21&amp;" / "&amp;DY22</f>
        <v>X ne peut se débarrasser de la relique et cherchera tout le temps à la retrouver si perdue. X teste Em(Inu) x1 pour deviner cela avant de s’emparer de l’objet. La relique permet d’utiliser un sort au hasard de l’alignement de la relique, en magie innée mais X perd 1 EN permanent par usage. Pour se libérer de la malédiction, il doit y avoir une quête faisable à accomplir, liée à l’histoire de la relique (voir MdJ).  / Permanent.</v>
      </c>
    </row>
    <row r="22" spans="6:136" ht="21.6" hidden="1" customHeight="1" thickBot="1">
      <c r="F22">
        <v>19</v>
      </c>
      <c r="I22" s="1162" t="s">
        <v>5263</v>
      </c>
      <c r="J22" s="1165" t="s">
        <v>5304</v>
      </c>
      <c r="O22" s="1185" t="s">
        <v>5379</v>
      </c>
      <c r="BC22" s="1221" t="s">
        <v>5621</v>
      </c>
      <c r="BL22" s="1247">
        <v>100</v>
      </c>
      <c r="BM22" s="858" t="s">
        <v>5768</v>
      </c>
      <c r="BN22" s="858" t="s">
        <v>5769</v>
      </c>
      <c r="BO22" s="126" t="s">
        <v>5770</v>
      </c>
      <c r="BR22" s="1248">
        <v>64</v>
      </c>
      <c r="BS22" s="126" t="s">
        <v>5788</v>
      </c>
      <c r="BU22" s="858" t="s">
        <v>1928</v>
      </c>
      <c r="CN22" s="1277">
        <v>31</v>
      </c>
      <c r="CO22" s="1276" t="s">
        <v>5926</v>
      </c>
      <c r="CP22" s="1277">
        <v>47</v>
      </c>
      <c r="CQ22" s="1276" t="s">
        <v>5976</v>
      </c>
      <c r="CR22" s="1282">
        <v>39</v>
      </c>
      <c r="CS22" s="1283" t="s">
        <v>6024</v>
      </c>
      <c r="CT22">
        <v>65</v>
      </c>
      <c r="CU22" s="1296" t="s">
        <v>6111</v>
      </c>
      <c r="CV22" s="1295" t="s">
        <v>6112</v>
      </c>
      <c r="CW22" s="1295" t="s">
        <v>6113</v>
      </c>
      <c r="CY22" s="1317" t="s">
        <v>6214</v>
      </c>
      <c r="CZ22" s="1295" t="s">
        <v>6177</v>
      </c>
      <c r="DA22" s="1295">
        <v>1</v>
      </c>
      <c r="DB22" s="1296" t="s">
        <v>6244</v>
      </c>
      <c r="DC22" s="1295">
        <v>1</v>
      </c>
      <c r="DD22" s="1296" t="s">
        <v>6284</v>
      </c>
      <c r="DE22" s="1295">
        <v>3</v>
      </c>
      <c r="DF22" s="1296" t="s">
        <v>6324</v>
      </c>
      <c r="DG22" s="1295">
        <v>1</v>
      </c>
      <c r="DL22" s="1337" t="s">
        <v>6428</v>
      </c>
      <c r="DM22" s="1345" t="s">
        <v>6439</v>
      </c>
      <c r="DS22" s="1768"/>
      <c r="DT22" s="1300" t="s">
        <v>6494</v>
      </c>
      <c r="DU22" s="1762"/>
      <c r="DV22" s="1358" t="s">
        <v>6496</v>
      </c>
      <c r="DW22" s="1758"/>
      <c r="DX22" s="1754"/>
      <c r="DY22" s="1351" t="s">
        <v>6475</v>
      </c>
      <c r="DZ22" s="1754"/>
    </row>
    <row r="23" spans="6:136" ht="21.6" hidden="1" customHeight="1" thickBot="1">
      <c r="F23">
        <v>20</v>
      </c>
      <c r="I23" s="1161" t="s">
        <v>5264</v>
      </c>
      <c r="J23" s="1164" t="s">
        <v>5305</v>
      </c>
      <c r="O23" s="1184" t="s">
        <v>5380</v>
      </c>
      <c r="BC23" s="1221" t="s">
        <v>5622</v>
      </c>
      <c r="BR23" s="1248">
        <v>67</v>
      </c>
      <c r="BS23" s="1205" t="s">
        <v>5790</v>
      </c>
      <c r="BU23" s="1192" t="s">
        <v>5840</v>
      </c>
      <c r="CN23" s="1274">
        <v>32</v>
      </c>
      <c r="CO23" s="1275" t="s">
        <v>5927</v>
      </c>
      <c r="CP23" s="1279">
        <v>50</v>
      </c>
      <c r="CQ23" s="1278" t="s">
        <v>5977</v>
      </c>
      <c r="CR23" s="1281">
        <v>43</v>
      </c>
      <c r="CS23" s="1280" t="s">
        <v>6025</v>
      </c>
      <c r="CT23">
        <v>68</v>
      </c>
      <c r="CU23" s="1297" t="s">
        <v>6114</v>
      </c>
      <c r="CV23" s="1298" t="s">
        <v>6115</v>
      </c>
      <c r="CW23" s="1298" t="s">
        <v>6116</v>
      </c>
      <c r="CY23" s="1318" t="s">
        <v>6215</v>
      </c>
      <c r="CZ23" s="1298" t="s">
        <v>6178</v>
      </c>
      <c r="DA23" s="1298">
        <v>1</v>
      </c>
      <c r="DB23" s="1297" t="s">
        <v>6245</v>
      </c>
      <c r="DC23" s="1298">
        <v>3</v>
      </c>
      <c r="DD23" s="1297" t="s">
        <v>6285</v>
      </c>
      <c r="DE23" s="1298">
        <v>5</v>
      </c>
      <c r="DF23" s="1297" t="s">
        <v>6325</v>
      </c>
      <c r="DG23" s="1298">
        <v>1</v>
      </c>
      <c r="DL23" s="1339" t="s">
        <v>55</v>
      </c>
      <c r="DM23" s="1346" t="s">
        <v>6440</v>
      </c>
      <c r="DS23" s="1708">
        <v>30</v>
      </c>
      <c r="DT23" s="1354" t="s">
        <v>6493</v>
      </c>
      <c r="DU23" s="1761" t="str">
        <f t="shared" ref="DU23" si="5">DV23&amp;" / "&amp;DV24</f>
        <v>Permet de sonder une cible animée ou non, une à la fois. De connaître son alignement, ses pouvoirs, capacités et ses talents à NE&gt;40. La cible doit être connue et avoir été rencontrée au moins une fois, et avoir Divin=0.  / NE usages par jour. Durée = NE phases. Distance NEx10m. RMa active.</v>
      </c>
      <c r="DV23" s="1359" t="s">
        <v>6498</v>
      </c>
      <c r="DW23" s="1769">
        <v>81</v>
      </c>
      <c r="DX23" s="1771" t="s">
        <v>6641</v>
      </c>
      <c r="DY23" s="1352" t="s">
        <v>6642</v>
      </c>
      <c r="DZ23" s="1753" t="str">
        <f>DY23&amp;" / "&amp;DY24</f>
        <v>Déterminer au hasard une race humain/ancienne/créature/animale (D10*). Bonus TC &amp; VO +NE(relique) dans les situations de conflit contre cette race. But de la relique : détruire tous les êtres de la race cible. Réduit de moitié les immunités, RMa et VD de la race cible contre les attaques de la relique. X peut ressentir leur présence à RMa x2m, une fois par heure, comme avec le sort Détection, coût = 2 PdM.  / Permanent.</v>
      </c>
    </row>
    <row r="24" spans="6:136" ht="21.6" hidden="1" customHeight="1" thickBot="1">
      <c r="F24">
        <v>21</v>
      </c>
      <c r="I24" s="1160" t="s">
        <v>5255</v>
      </c>
      <c r="J24" s="1163" t="s">
        <v>5296</v>
      </c>
      <c r="O24" s="1183" t="s">
        <v>5371</v>
      </c>
      <c r="BC24" s="1012" t="s">
        <v>5623</v>
      </c>
      <c r="BR24" s="1248">
        <v>70</v>
      </c>
      <c r="BS24" s="1170" t="s">
        <v>5785</v>
      </c>
      <c r="BU24" s="1169" t="s">
        <v>5811</v>
      </c>
      <c r="CN24" s="1277">
        <v>36</v>
      </c>
      <c r="CO24" s="1276" t="s">
        <v>5928</v>
      </c>
      <c r="CP24" s="1277">
        <v>52</v>
      </c>
      <c r="CQ24" s="1276" t="s">
        <v>5978</v>
      </c>
      <c r="CR24" s="1282">
        <v>44</v>
      </c>
      <c r="CS24" s="1283" t="s">
        <v>6026</v>
      </c>
      <c r="CT24">
        <v>71</v>
      </c>
      <c r="CU24" s="1299" t="s">
        <v>6117</v>
      </c>
      <c r="CV24" s="1300" t="s">
        <v>6118</v>
      </c>
      <c r="CW24" s="1200" t="s">
        <v>6119</v>
      </c>
      <c r="CY24" s="1319" t="s">
        <v>6216</v>
      </c>
      <c r="CZ24" s="1200" t="s">
        <v>6179</v>
      </c>
      <c r="DA24" s="1200">
        <v>1</v>
      </c>
      <c r="DB24" s="1210" t="s">
        <v>6246</v>
      </c>
      <c r="DC24" s="1200">
        <v>5</v>
      </c>
      <c r="DD24" s="1210" t="s">
        <v>6286</v>
      </c>
      <c r="DE24" s="1200">
        <v>1</v>
      </c>
      <c r="DF24" s="1210" t="s">
        <v>6326</v>
      </c>
      <c r="DG24" s="1200">
        <v>1</v>
      </c>
      <c r="DL24" s="1241" t="s">
        <v>6377</v>
      </c>
      <c r="DM24" s="1340" t="s">
        <v>4238</v>
      </c>
      <c r="DS24" s="1709"/>
      <c r="DT24" s="1290" t="s">
        <v>6497</v>
      </c>
      <c r="DU24" s="1762"/>
      <c r="DV24" s="1356" t="s">
        <v>6499</v>
      </c>
      <c r="DW24" s="1770"/>
      <c r="DX24" s="1772"/>
      <c r="DY24" s="1353" t="s">
        <v>6475</v>
      </c>
      <c r="DZ24" s="1754"/>
    </row>
    <row r="25" spans="6:136" ht="21.6" hidden="1" customHeight="1" thickBot="1">
      <c r="F25">
        <v>22</v>
      </c>
      <c r="I25" s="1161" t="s">
        <v>5256</v>
      </c>
      <c r="J25" s="1164" t="s">
        <v>5297</v>
      </c>
      <c r="O25" s="1184" t="s">
        <v>5372</v>
      </c>
      <c r="BC25" s="858" t="s">
        <v>5624</v>
      </c>
      <c r="BR25" s="1248">
        <v>72</v>
      </c>
      <c r="BS25" s="1205" t="s">
        <v>5789</v>
      </c>
      <c r="BU25" s="1192" t="s">
        <v>5814</v>
      </c>
      <c r="CN25" s="1274">
        <v>39</v>
      </c>
      <c r="CO25" s="1275" t="s">
        <v>5929</v>
      </c>
      <c r="CP25" s="1279">
        <v>53</v>
      </c>
      <c r="CQ25" s="1278" t="s">
        <v>5979</v>
      </c>
      <c r="CR25" s="1281">
        <v>45</v>
      </c>
      <c r="CS25" s="1280" t="s">
        <v>6027</v>
      </c>
      <c r="CT25">
        <v>73</v>
      </c>
      <c r="CU25" s="1210" t="s">
        <v>6093</v>
      </c>
      <c r="CV25" s="1200" t="s">
        <v>6092</v>
      </c>
      <c r="CW25" s="1200" t="s">
        <v>6120</v>
      </c>
      <c r="CY25" s="1319" t="s">
        <v>6217</v>
      </c>
      <c r="CZ25" s="1200" t="s">
        <v>6180</v>
      </c>
      <c r="DA25" s="1200">
        <v>1</v>
      </c>
      <c r="DB25" s="1210" t="s">
        <v>6247</v>
      </c>
      <c r="DC25" s="1200">
        <v>1</v>
      </c>
      <c r="DD25" s="1210" t="s">
        <v>6287</v>
      </c>
      <c r="DE25" s="1200">
        <v>3</v>
      </c>
      <c r="DF25" s="1210" t="s">
        <v>6327</v>
      </c>
      <c r="DG25" s="1200">
        <v>1</v>
      </c>
      <c r="DL25" s="1329" t="s">
        <v>6377</v>
      </c>
      <c r="DM25" s="1341" t="s">
        <v>4238</v>
      </c>
      <c r="DS25" s="1767">
        <v>31</v>
      </c>
      <c r="DT25" s="1777" t="s">
        <v>6500</v>
      </c>
      <c r="DU25" s="1761" t="str">
        <f t="shared" ref="DU25" si="6">DV25&amp;" / "&amp;DV26</f>
        <v>La relique possède NEx5% chance de répondre à une question de culture générale, sur un des domaines du talent Recherche, comme talent à NE = NE(relique)x5, max 80. La réponse est générale et fait maxiumum une phrase. / Sort DS7. Voir sort Oracle.</v>
      </c>
      <c r="DV25" s="1357" t="s">
        <v>6501</v>
      </c>
      <c r="DW25" s="1757">
        <v>89</v>
      </c>
      <c r="DX25" s="1753" t="s">
        <v>6643</v>
      </c>
      <c r="DY25" s="639" t="s">
        <v>6644</v>
      </c>
      <c r="DZ25" s="1753" t="str">
        <f>DY25&amp;" / "&amp;DY26</f>
        <v>Déterminer au hasard une race humain/ancienne/créature/animale (D10*). Bonus +NE(relique) à VD &amp; RMa, dans toutes les situations de conflit contre cette cible. Immunise à 100% contre tous la magie et les poisons de cette race.  / Permanent.</v>
      </c>
    </row>
    <row r="26" spans="6:136" ht="21.6" hidden="1" customHeight="1" thickBot="1">
      <c r="F26">
        <v>23</v>
      </c>
      <c r="I26" s="1162" t="s">
        <v>5257</v>
      </c>
      <c r="J26" s="1165" t="s">
        <v>5298</v>
      </c>
      <c r="O26" s="1185" t="s">
        <v>5373</v>
      </c>
      <c r="BC26" s="858" t="s">
        <v>5625</v>
      </c>
      <c r="BR26" s="1248">
        <v>74</v>
      </c>
      <c r="BS26" s="126" t="s">
        <v>5791</v>
      </c>
      <c r="BU26" s="858" t="s">
        <v>5818</v>
      </c>
      <c r="CN26" s="1277">
        <v>41</v>
      </c>
      <c r="CO26" s="1276" t="s">
        <v>5930</v>
      </c>
      <c r="CP26" s="1277">
        <v>56</v>
      </c>
      <c r="CQ26" s="1276" t="s">
        <v>5980</v>
      </c>
      <c r="CR26" s="1282">
        <v>47</v>
      </c>
      <c r="CS26" s="1283" t="s">
        <v>6028</v>
      </c>
      <c r="CT26">
        <v>75</v>
      </c>
      <c r="CU26" s="1210" t="s">
        <v>2067</v>
      </c>
      <c r="CV26" s="1200" t="s">
        <v>6095</v>
      </c>
      <c r="CW26" s="1200" t="s">
        <v>6121</v>
      </c>
      <c r="CY26" s="1319" t="s">
        <v>6218</v>
      </c>
      <c r="CZ26" s="1200" t="s">
        <v>6181</v>
      </c>
      <c r="DA26" s="1200">
        <v>1</v>
      </c>
      <c r="DB26" s="1210" t="s">
        <v>6248</v>
      </c>
      <c r="DC26" s="1200">
        <v>3</v>
      </c>
      <c r="DD26" s="1210" t="s">
        <v>6288</v>
      </c>
      <c r="DE26" s="1200">
        <v>3</v>
      </c>
      <c r="DF26" s="1210" t="s">
        <v>6328</v>
      </c>
      <c r="DG26" s="1200">
        <v>1</v>
      </c>
      <c r="DL26" s="1237" t="s">
        <v>6386</v>
      </c>
      <c r="DM26" s="1342" t="s">
        <v>4193</v>
      </c>
      <c r="DS26" s="1768"/>
      <c r="DT26" s="1778"/>
      <c r="DU26" s="1762"/>
      <c r="DV26" s="1358" t="s">
        <v>6502</v>
      </c>
      <c r="DW26" s="1758"/>
      <c r="DX26" s="1754"/>
      <c r="DY26" s="1351" t="s">
        <v>6475</v>
      </c>
      <c r="DZ26" s="1754"/>
    </row>
    <row r="27" spans="6:136" ht="21.6" hidden="1" customHeight="1" thickBot="1">
      <c r="F27">
        <v>24</v>
      </c>
      <c r="I27" s="1161" t="s">
        <v>5258</v>
      </c>
      <c r="J27" s="1164" t="s">
        <v>5299</v>
      </c>
      <c r="O27" s="1184" t="s">
        <v>5374</v>
      </c>
      <c r="BC27" s="858" t="s">
        <v>5626</v>
      </c>
      <c r="BR27" s="1248">
        <v>76</v>
      </c>
      <c r="BS27" s="1205" t="s">
        <v>5795</v>
      </c>
      <c r="BU27" s="1192" t="s">
        <v>5822</v>
      </c>
      <c r="CN27" s="1274">
        <v>42</v>
      </c>
      <c r="CO27" s="1275" t="s">
        <v>5931</v>
      </c>
      <c r="CP27" s="1279">
        <v>59</v>
      </c>
      <c r="CQ27" s="1278" t="s">
        <v>5981</v>
      </c>
      <c r="CR27" s="1281">
        <v>48</v>
      </c>
      <c r="CS27" s="1280" t="s">
        <v>6029</v>
      </c>
      <c r="CT27">
        <v>77</v>
      </c>
      <c r="CU27" s="1210" t="s">
        <v>6098</v>
      </c>
      <c r="CV27" s="1200" t="s">
        <v>6097</v>
      </c>
      <c r="CW27" s="1200" t="s">
        <v>6122</v>
      </c>
      <c r="CY27" s="1319" t="s">
        <v>6219</v>
      </c>
      <c r="CZ27" s="1200" t="s">
        <v>6182</v>
      </c>
      <c r="DA27" s="1200">
        <v>1</v>
      </c>
      <c r="DB27" s="1210" t="s">
        <v>6249</v>
      </c>
      <c r="DC27" s="1200">
        <v>1</v>
      </c>
      <c r="DD27" s="1210" t="s">
        <v>6289</v>
      </c>
      <c r="DE27" s="1200">
        <v>1</v>
      </c>
      <c r="DF27" s="1210" t="s">
        <v>6329</v>
      </c>
      <c r="DG27" s="1200">
        <v>1</v>
      </c>
      <c r="DL27" s="1237" t="s">
        <v>6396</v>
      </c>
      <c r="DM27" s="1342" t="s">
        <v>4193</v>
      </c>
      <c r="DS27" s="1708">
        <v>34</v>
      </c>
      <c r="DT27" s="1765" t="s">
        <v>6503</v>
      </c>
      <c r="DU27" s="1761" t="str">
        <f t="shared" ref="DU27" si="7">DV27&amp;" / "&amp;DV28</f>
        <v>Déterminez si TG/TC (d2) et ensuite déterminez le talent au hasard. Procure un bonus de NEx5 (max 50) aux tests de ce talent. / Permanent.</v>
      </c>
      <c r="DV27" s="1359" t="s">
        <v>6504</v>
      </c>
      <c r="DW27" s="1769">
        <v>91</v>
      </c>
      <c r="DX27" s="1771" t="s">
        <v>6645</v>
      </c>
      <c r="DY27" s="1352" t="s">
        <v>6646</v>
      </c>
      <c r="DZ27" s="1753" t="str">
        <f>DY27&amp;" / "&amp;DY28</f>
        <v>Déterminer un alignement différent de la relique. Bonus de VO&amp;VD+ NEx2, TC+NE et RMa+NEM dans les rencontres d’êtres de cet alignement, Rage +1 et Haine de cet alignement. Peut ressentir automatiquement cet alignement dans les êtres rencontrés et en vue, 1x/heure à NEx5m.  / Permanent.</v>
      </c>
    </row>
    <row r="28" spans="6:136" ht="21.6" hidden="1" customHeight="1" thickBot="1">
      <c r="F28">
        <v>25</v>
      </c>
      <c r="I28" s="1162" t="s">
        <v>5259</v>
      </c>
      <c r="J28" s="1165" t="s">
        <v>5300</v>
      </c>
      <c r="O28" s="1185" t="s">
        <v>5375</v>
      </c>
      <c r="BC28" s="858" t="s">
        <v>5627</v>
      </c>
      <c r="BR28" s="1248">
        <v>78</v>
      </c>
      <c r="BS28" s="126" t="s">
        <v>5794</v>
      </c>
      <c r="BU28" s="858" t="s">
        <v>5825</v>
      </c>
      <c r="CN28" s="1277">
        <v>43</v>
      </c>
      <c r="CO28" s="1276" t="s">
        <v>5932</v>
      </c>
      <c r="CP28" s="1277">
        <v>62</v>
      </c>
      <c r="CQ28" s="1276" t="s">
        <v>5982</v>
      </c>
      <c r="CR28" s="1282">
        <v>50</v>
      </c>
      <c r="CS28" s="1283" t="s">
        <v>6030</v>
      </c>
      <c r="CT28">
        <v>79</v>
      </c>
      <c r="CU28" s="1210" t="s">
        <v>6101</v>
      </c>
      <c r="CV28" s="1200" t="s">
        <v>6100</v>
      </c>
      <c r="CW28" s="1200" t="s">
        <v>6123</v>
      </c>
      <c r="CY28" s="1319" t="s">
        <v>6220</v>
      </c>
      <c r="CZ28" s="1200" t="s">
        <v>6183</v>
      </c>
      <c r="DA28" s="1200">
        <v>5</v>
      </c>
      <c r="DB28" s="1210" t="s">
        <v>6250</v>
      </c>
      <c r="DC28" s="1200">
        <v>1</v>
      </c>
      <c r="DD28" s="1210" t="s">
        <v>6290</v>
      </c>
      <c r="DE28" s="1200">
        <v>1</v>
      </c>
      <c r="DF28" s="1210" t="s">
        <v>6330</v>
      </c>
      <c r="DG28" s="1200">
        <v>1</v>
      </c>
      <c r="DL28" s="1332" t="s">
        <v>6406</v>
      </c>
      <c r="DM28" s="1343" t="s">
        <v>4001</v>
      </c>
      <c r="DS28" s="1709"/>
      <c r="DT28" s="1766"/>
      <c r="DU28" s="1762"/>
      <c r="DV28" s="1356" t="s">
        <v>6475</v>
      </c>
      <c r="DW28" s="1770"/>
      <c r="DX28" s="1772"/>
      <c r="DY28" s="1353" t="s">
        <v>6481</v>
      </c>
      <c r="DZ28" s="1754"/>
    </row>
    <row r="29" spans="6:136" ht="21.6" hidden="1" customHeight="1" thickBot="1">
      <c r="F29">
        <v>26</v>
      </c>
      <c r="I29" s="1161" t="s">
        <v>5260</v>
      </c>
      <c r="J29" s="1164" t="s">
        <v>5301</v>
      </c>
      <c r="O29" s="1184" t="s">
        <v>5376</v>
      </c>
      <c r="BC29" s="858" t="s">
        <v>5628</v>
      </c>
      <c r="BR29" s="1248">
        <v>80</v>
      </c>
      <c r="BS29" s="1205" t="s">
        <v>5796</v>
      </c>
      <c r="BU29" s="1192" t="s">
        <v>5829</v>
      </c>
      <c r="CN29" s="1274">
        <v>44</v>
      </c>
      <c r="CO29" s="1275" t="s">
        <v>5933</v>
      </c>
      <c r="CP29" s="1279">
        <v>66</v>
      </c>
      <c r="CQ29" s="1278" t="s">
        <v>5983</v>
      </c>
      <c r="CR29" s="1281">
        <v>54</v>
      </c>
      <c r="CS29" s="1280" t="s">
        <v>6031</v>
      </c>
      <c r="CT29">
        <v>81</v>
      </c>
      <c r="CU29" s="1210" t="s">
        <v>2056</v>
      </c>
      <c r="CV29" s="1200" t="s">
        <v>6103</v>
      </c>
      <c r="CW29" s="1200" t="s">
        <v>6124</v>
      </c>
      <c r="CY29" s="1319" t="s">
        <v>6221</v>
      </c>
      <c r="CZ29" s="1200" t="s">
        <v>6184</v>
      </c>
      <c r="DA29" s="1200">
        <v>3</v>
      </c>
      <c r="DB29" s="1210" t="s">
        <v>6251</v>
      </c>
      <c r="DC29" s="1200">
        <v>1</v>
      </c>
      <c r="DD29" s="1210" t="s">
        <v>6291</v>
      </c>
      <c r="DE29" s="1200">
        <v>1</v>
      </c>
      <c r="DF29" s="1210" t="s">
        <v>6331</v>
      </c>
      <c r="DG29" s="1200">
        <v>1</v>
      </c>
      <c r="DL29" s="1334" t="s">
        <v>6412</v>
      </c>
      <c r="DM29" s="1344" t="s">
        <v>4105</v>
      </c>
      <c r="DS29" s="1767">
        <v>36</v>
      </c>
      <c r="DT29" s="1777" t="s">
        <v>6505</v>
      </c>
      <c r="DU29" s="1761" t="str">
        <f t="shared" ref="DU29" si="8">DV29&amp;" / "&amp;DV30</f>
        <v>Déterminez une race de créature. Max 1x/ heure. Des lueurs apparaissent dans le champ de vision, taille varie selon distance, pas de limite du nombre de cibles.  / Sort DS3. Distance = RMa(relique) x5m. Durée = NE tours.</v>
      </c>
      <c r="DV29" s="1357" t="s">
        <v>6506</v>
      </c>
      <c r="DW29" s="1757">
        <v>94</v>
      </c>
      <c r="DX29" s="1753" t="s">
        <v>6647</v>
      </c>
      <c r="DY29" s="639" t="s">
        <v>6648</v>
      </c>
      <c r="DZ29" s="1753" t="str">
        <f>DY29&amp;" / "&amp;DY30</f>
        <v>Déterminer au hasard une race de créature. Bonus général de RMa x CC contre cette race, haine de ces créatures, Furie contrôlable, ne peut être attaqué par les ennemis jurés de cette race. Ignore toutes les immunités de cette créature et les effets spéciaux qu’elle possède.  / Permanent.</v>
      </c>
    </row>
    <row r="30" spans="6:136" ht="21.6" hidden="1" customHeight="1" thickBot="1">
      <c r="F30">
        <v>27</v>
      </c>
      <c r="I30" s="1162" t="s">
        <v>5261</v>
      </c>
      <c r="J30" s="1165" t="s">
        <v>5302</v>
      </c>
      <c r="O30" s="1185" t="s">
        <v>5377</v>
      </c>
      <c r="BC30" s="858" t="s">
        <v>5629</v>
      </c>
      <c r="BR30" s="1248">
        <v>82</v>
      </c>
      <c r="BS30" s="126" t="s">
        <v>3261</v>
      </c>
      <c r="BU30" s="858" t="s">
        <v>5833</v>
      </c>
      <c r="CN30" s="1277">
        <v>46</v>
      </c>
      <c r="CO30" s="1276" t="s">
        <v>5934</v>
      </c>
      <c r="CP30" s="1277">
        <v>68</v>
      </c>
      <c r="CQ30" s="1276" t="s">
        <v>5984</v>
      </c>
      <c r="CR30" s="1282">
        <v>55</v>
      </c>
      <c r="CS30" s="1283" t="s">
        <v>6032</v>
      </c>
      <c r="CT30">
        <v>83</v>
      </c>
      <c r="CU30" s="1210" t="s">
        <v>6106</v>
      </c>
      <c r="CV30" s="1200" t="s">
        <v>6105</v>
      </c>
      <c r="CW30" s="1200" t="s">
        <v>6125</v>
      </c>
      <c r="CY30" s="1319" t="s">
        <v>6222</v>
      </c>
      <c r="CZ30" s="1200" t="s">
        <v>6185</v>
      </c>
      <c r="DA30" s="1200">
        <v>3</v>
      </c>
      <c r="DB30" s="1210" t="s">
        <v>6252</v>
      </c>
      <c r="DC30" s="1200">
        <v>1</v>
      </c>
      <c r="DD30" s="1210" t="s">
        <v>6292</v>
      </c>
      <c r="DE30" s="1200">
        <v>3</v>
      </c>
      <c r="DF30" s="1210" t="s">
        <v>6332</v>
      </c>
      <c r="DG30" s="1200">
        <v>1</v>
      </c>
      <c r="DL30" s="1334" t="s">
        <v>6412</v>
      </c>
      <c r="DM30" s="1344" t="s">
        <v>4105</v>
      </c>
      <c r="DS30" s="1768"/>
      <c r="DT30" s="1778"/>
      <c r="DU30" s="1762"/>
      <c r="DV30" s="1358" t="s">
        <v>6507</v>
      </c>
      <c r="DW30" s="1758"/>
      <c r="DX30" s="1754"/>
      <c r="DY30" s="1351" t="s">
        <v>6475</v>
      </c>
      <c r="DZ30" s="1754"/>
    </row>
    <row r="31" spans="6:136" ht="21.6" hidden="1" customHeight="1" thickBot="1">
      <c r="F31">
        <v>28</v>
      </c>
      <c r="I31" s="1161" t="s">
        <v>5262</v>
      </c>
      <c r="J31" s="1164" t="s">
        <v>5303</v>
      </c>
      <c r="O31" s="1184" t="s">
        <v>5378</v>
      </c>
      <c r="BC31" s="858" t="s">
        <v>5630</v>
      </c>
      <c r="BR31" s="1248">
        <v>84</v>
      </c>
      <c r="BS31" s="1205" t="s">
        <v>5798</v>
      </c>
      <c r="BU31" s="1192" t="s">
        <v>1355</v>
      </c>
      <c r="CN31" s="1274">
        <v>49</v>
      </c>
      <c r="CO31" s="1275" t="s">
        <v>5935</v>
      </c>
      <c r="CP31" s="1279">
        <v>70</v>
      </c>
      <c r="CQ31" s="1278" t="s">
        <v>5985</v>
      </c>
      <c r="CR31" s="1281">
        <v>56</v>
      </c>
      <c r="CS31" s="1280" t="s">
        <v>6033</v>
      </c>
      <c r="CT31">
        <v>85</v>
      </c>
      <c r="CU31" s="1210" t="s">
        <v>6109</v>
      </c>
      <c r="CV31" s="1200" t="s">
        <v>6108</v>
      </c>
      <c r="CW31" s="1200" t="s">
        <v>6126</v>
      </c>
      <c r="CY31" s="1319" t="s">
        <v>6223</v>
      </c>
      <c r="CZ31" s="1200" t="s">
        <v>6186</v>
      </c>
      <c r="DA31" s="1200">
        <v>1</v>
      </c>
      <c r="DB31" s="1210" t="s">
        <v>6253</v>
      </c>
      <c r="DC31" s="1200">
        <v>1</v>
      </c>
      <c r="DD31" s="1210" t="s">
        <v>6293</v>
      </c>
      <c r="DE31" s="1200">
        <v>1</v>
      </c>
      <c r="DF31" s="1210" t="s">
        <v>6333</v>
      </c>
      <c r="DG31" s="1200">
        <v>1</v>
      </c>
      <c r="DL31" s="1211" t="s">
        <v>6421</v>
      </c>
      <c r="DM31" s="1210" t="s">
        <v>3953</v>
      </c>
      <c r="DS31" s="1708">
        <v>41</v>
      </c>
      <c r="DT31" s="1765" t="s">
        <v>6508</v>
      </c>
      <c r="DU31" s="1761" t="str">
        <f t="shared" ref="DU31" si="9">DV31&amp;" / "&amp;DV32</f>
        <v>Détecte une famille d’objets bien particuliers (définie par MdJ). Max 1x/heure. Des lueurs apparaissent dans le champ de vision, taille selon distance, NE cibles les plus proches. / Sort DS2. Distance = RMa(relique) x 10m. Durée = NE tours.</v>
      </c>
      <c r="DV31" s="1359" t="s">
        <v>6509</v>
      </c>
      <c r="DW31" s="1769">
        <v>97</v>
      </c>
      <c r="DX31" s="1771" t="s">
        <v>6649</v>
      </c>
      <c r="DY31" s="1362" t="s">
        <v>6650</v>
      </c>
      <c r="DZ31" s="1753" t="str">
        <f>DY31&amp;" / "&amp;DY32</f>
        <v>L’esprit du créateur/d’une créature (d2) est emprisonné (Intelligence = 1d6+4 x10, NEM TG connus à NE=D10*x20, NEM sorts connus au NE de la relique). Créature : trouver une créature dont le NC est proche du NE(relique). Créateur à un NEM=NEM(relique). Possibilité de communiquer (téléphatie) à volonté avec l’esprit, 1 PdM/phase. Bonus +RMa à tous les tests de talents/sorts connus par cet esprit. Fait gagner NE(relique) ExT dans un Talent ou Sort connus par la relique, 1x/par jour, sans dépasser les NE(Talents/Sorts). L’esprit influencera le porteur dans une direction propre au sens de la vie du créateur et ce à chaque jour ou à chaque usage. X peut résister avec un test sur sa RMa (1x/jour).  / Sort pour la magie. Permanent pour les talents.</v>
      </c>
    </row>
    <row r="32" spans="6:136" ht="21.6" hidden="1" customHeight="1" thickBot="1">
      <c r="F32">
        <v>29</v>
      </c>
      <c r="I32" s="1162" t="s">
        <v>5263</v>
      </c>
      <c r="J32" s="1165" t="s">
        <v>5304</v>
      </c>
      <c r="O32" s="1185" t="s">
        <v>5379</v>
      </c>
      <c r="BC32" s="858" t="s">
        <v>5631</v>
      </c>
      <c r="BR32" s="1248">
        <v>86</v>
      </c>
      <c r="BS32" s="126" t="s">
        <v>3264</v>
      </c>
      <c r="BU32" s="858" t="s">
        <v>5838</v>
      </c>
      <c r="CN32" s="1277">
        <v>52</v>
      </c>
      <c r="CO32" s="1276" t="s">
        <v>5936</v>
      </c>
      <c r="CP32" s="1277">
        <v>72</v>
      </c>
      <c r="CQ32" s="1276" t="s">
        <v>5986</v>
      </c>
      <c r="CR32" s="1282">
        <v>57</v>
      </c>
      <c r="CS32" s="1283" t="s">
        <v>6034</v>
      </c>
      <c r="CT32">
        <v>87</v>
      </c>
      <c r="CU32" s="1210" t="s">
        <v>6112</v>
      </c>
      <c r="CV32" s="1200" t="s">
        <v>6111</v>
      </c>
      <c r="CW32" s="1200" t="s">
        <v>6127</v>
      </c>
      <c r="CY32" s="1319" t="s">
        <v>6224</v>
      </c>
      <c r="CZ32" s="1200" t="s">
        <v>6187</v>
      </c>
      <c r="DA32" s="1200">
        <v>3</v>
      </c>
      <c r="DB32" s="1210" t="s">
        <v>6254</v>
      </c>
      <c r="DC32" s="1200">
        <v>1</v>
      </c>
      <c r="DD32" s="1210" t="s">
        <v>6294</v>
      </c>
      <c r="DE32" s="1200">
        <v>1</v>
      </c>
      <c r="DF32" s="1210" t="s">
        <v>6334</v>
      </c>
      <c r="DG32" s="1200">
        <v>1</v>
      </c>
      <c r="DL32" s="1337" t="s">
        <v>6429</v>
      </c>
      <c r="DM32" s="1345" t="s">
        <v>6439</v>
      </c>
      <c r="DS32" s="1709"/>
      <c r="DT32" s="1766"/>
      <c r="DU32" s="1762"/>
      <c r="DV32" s="1356" t="s">
        <v>6510</v>
      </c>
      <c r="DW32" s="1770"/>
      <c r="DX32" s="1772"/>
      <c r="DY32" s="1353" t="s">
        <v>6651</v>
      </c>
      <c r="DZ32" s="1754"/>
    </row>
    <row r="33" spans="6:130" ht="21.6" hidden="1" customHeight="1" thickBot="1">
      <c r="F33">
        <v>30</v>
      </c>
      <c r="I33" s="1161" t="s">
        <v>5264</v>
      </c>
      <c r="J33" s="1164" t="s">
        <v>5305</v>
      </c>
      <c r="O33" s="1184" t="s">
        <v>5380</v>
      </c>
      <c r="BC33" s="858" t="s">
        <v>5632</v>
      </c>
      <c r="BR33" s="1248">
        <v>88</v>
      </c>
      <c r="BS33" s="1205" t="s">
        <v>5800</v>
      </c>
      <c r="BU33" s="1192" t="s">
        <v>5841</v>
      </c>
      <c r="CN33" s="1274">
        <v>55</v>
      </c>
      <c r="CO33" s="1275" t="s">
        <v>5937</v>
      </c>
      <c r="CP33" s="1279">
        <v>73</v>
      </c>
      <c r="CQ33" s="1278" t="s">
        <v>5987</v>
      </c>
      <c r="CR33" s="1281">
        <v>60</v>
      </c>
      <c r="CS33" s="1280" t="s">
        <v>6035</v>
      </c>
      <c r="CT33">
        <v>89</v>
      </c>
      <c r="CU33" s="1301" t="s">
        <v>6115</v>
      </c>
      <c r="CV33" s="1302" t="s">
        <v>6114</v>
      </c>
      <c r="CW33" s="1302" t="s">
        <v>6128</v>
      </c>
      <c r="CY33" s="1320" t="s">
        <v>6225</v>
      </c>
      <c r="CZ33" s="1302" t="s">
        <v>6188</v>
      </c>
      <c r="DA33" s="1302">
        <v>3</v>
      </c>
      <c r="DB33" s="1301" t="s">
        <v>6255</v>
      </c>
      <c r="DC33" s="1302">
        <v>1</v>
      </c>
      <c r="DD33" s="1301" t="s">
        <v>6295</v>
      </c>
      <c r="DE33" s="1302">
        <v>3</v>
      </c>
      <c r="DF33" s="1301" t="s">
        <v>6335</v>
      </c>
      <c r="DG33" s="1302">
        <v>1</v>
      </c>
      <c r="DL33" s="1339" t="s">
        <v>6436</v>
      </c>
      <c r="DM33" s="1346" t="s">
        <v>6440</v>
      </c>
      <c r="DS33" s="1767">
        <v>43</v>
      </c>
      <c r="DT33" s="1777" t="s">
        <v>6511</v>
      </c>
      <c r="DU33" s="1761" t="str">
        <f t="shared" ref="DU33" si="10">DV33&amp;" / "&amp;DV34</f>
        <v>Détecte tous les pièges mais pas leur aspect magique. Max 1x/2h. Aucun obstacle, lueurs (gris si métal, brun si bois, vert si poison) dans le champe de vision, NE cibles les plus proches. Taille lueur selon NE du piège. / Sort DS4. Distance = RMa(relique) x 10m. Durée = NE tours.</v>
      </c>
      <c r="DV33" s="1357" t="s">
        <v>6512</v>
      </c>
      <c r="DW33" s="1757">
        <v>98</v>
      </c>
      <c r="DX33" s="1753" t="s">
        <v>6652</v>
      </c>
      <c r="DY33" s="639" t="s">
        <v>6653</v>
      </c>
      <c r="DZ33" s="1753" t="str">
        <f>DY33&amp;" / "&amp;DY34</f>
        <v>Esprit d’un membre d’une race intelligente dont le corps est mort et dont l’esprit perdure. Déterminez l’être et sa psychologie (un être doué de magie ou très puissant). Il tente de prendre le contrôle de X. 1x/jour X test V(Res) avec malus mais sans bonus, après RMa(X) échecs l’esprit de X est totalement sous le contrôle de la relique. Après RMa(relique) réussites l’esprit se soumet à X et X aura l’usage de tous les talents et sorts connus par l’esprit aux NE maîtrisés par celui-ci si supérieurs aux siens. / Permanent.</v>
      </c>
    </row>
    <row r="34" spans="6:130" ht="21.6" hidden="1" customHeight="1" thickBot="1">
      <c r="F34">
        <v>31</v>
      </c>
      <c r="I34" s="1160" t="s">
        <v>5255</v>
      </c>
      <c r="J34" s="1163" t="s">
        <v>5296</v>
      </c>
      <c r="O34" s="1183" t="s">
        <v>5371</v>
      </c>
      <c r="BC34" s="1191" t="s">
        <v>5633</v>
      </c>
      <c r="BR34" s="1248">
        <v>90</v>
      </c>
      <c r="BS34" s="1170" t="s">
        <v>5786</v>
      </c>
      <c r="BU34" s="1169" t="s">
        <v>5812</v>
      </c>
      <c r="CN34" s="1277">
        <v>61</v>
      </c>
      <c r="CO34" s="1276" t="s">
        <v>5938</v>
      </c>
      <c r="CP34" s="1277">
        <v>76</v>
      </c>
      <c r="CQ34" s="1276" t="s">
        <v>5988</v>
      </c>
      <c r="CR34" s="1282">
        <v>61</v>
      </c>
      <c r="CS34" s="1283" t="s">
        <v>6036</v>
      </c>
      <c r="CT34">
        <v>91</v>
      </c>
      <c r="CU34" s="1270" t="s">
        <v>6129</v>
      </c>
      <c r="CV34" s="1303" t="s">
        <v>6130</v>
      </c>
      <c r="CW34" s="1271" t="s">
        <v>6131</v>
      </c>
      <c r="CY34" s="1321">
        <v>91</v>
      </c>
      <c r="CZ34" s="1271" t="s">
        <v>6189</v>
      </c>
      <c r="DA34" s="1271">
        <v>1</v>
      </c>
      <c r="DB34" s="1304" t="s">
        <v>6256</v>
      </c>
      <c r="DC34" s="1271">
        <v>1</v>
      </c>
      <c r="DD34" s="1304" t="s">
        <v>6296</v>
      </c>
      <c r="DE34" s="1271">
        <v>1</v>
      </c>
      <c r="DF34" s="1304" t="s">
        <v>6336</v>
      </c>
      <c r="DG34" s="1271">
        <v>1</v>
      </c>
      <c r="DL34" s="1241" t="s">
        <v>6378</v>
      </c>
      <c r="DM34" s="1340" t="s">
        <v>4238</v>
      </c>
      <c r="DS34" s="1768"/>
      <c r="DT34" s="1778"/>
      <c r="DU34" s="1762"/>
      <c r="DV34" s="1358" t="s">
        <v>6513</v>
      </c>
      <c r="DW34" s="1758"/>
      <c r="DX34" s="1754"/>
      <c r="DY34" s="1351" t="s">
        <v>6475</v>
      </c>
      <c r="DZ34" s="1754"/>
    </row>
    <row r="35" spans="6:130" ht="21.6" hidden="1" customHeight="1" thickBot="1">
      <c r="F35">
        <v>32</v>
      </c>
      <c r="I35" s="1161" t="s">
        <v>5256</v>
      </c>
      <c r="J35" s="1164" t="s">
        <v>5297</v>
      </c>
      <c r="O35" s="1184" t="s">
        <v>5372</v>
      </c>
      <c r="BC35" s="1192" t="s">
        <v>5634</v>
      </c>
      <c r="BR35" s="1248">
        <v>91</v>
      </c>
      <c r="BS35" s="1205" t="s">
        <v>4058</v>
      </c>
      <c r="BU35" s="1192" t="s">
        <v>5815</v>
      </c>
      <c r="CN35" s="1274">
        <v>65</v>
      </c>
      <c r="CO35" s="1275" t="s">
        <v>5939</v>
      </c>
      <c r="CP35" s="1279">
        <v>79</v>
      </c>
      <c r="CQ35" s="1278" t="s">
        <v>5989</v>
      </c>
      <c r="CR35" s="1281">
        <v>62</v>
      </c>
      <c r="CS35" s="1280" t="s">
        <v>6037</v>
      </c>
      <c r="CT35">
        <v>92</v>
      </c>
      <c r="CU35" s="1304" t="s">
        <v>6064</v>
      </c>
      <c r="CV35" s="1271" t="s">
        <v>6132</v>
      </c>
      <c r="CW35" s="1271" t="s">
        <v>6133</v>
      </c>
      <c r="CY35" s="1321">
        <v>92</v>
      </c>
      <c r="CZ35" s="1271" t="s">
        <v>6190</v>
      </c>
      <c r="DA35" s="1271">
        <v>3</v>
      </c>
      <c r="DB35" s="1304" t="s">
        <v>6257</v>
      </c>
      <c r="DC35" s="1271">
        <v>1</v>
      </c>
      <c r="DD35" s="1304" t="s">
        <v>6297</v>
      </c>
      <c r="DE35" s="1271">
        <v>1</v>
      </c>
      <c r="DF35" s="1304" t="s">
        <v>6337</v>
      </c>
      <c r="DG35" s="1271">
        <v>1</v>
      </c>
      <c r="DL35" s="1329" t="s">
        <v>6378</v>
      </c>
      <c r="DM35" s="1341" t="s">
        <v>4238</v>
      </c>
      <c r="DS35" s="1763">
        <v>44</v>
      </c>
      <c r="DT35" s="1765" t="s">
        <v>6514</v>
      </c>
      <c r="DU35" s="1761" t="str">
        <f t="shared" ref="DU35" si="11">DV35&amp;" / "&amp;DV36</f>
        <v>Détecte tous les passages (trou, trappe, porte etc.) cachés ou non, magiques ou non, Max 1x/4h. Lueurs dans le champ de vision, taille selon distance, NE cibles les plus proches. / Sort DS5. Distance = RMa(relique) x 10m. Durée = NE tours.</v>
      </c>
      <c r="DV35" s="1359" t="s">
        <v>6515</v>
      </c>
      <c r="DW35" s="1203">
        <v>99</v>
      </c>
      <c r="DX35" s="1200" t="s">
        <v>6654</v>
      </c>
      <c r="DY35" s="1200" t="s">
        <v>6655</v>
      </c>
      <c r="DZ35" s="1200" t="str">
        <f>DY35</f>
        <v>Voir 5.3 Reliques spéciales.</v>
      </c>
    </row>
    <row r="36" spans="6:130" ht="21.6" hidden="1" customHeight="1" thickBot="1">
      <c r="F36">
        <v>33</v>
      </c>
      <c r="I36" s="1162" t="s">
        <v>5257</v>
      </c>
      <c r="J36" s="1165" t="s">
        <v>5298</v>
      </c>
      <c r="O36" s="1185" t="s">
        <v>5373</v>
      </c>
      <c r="BC36" s="1192" t="s">
        <v>5635</v>
      </c>
      <c r="BR36" s="1248">
        <v>92</v>
      </c>
      <c r="BS36" s="126" t="s">
        <v>5792</v>
      </c>
      <c r="BU36" s="858" t="s">
        <v>5819</v>
      </c>
      <c r="CN36" s="1277">
        <v>67</v>
      </c>
      <c r="CO36" s="1276" t="s">
        <v>5940</v>
      </c>
      <c r="CP36" s="1277">
        <v>82</v>
      </c>
      <c r="CQ36" s="1276" t="s">
        <v>5990</v>
      </c>
      <c r="CR36" s="1282">
        <v>63</v>
      </c>
      <c r="CS36" s="1283" t="s">
        <v>6038</v>
      </c>
      <c r="CT36">
        <v>93</v>
      </c>
      <c r="CU36" s="1304" t="s">
        <v>6067</v>
      </c>
      <c r="CV36" s="1271" t="s">
        <v>6134</v>
      </c>
      <c r="CW36" s="1271" t="s">
        <v>6135</v>
      </c>
      <c r="CY36" s="1321">
        <v>93</v>
      </c>
      <c r="CZ36" s="1271" t="s">
        <v>6191</v>
      </c>
      <c r="DA36" s="1271">
        <v>5</v>
      </c>
      <c r="DB36" s="1304" t="s">
        <v>6258</v>
      </c>
      <c r="DC36" s="1271">
        <v>3</v>
      </c>
      <c r="DD36" s="1304" t="s">
        <v>6298</v>
      </c>
      <c r="DE36" s="1271">
        <v>3</v>
      </c>
      <c r="DF36" s="1304" t="s">
        <v>6338</v>
      </c>
      <c r="DG36" s="1271">
        <v>1</v>
      </c>
      <c r="DL36" s="1237" t="s">
        <v>6387</v>
      </c>
      <c r="DM36" s="1342" t="s">
        <v>4193</v>
      </c>
      <c r="DS36" s="1764"/>
      <c r="DT36" s="1766"/>
      <c r="DU36" s="1762"/>
      <c r="DV36" s="1356" t="s">
        <v>6516</v>
      </c>
    </row>
    <row r="37" spans="6:130" ht="21.6" hidden="1" customHeight="1" thickBot="1">
      <c r="F37">
        <v>34</v>
      </c>
      <c r="I37" s="1161" t="s">
        <v>5258</v>
      </c>
      <c r="J37" s="1164" t="s">
        <v>5299</v>
      </c>
      <c r="O37" s="1184" t="s">
        <v>5374</v>
      </c>
      <c r="BC37" s="1192" t="s">
        <v>5636</v>
      </c>
      <c r="BR37" s="1248">
        <v>93</v>
      </c>
      <c r="BS37" s="1205" t="s">
        <v>4152</v>
      </c>
      <c r="BU37" s="1192" t="s">
        <v>5823</v>
      </c>
      <c r="CN37" s="1274">
        <v>71</v>
      </c>
      <c r="CO37" s="1275" t="s">
        <v>5941</v>
      </c>
      <c r="CP37" s="1279">
        <v>83</v>
      </c>
      <c r="CQ37" s="1278" t="s">
        <v>5991</v>
      </c>
      <c r="CR37" s="1281">
        <v>64</v>
      </c>
      <c r="CS37" s="1280" t="s">
        <v>6039</v>
      </c>
      <c r="CT37">
        <v>94</v>
      </c>
      <c r="CU37" s="1304" t="s">
        <v>6070</v>
      </c>
      <c r="CV37" s="1271" t="s">
        <v>6136</v>
      </c>
      <c r="CW37" s="1271" t="s">
        <v>6137</v>
      </c>
      <c r="CY37" s="1321">
        <v>94</v>
      </c>
      <c r="CZ37" s="1271" t="s">
        <v>6192</v>
      </c>
      <c r="DA37" s="1271">
        <v>3</v>
      </c>
      <c r="DB37" s="1304" t="s">
        <v>6259</v>
      </c>
      <c r="DC37" s="1271">
        <v>5</v>
      </c>
      <c r="DD37" s="1304" t="s">
        <v>6299</v>
      </c>
      <c r="DE37" s="1271">
        <v>3</v>
      </c>
      <c r="DF37" s="1304" t="s">
        <v>6339</v>
      </c>
      <c r="DG37" s="1271">
        <v>1</v>
      </c>
      <c r="DL37" s="1237" t="s">
        <v>6397</v>
      </c>
      <c r="DM37" s="1342" t="s">
        <v>4193</v>
      </c>
      <c r="DS37" s="1767">
        <v>45</v>
      </c>
      <c r="DT37" s="1777" t="s">
        <v>6517</v>
      </c>
      <c r="DU37" s="1761" t="str">
        <f t="shared" ref="DU37" si="12">DV37&amp;" / "&amp;DV38</f>
        <v>Détecte toutes les pièces de monnaie frappées et leur matière principale. Max 1x/6h. Lueurs dans le champ de vision, une par pièce, couleur selon matière (or, argent cuivre…). / Sort DS6. Distance = RMa(relique) m. Durée = NE phases.</v>
      </c>
      <c r="DV37" s="1357" t="s">
        <v>6518</v>
      </c>
    </row>
    <row r="38" spans="6:130" ht="21.6" hidden="1" customHeight="1" thickBot="1">
      <c r="F38">
        <v>35</v>
      </c>
      <c r="I38" s="1162" t="s">
        <v>5259</v>
      </c>
      <c r="J38" s="1165" t="s">
        <v>5300</v>
      </c>
      <c r="O38" s="1185" t="s">
        <v>5375</v>
      </c>
      <c r="BC38" s="1192" t="s">
        <v>5637</v>
      </c>
      <c r="BR38" s="1248">
        <v>94</v>
      </c>
      <c r="BS38" s="126" t="s">
        <v>5797</v>
      </c>
      <c r="BU38" s="858" t="s">
        <v>5826</v>
      </c>
      <c r="CN38" s="1277">
        <v>74</v>
      </c>
      <c r="CO38" s="1276" t="s">
        <v>5942</v>
      </c>
      <c r="CP38" s="1277">
        <v>84</v>
      </c>
      <c r="CQ38" s="1276" t="s">
        <v>5992</v>
      </c>
      <c r="CR38" s="1282">
        <v>65</v>
      </c>
      <c r="CS38" s="1283" t="s">
        <v>6040</v>
      </c>
      <c r="CT38">
        <v>95</v>
      </c>
      <c r="CU38" s="1304" t="s">
        <v>6073</v>
      </c>
      <c r="CV38" s="1271" t="s">
        <v>6138</v>
      </c>
      <c r="CW38" s="1271" t="s">
        <v>6139</v>
      </c>
      <c r="CY38" s="1321">
        <v>95</v>
      </c>
      <c r="CZ38" s="1271" t="s">
        <v>6193</v>
      </c>
      <c r="DA38" s="1271">
        <v>1</v>
      </c>
      <c r="DB38" s="1304" t="s">
        <v>6260</v>
      </c>
      <c r="DC38" s="1271">
        <v>3</v>
      </c>
      <c r="DD38" s="1304" t="s">
        <v>6300</v>
      </c>
      <c r="DE38" s="1271">
        <v>1</v>
      </c>
      <c r="DF38" s="1304" t="s">
        <v>6340</v>
      </c>
      <c r="DG38" s="1271">
        <v>1</v>
      </c>
      <c r="DL38" s="1332" t="s">
        <v>6407</v>
      </c>
      <c r="DM38" s="1343" t="s">
        <v>4001</v>
      </c>
      <c r="DS38" s="1768"/>
      <c r="DT38" s="1778"/>
      <c r="DU38" s="1762"/>
      <c r="DV38" s="1358" t="s">
        <v>6519</v>
      </c>
    </row>
    <row r="39" spans="6:130" ht="21.6" hidden="1" customHeight="1" thickBot="1">
      <c r="F39">
        <v>36</v>
      </c>
      <c r="I39" s="1161" t="s">
        <v>5260</v>
      </c>
      <c r="J39" s="1164" t="s">
        <v>5301</v>
      </c>
      <c r="O39" s="1184" t="s">
        <v>5376</v>
      </c>
      <c r="BC39" s="1192" t="s">
        <v>5638</v>
      </c>
      <c r="BR39" s="1248">
        <v>95</v>
      </c>
      <c r="BS39" s="1205" t="s">
        <v>5785</v>
      </c>
      <c r="BU39" s="1192" t="s">
        <v>5830</v>
      </c>
      <c r="CN39" s="1274">
        <v>75</v>
      </c>
      <c r="CO39" s="1275" t="s">
        <v>5943</v>
      </c>
      <c r="CP39" s="1279">
        <v>86</v>
      </c>
      <c r="CQ39" s="1278" t="s">
        <v>5993</v>
      </c>
      <c r="CR39" s="1281">
        <v>66</v>
      </c>
      <c r="CS39" s="1280" t="s">
        <v>6041</v>
      </c>
      <c r="CT39">
        <v>96</v>
      </c>
      <c r="CU39" s="1304" t="s">
        <v>6076</v>
      </c>
      <c r="CV39" s="1271" t="s">
        <v>6140</v>
      </c>
      <c r="CW39" s="1271" t="s">
        <v>6141</v>
      </c>
      <c r="CY39" s="1321">
        <v>96</v>
      </c>
      <c r="CZ39" s="1271" t="s">
        <v>6194</v>
      </c>
      <c r="DA39" s="1271">
        <v>1</v>
      </c>
      <c r="DB39" s="1304" t="s">
        <v>6261</v>
      </c>
      <c r="DC39" s="1271">
        <v>1</v>
      </c>
      <c r="DD39" s="1304" t="s">
        <v>6301</v>
      </c>
      <c r="DE39" s="1271">
        <v>1</v>
      </c>
      <c r="DF39" s="1304" t="s">
        <v>6330</v>
      </c>
      <c r="DG39" s="1271">
        <v>1</v>
      </c>
      <c r="DL39" s="1334" t="s">
        <v>6413</v>
      </c>
      <c r="DM39" s="1344" t="s">
        <v>4105</v>
      </c>
      <c r="DS39" s="1708">
        <v>46</v>
      </c>
      <c r="DT39" s="1765" t="s">
        <v>6520</v>
      </c>
      <c r="DU39" s="1761" t="str">
        <f t="shared" ref="DU39" si="13">DV39&amp;" / "&amp;DV40</f>
        <v>Détecte les PN végétaux/minéraux/animaux (d3). Max 1x/jour. Lueurs dans le champ de vision, plus ou moins fortes selon la rareté du PN. NE cibles les plus proches. Seuls les PN connus par X sont montrés. Pas d’informations sur l’état du PN. / Sort DS7. Distance=RMa(relique)x5m. Durée=NE phases. RMa=10-rareté (x2 si enchanté).</v>
      </c>
      <c r="DV39" s="1359" t="s">
        <v>6521</v>
      </c>
    </row>
    <row r="40" spans="6:130" ht="21.6" hidden="1" customHeight="1" thickBot="1">
      <c r="F40">
        <v>37</v>
      </c>
      <c r="I40" s="1162" t="s">
        <v>5261</v>
      </c>
      <c r="J40" s="1165" t="s">
        <v>5302</v>
      </c>
      <c r="O40" s="1185" t="s">
        <v>5377</v>
      </c>
      <c r="BC40" s="1192" t="s">
        <v>5639</v>
      </c>
      <c r="BR40" s="1248">
        <v>96</v>
      </c>
      <c r="BS40" s="126" t="s">
        <v>5789</v>
      </c>
      <c r="BU40" s="858" t="s">
        <v>5834</v>
      </c>
      <c r="CN40" s="1277">
        <v>77</v>
      </c>
      <c r="CO40" s="1276" t="s">
        <v>5944</v>
      </c>
      <c r="CP40" s="1277">
        <v>87</v>
      </c>
      <c r="CQ40" s="1276" t="s">
        <v>5994</v>
      </c>
      <c r="CR40" s="1282">
        <v>68</v>
      </c>
      <c r="CS40" s="1283" t="s">
        <v>6042</v>
      </c>
      <c r="CT40">
        <v>97</v>
      </c>
      <c r="CU40" s="1304" t="s">
        <v>6079</v>
      </c>
      <c r="CV40" s="1271" t="s">
        <v>6142</v>
      </c>
      <c r="CW40" s="1271" t="s">
        <v>6143</v>
      </c>
      <c r="CY40" s="1321">
        <v>97</v>
      </c>
      <c r="CZ40" s="1271" t="s">
        <v>6195</v>
      </c>
      <c r="DA40" s="1271">
        <v>1</v>
      </c>
      <c r="DB40" s="1304" t="s">
        <v>6262</v>
      </c>
      <c r="DC40" s="1271">
        <v>5</v>
      </c>
      <c r="DD40" s="1304" t="s">
        <v>6302</v>
      </c>
      <c r="DE40" s="1271">
        <v>1</v>
      </c>
      <c r="DF40" s="1304" t="s">
        <v>6341</v>
      </c>
      <c r="DG40" s="1271">
        <v>1</v>
      </c>
      <c r="DL40" s="1334" t="s">
        <v>6413</v>
      </c>
      <c r="DM40" s="1344" t="s">
        <v>4105</v>
      </c>
      <c r="DS40" s="1709"/>
      <c r="DT40" s="1766"/>
      <c r="DU40" s="1762"/>
      <c r="DV40" s="1356" t="s">
        <v>6522</v>
      </c>
    </row>
    <row r="41" spans="6:130" ht="21.6" hidden="1" customHeight="1" thickBot="1">
      <c r="F41">
        <v>38</v>
      </c>
      <c r="I41" s="1161" t="s">
        <v>5262</v>
      </c>
      <c r="J41" s="1164" t="s">
        <v>5303</v>
      </c>
      <c r="O41" s="1184" t="s">
        <v>5378</v>
      </c>
      <c r="BC41" s="1192" t="s">
        <v>5640</v>
      </c>
      <c r="BR41" s="1248">
        <v>97</v>
      </c>
      <c r="BS41" s="1205" t="s">
        <v>5791</v>
      </c>
      <c r="BU41" s="1192" t="s">
        <v>5837</v>
      </c>
      <c r="CN41" s="1274">
        <v>78</v>
      </c>
      <c r="CO41" s="1275" t="s">
        <v>5945</v>
      </c>
      <c r="CP41" s="1279">
        <v>88</v>
      </c>
      <c r="CQ41" s="1278" t="s">
        <v>5995</v>
      </c>
      <c r="CR41" s="1281">
        <v>69</v>
      </c>
      <c r="CS41" s="1280" t="s">
        <v>6043</v>
      </c>
      <c r="CT41">
        <v>98</v>
      </c>
      <c r="CU41" s="1304" t="s">
        <v>6082</v>
      </c>
      <c r="CV41" s="1271" t="s">
        <v>6144</v>
      </c>
      <c r="CW41" s="1271" t="s">
        <v>6145</v>
      </c>
      <c r="CY41" s="1321">
        <v>98</v>
      </c>
      <c r="CZ41" s="1271" t="s">
        <v>6196</v>
      </c>
      <c r="DA41" s="1271">
        <v>1</v>
      </c>
      <c r="DB41" s="1304" t="s">
        <v>6263</v>
      </c>
      <c r="DC41" s="1271">
        <v>1</v>
      </c>
      <c r="DD41" s="1304" t="s">
        <v>6303</v>
      </c>
      <c r="DE41" s="1271">
        <v>1</v>
      </c>
      <c r="DF41" s="1304" t="s">
        <v>6342</v>
      </c>
      <c r="DG41" s="1310"/>
      <c r="DL41" s="1211" t="s">
        <v>6422</v>
      </c>
      <c r="DM41" s="1210" t="s">
        <v>3953</v>
      </c>
      <c r="DS41" s="1767">
        <v>47</v>
      </c>
      <c r="DT41" s="1777" t="s">
        <v>6523</v>
      </c>
      <c r="DU41" s="1761" t="str">
        <f t="shared" ref="DU41" si="14">DV41&amp;" / "&amp;DV42</f>
        <v>Détecte la relique non morte la plus proche. Max 1x/semaine. Lueur dans le champ de vision, couleur liée à l’alignement(relique) et d’une intensité basée sur le NEM(relique). / Sort DS8. Distance = RMa(relique X) x 10m. Durée = 1 phase. RMa(relique) active.</v>
      </c>
      <c r="DV41" s="1357" t="s">
        <v>6524</v>
      </c>
    </row>
    <row r="42" spans="6:130" ht="21.6" hidden="1" customHeight="1" thickBot="1">
      <c r="F42">
        <v>39</v>
      </c>
      <c r="I42" s="1162" t="s">
        <v>5263</v>
      </c>
      <c r="J42" s="1165" t="s">
        <v>5304</v>
      </c>
      <c r="O42" s="1185" t="s">
        <v>5379</v>
      </c>
      <c r="BC42" s="1192" t="s">
        <v>5641</v>
      </c>
      <c r="BR42">
        <v>98</v>
      </c>
      <c r="BS42" s="126" t="s">
        <v>5795</v>
      </c>
      <c r="BU42" s="858" t="s">
        <v>5839</v>
      </c>
      <c r="CN42" s="1277">
        <v>83</v>
      </c>
      <c r="CO42" s="1276" t="s">
        <v>5946</v>
      </c>
      <c r="CP42" s="1277">
        <v>89</v>
      </c>
      <c r="CQ42" s="1276" t="s">
        <v>5996</v>
      </c>
      <c r="CR42" s="1282">
        <v>71</v>
      </c>
      <c r="CS42" s="1283" t="s">
        <v>6044</v>
      </c>
      <c r="CT42">
        <v>99</v>
      </c>
      <c r="CU42" s="1304" t="s">
        <v>6084</v>
      </c>
      <c r="CV42" s="1271" t="s">
        <v>6146</v>
      </c>
      <c r="CW42" s="1271" t="s">
        <v>6147</v>
      </c>
      <c r="CY42" s="1321">
        <v>99</v>
      </c>
      <c r="CZ42" s="1271" t="s">
        <v>6197</v>
      </c>
      <c r="DA42" s="1271">
        <v>1</v>
      </c>
      <c r="DB42" s="1304" t="s">
        <v>6264</v>
      </c>
      <c r="DC42" s="1271">
        <v>3</v>
      </c>
      <c r="DD42" s="1304" t="s">
        <v>6304</v>
      </c>
      <c r="DE42" s="1271">
        <v>1</v>
      </c>
      <c r="DF42" s="1304" t="s">
        <v>6343</v>
      </c>
      <c r="DG42" s="1310"/>
      <c r="DL42" s="1337" t="s">
        <v>604</v>
      </c>
      <c r="DM42" s="1345" t="s">
        <v>6439</v>
      </c>
      <c r="DS42" s="1768"/>
      <c r="DT42" s="1778"/>
      <c r="DU42" s="1762"/>
      <c r="DV42" s="1358" t="s">
        <v>6525</v>
      </c>
    </row>
    <row r="43" spans="6:130" ht="21.6" hidden="1" customHeight="1" thickBot="1">
      <c r="F43">
        <v>40</v>
      </c>
      <c r="I43" s="1161" t="s">
        <v>5264</v>
      </c>
      <c r="J43" s="1164" t="s">
        <v>5305</v>
      </c>
      <c r="O43" s="1184" t="s">
        <v>5380</v>
      </c>
      <c r="BC43" s="1192" t="s">
        <v>5642</v>
      </c>
      <c r="BR43">
        <v>99</v>
      </c>
      <c r="BS43" s="1205" t="s">
        <v>5786</v>
      </c>
      <c r="BU43" s="1192" t="s">
        <v>5841</v>
      </c>
      <c r="CN43" s="1274">
        <v>84</v>
      </c>
      <c r="CO43" s="1275" t="s">
        <v>5947</v>
      </c>
      <c r="CP43" s="1279">
        <v>90</v>
      </c>
      <c r="CQ43" s="1278" t="s">
        <v>5997</v>
      </c>
      <c r="CR43" s="1281">
        <v>73</v>
      </c>
      <c r="CS43" s="1280" t="s">
        <v>6045</v>
      </c>
      <c r="CT43">
        <v>100</v>
      </c>
      <c r="CU43" s="1304" t="s">
        <v>6087</v>
      </c>
      <c r="CV43" s="1271" t="s">
        <v>6148</v>
      </c>
      <c r="CW43" s="1271" t="s">
        <v>6149</v>
      </c>
      <c r="CY43" s="1321">
        <v>100</v>
      </c>
      <c r="CZ43" s="1271" t="s">
        <v>6198</v>
      </c>
      <c r="DA43" s="1271">
        <v>1</v>
      </c>
      <c r="DB43" s="1304" t="s">
        <v>6265</v>
      </c>
      <c r="DC43" s="1271">
        <v>3</v>
      </c>
      <c r="DD43" s="1304" t="s">
        <v>6305</v>
      </c>
      <c r="DE43" s="1271">
        <v>5</v>
      </c>
      <c r="DF43" s="1304" t="s">
        <v>6344</v>
      </c>
      <c r="DG43" s="1310"/>
      <c r="DL43" s="1339" t="s">
        <v>6431</v>
      </c>
      <c r="DM43" s="1346" t="s">
        <v>6440</v>
      </c>
      <c r="DS43" s="1708">
        <v>48</v>
      </c>
      <c r="DT43" s="1765" t="s">
        <v>6526</v>
      </c>
      <c r="DU43" s="1761" t="str">
        <f t="shared" ref="DU43" si="15">DV43&amp;" / "&amp;DV44</f>
        <v>Détecte des écrits ou runes. Max 1x/heure. Des lueurs apparaissent dans le champ de vision selon la quantité de caractères, quelque soit le support. / Sort DS9. Distance = RMa(relique) x 10m. Durée = 1 tour.</v>
      </c>
      <c r="DV43" s="1359" t="s">
        <v>6527</v>
      </c>
    </row>
    <row r="44" spans="6:130" ht="21.6" hidden="1" customHeight="1" thickBot="1">
      <c r="F44">
        <v>41</v>
      </c>
      <c r="I44" s="1160" t="s">
        <v>5265</v>
      </c>
      <c r="J44" s="1163" t="s">
        <v>5306</v>
      </c>
      <c r="O44" s="1183" t="s">
        <v>5381</v>
      </c>
      <c r="BC44" s="1012" t="s">
        <v>5643</v>
      </c>
      <c r="CN44" s="1277">
        <v>89</v>
      </c>
      <c r="CO44" s="1276" t="s">
        <v>5948</v>
      </c>
      <c r="CP44" s="1277">
        <v>91</v>
      </c>
      <c r="CQ44" s="1276" t="s">
        <v>5998</v>
      </c>
      <c r="CR44" s="1282">
        <v>77</v>
      </c>
      <c r="CS44" s="1283" t="s">
        <v>6046</v>
      </c>
      <c r="DL44" s="1241" t="s">
        <v>6379</v>
      </c>
      <c r="DM44" s="1340" t="s">
        <v>4238</v>
      </c>
      <c r="DS44" s="1709"/>
      <c r="DT44" s="1766"/>
      <c r="DU44" s="1762"/>
      <c r="DV44" s="1356" t="s">
        <v>6528</v>
      </c>
    </row>
    <row r="45" spans="6:130" ht="21.6" hidden="1" customHeight="1" thickBot="1">
      <c r="F45">
        <v>42</v>
      </c>
      <c r="I45" s="1161" t="s">
        <v>5266</v>
      </c>
      <c r="J45" s="1164" t="s">
        <v>5307</v>
      </c>
      <c r="O45" s="1184" t="s">
        <v>5382</v>
      </c>
      <c r="BC45" s="858" t="s">
        <v>5644</v>
      </c>
      <c r="CN45" s="1274">
        <v>90</v>
      </c>
      <c r="CO45" s="1275" t="s">
        <v>5949</v>
      </c>
      <c r="CP45" s="1279">
        <v>92</v>
      </c>
      <c r="CQ45" s="1278" t="s">
        <v>5999</v>
      </c>
      <c r="CR45" s="1281">
        <v>80</v>
      </c>
      <c r="CS45" s="1280" t="s">
        <v>6047</v>
      </c>
      <c r="DL45" s="1329" t="s">
        <v>6379</v>
      </c>
      <c r="DM45" s="1341" t="s">
        <v>4238</v>
      </c>
      <c r="DS45" s="1708">
        <v>49</v>
      </c>
      <c r="DT45" s="1765" t="s">
        <v>6529</v>
      </c>
      <c r="DU45" s="1761" t="str">
        <f t="shared" ref="DU45" si="16">DV45&amp;" / "&amp;DV46</f>
        <v>Permet de détecter un type d’objet avec lequel la relique a été en contact dans les NE jours qui précèdent, de connaître son état général, la distance et la direction. Maximum NE+1 types d’objets retenus au choix de X.  / DS3. NE usages par jour. RMa(objet) active.</v>
      </c>
      <c r="DV45" s="1359" t="s">
        <v>6530</v>
      </c>
    </row>
    <row r="46" spans="6:130" ht="21.6" hidden="1" customHeight="1" thickBot="1">
      <c r="F46">
        <v>43</v>
      </c>
      <c r="I46" s="1162" t="s">
        <v>5267</v>
      </c>
      <c r="J46" s="1165" t="s">
        <v>5308</v>
      </c>
      <c r="O46" s="1185" t="s">
        <v>5383</v>
      </c>
      <c r="BC46" s="858" t="s">
        <v>5645</v>
      </c>
      <c r="CN46" s="1277">
        <v>94</v>
      </c>
      <c r="CO46" s="1276" t="s">
        <v>5950</v>
      </c>
      <c r="CP46" s="1277">
        <v>95</v>
      </c>
      <c r="CQ46" s="1276" t="s">
        <v>6000</v>
      </c>
      <c r="CR46" s="1282">
        <v>84</v>
      </c>
      <c r="CS46" s="1283" t="s">
        <v>6048</v>
      </c>
      <c r="DL46" s="1237" t="s">
        <v>6388</v>
      </c>
      <c r="DM46" s="1342" t="s">
        <v>4193</v>
      </c>
      <c r="DS46" s="1709"/>
      <c r="DT46" s="1766"/>
      <c r="DU46" s="1762"/>
      <c r="DV46" s="1356" t="s">
        <v>6531</v>
      </c>
    </row>
    <row r="47" spans="6:130" ht="21.6" hidden="1" customHeight="1" thickBot="1">
      <c r="F47">
        <v>44</v>
      </c>
      <c r="I47" s="1161" t="s">
        <v>5268</v>
      </c>
      <c r="J47" s="1164" t="s">
        <v>5309</v>
      </c>
      <c r="O47" s="1184" t="s">
        <v>5384</v>
      </c>
      <c r="BC47" s="858" t="s">
        <v>5646</v>
      </c>
      <c r="CN47" s="1274">
        <v>91</v>
      </c>
      <c r="CO47" s="1275" t="s">
        <v>5951</v>
      </c>
      <c r="CP47" s="1279">
        <v>96</v>
      </c>
      <c r="CQ47" s="1278" t="s">
        <v>6001</v>
      </c>
      <c r="CR47" s="1281">
        <v>87</v>
      </c>
      <c r="CS47" s="1280" t="s">
        <v>6049</v>
      </c>
      <c r="DL47" s="1237" t="s">
        <v>6398</v>
      </c>
      <c r="DM47" s="1342" t="s">
        <v>4193</v>
      </c>
      <c r="DS47" s="1767">
        <v>50</v>
      </c>
      <c r="DT47" s="1777" t="s">
        <v>6532</v>
      </c>
      <c r="DU47" s="1761" t="str">
        <f t="shared" ref="DU47" si="17">DV47&amp;" / "&amp;DV48</f>
        <v>Permet de détecter n’importe quel être à I&gt;10 avec lequel la relique a été en contact dans les NE mois qui précèdent, de visualiser sa position, son état général et le chemin pour l’atteindre. Maximum NE+1 êtres retenus au choix de X. / Sort DS5. NE usages par jour. RMa(être) active+. Durée 2 phases.</v>
      </c>
      <c r="DV47" s="1357" t="s">
        <v>6533</v>
      </c>
    </row>
    <row r="48" spans="6:130" ht="21.6" hidden="1" customHeight="1" thickBot="1">
      <c r="F48">
        <v>45</v>
      </c>
      <c r="I48" s="1162" t="s">
        <v>5269</v>
      </c>
      <c r="J48" s="1165" t="s">
        <v>5310</v>
      </c>
      <c r="O48" s="1185" t="s">
        <v>5385</v>
      </c>
      <c r="BC48" s="858" t="s">
        <v>5645</v>
      </c>
      <c r="CN48" s="1277">
        <v>95</v>
      </c>
      <c r="CO48" s="1276" t="s">
        <v>5952</v>
      </c>
      <c r="CP48" s="1277">
        <v>97</v>
      </c>
      <c r="CQ48" s="1276" t="s">
        <v>6002</v>
      </c>
      <c r="CR48" s="1282">
        <v>89</v>
      </c>
      <c r="CS48" s="1283" t="s">
        <v>6050</v>
      </c>
      <c r="DL48" s="1332" t="s">
        <v>6408</v>
      </c>
      <c r="DM48" s="1343" t="s">
        <v>4001</v>
      </c>
      <c r="DS48" s="1768"/>
      <c r="DT48" s="1778"/>
      <c r="DU48" s="1762"/>
      <c r="DV48" s="1358" t="s">
        <v>6534</v>
      </c>
    </row>
    <row r="49" spans="6:126" ht="21.6" hidden="1" customHeight="1" thickBot="1">
      <c r="F49">
        <v>46</v>
      </c>
      <c r="I49" s="1161" t="s">
        <v>5270</v>
      </c>
      <c r="J49" s="1164" t="s">
        <v>5311</v>
      </c>
      <c r="O49" s="1184" t="s">
        <v>5386</v>
      </c>
      <c r="BC49" s="858" t="s">
        <v>5647</v>
      </c>
      <c r="CN49" s="1274">
        <v>97</v>
      </c>
      <c r="CO49" s="1275" t="s">
        <v>5953</v>
      </c>
      <c r="CP49" s="1279">
        <v>98</v>
      </c>
      <c r="CQ49" s="1278" t="s">
        <v>6003</v>
      </c>
      <c r="CR49" s="1281">
        <v>94</v>
      </c>
      <c r="CS49" s="1280" t="s">
        <v>6051</v>
      </c>
      <c r="DL49" s="1334" t="s">
        <v>6414</v>
      </c>
      <c r="DM49" s="1344" t="s">
        <v>4105</v>
      </c>
      <c r="DS49" s="1708">
        <v>51</v>
      </c>
      <c r="DT49" s="1765" t="s">
        <v>6535</v>
      </c>
      <c r="DU49" s="1761" t="str">
        <f t="shared" ref="DU49" si="18">DV49&amp;" / "&amp;DV50</f>
        <v>Invoque une créature/animal (d2) définie par MdJ, X doit avoir CC(espèce)=2 pour éviter d’être attaqué après l’invocation, X connaît bien cet être. Temps d’invocation = NEM(relique) phases. L’être invoqué est sous le contrôle de X si CC=2. Cet être essaiera de séparer la relique de X et de tuer X quand le contrôle s’arrête. Renvoyer l’être se fait comme pour l’invoquer mais dure 1 phase seulement. Arrivée et départ par sphère céleste.  / Sort DS4. Durée de contrôle NE h. Un être à la fois.</v>
      </c>
      <c r="DV49" s="1359" t="s">
        <v>6536</v>
      </c>
    </row>
    <row r="50" spans="6:126" ht="21.6" hidden="1" customHeight="1" thickBot="1">
      <c r="F50">
        <v>47</v>
      </c>
      <c r="I50" s="1162" t="s">
        <v>5271</v>
      </c>
      <c r="J50" s="1165" t="s">
        <v>5312</v>
      </c>
      <c r="O50" s="1185" t="s">
        <v>5387</v>
      </c>
      <c r="BC50" s="858" t="s">
        <v>5648</v>
      </c>
      <c r="CN50" s="1277">
        <v>98</v>
      </c>
      <c r="CO50" s="1276" t="s">
        <v>5954</v>
      </c>
      <c r="CP50" s="1277">
        <v>99</v>
      </c>
      <c r="CQ50" s="1276" t="s">
        <v>6004</v>
      </c>
      <c r="CR50" s="1282">
        <v>96</v>
      </c>
      <c r="CS50" s="1283" t="s">
        <v>6052</v>
      </c>
      <c r="DL50" s="1334" t="s">
        <v>6414</v>
      </c>
      <c r="DM50" s="1344" t="s">
        <v>4105</v>
      </c>
      <c r="DS50" s="1709"/>
      <c r="DT50" s="1766"/>
      <c r="DU50" s="1762"/>
      <c r="DV50" s="1356" t="s">
        <v>6537</v>
      </c>
    </row>
    <row r="51" spans="6:126" ht="21.6" hidden="1" customHeight="1" thickBot="1">
      <c r="F51">
        <v>48</v>
      </c>
      <c r="I51" s="1161" t="s">
        <v>5272</v>
      </c>
      <c r="J51" s="1164" t="s">
        <v>5313</v>
      </c>
      <c r="O51" s="1184" t="s">
        <v>5388</v>
      </c>
      <c r="BC51" s="858" t="s">
        <v>5649</v>
      </c>
      <c r="CN51" s="1274">
        <v>99</v>
      </c>
      <c r="CO51" s="1275" t="s">
        <v>5955</v>
      </c>
      <c r="CP51" s="1279">
        <v>100</v>
      </c>
      <c r="CQ51" s="1278" t="s">
        <v>6005</v>
      </c>
      <c r="CR51" s="1281">
        <v>97</v>
      </c>
      <c r="CS51" s="1280" t="s">
        <v>6053</v>
      </c>
      <c r="DL51" s="1211" t="s">
        <v>6423</v>
      </c>
      <c r="DM51" s="1210" t="s">
        <v>3953</v>
      </c>
      <c r="DS51" s="1767">
        <v>52</v>
      </c>
      <c r="DT51" s="1777" t="s">
        <v>6538</v>
      </c>
      <c r="DU51" s="1761" t="str">
        <f t="shared" ref="DU51" si="19">DV51&amp;" / "&amp;DV52</f>
        <v>X (son âme, sa présence et son aura) ne peut être détecté par des sorts à NE &lt;= NE(relique), X n’est détectable que par la vue. Aucun focus à NE&lt;=NE(relique) ne peut le prendre pour cible.  / Permanent. Perte 1 Mana ou EN (choi X) à chaque fois qu’un sort est évité ainsi.</v>
      </c>
      <c r="DV51" s="1357" t="s">
        <v>6539</v>
      </c>
    </row>
    <row r="52" spans="6:126" ht="21.6" hidden="1" customHeight="1" thickBot="1">
      <c r="F52">
        <v>49</v>
      </c>
      <c r="I52" s="1162" t="s">
        <v>5273</v>
      </c>
      <c r="J52" s="1165" t="s">
        <v>5314</v>
      </c>
      <c r="O52" s="1185" t="s">
        <v>5389</v>
      </c>
      <c r="BC52" s="858" t="s">
        <v>5650</v>
      </c>
      <c r="CR52" s="1282">
        <v>99</v>
      </c>
      <c r="CS52" s="1283" t="s">
        <v>6054</v>
      </c>
      <c r="DL52" s="1337" t="s">
        <v>621</v>
      </c>
      <c r="DM52" s="1345" t="s">
        <v>6439</v>
      </c>
      <c r="DS52" s="1768"/>
      <c r="DT52" s="1778"/>
      <c r="DU52" s="1762"/>
      <c r="DV52" s="1358" t="s">
        <v>6540</v>
      </c>
    </row>
    <row r="53" spans="6:126" ht="21.6" hidden="1" customHeight="1" thickBot="1">
      <c r="F53">
        <v>50</v>
      </c>
      <c r="I53" s="1161" t="s">
        <v>5274</v>
      </c>
      <c r="J53" s="1164" t="s">
        <v>5315</v>
      </c>
      <c r="O53" s="1184" t="s">
        <v>5390</v>
      </c>
      <c r="BC53" s="858" t="s">
        <v>5651</v>
      </c>
      <c r="CR53" s="1281">
        <v>100</v>
      </c>
      <c r="CS53" s="1280" t="s">
        <v>6055</v>
      </c>
      <c r="DL53" s="1339" t="s">
        <v>97</v>
      </c>
      <c r="DM53" s="1346" t="s">
        <v>6440</v>
      </c>
      <c r="DS53" s="1708">
        <v>56</v>
      </c>
      <c r="DT53" s="1765" t="s">
        <v>6541</v>
      </c>
      <c r="DU53" s="1761" t="str">
        <f t="shared" ref="DU53" si="20">DV53&amp;" / "&amp;DV54</f>
        <v>Pertes d’EN d’origine Maladie/Animale/PN/Magie (D10*) - NE x5 par phase. / Coûte 1 malus souffle par tranche de 5 EN évités. Permanent.</v>
      </c>
      <c r="DV53" s="1359" t="s">
        <v>6542</v>
      </c>
    </row>
    <row r="54" spans="6:126" ht="21.6" hidden="1" customHeight="1" thickBot="1">
      <c r="F54">
        <v>51</v>
      </c>
      <c r="I54" s="1160" t="s">
        <v>5265</v>
      </c>
      <c r="J54" s="1163" t="s">
        <v>5306</v>
      </c>
      <c r="O54" s="1183" t="s">
        <v>5381</v>
      </c>
      <c r="BC54" s="1191" t="s">
        <v>5652</v>
      </c>
      <c r="DL54" s="1241" t="s">
        <v>6380</v>
      </c>
      <c r="DM54" s="1340" t="s">
        <v>4238</v>
      </c>
      <c r="DS54" s="1709"/>
      <c r="DT54" s="1766"/>
      <c r="DU54" s="1762"/>
      <c r="DV54" s="1356" t="s">
        <v>6543</v>
      </c>
    </row>
    <row r="55" spans="6:126" ht="21.6" hidden="1" customHeight="1" thickBot="1">
      <c r="F55">
        <v>52</v>
      </c>
      <c r="I55" s="1161" t="s">
        <v>5266</v>
      </c>
      <c r="J55" s="1164" t="s">
        <v>5307</v>
      </c>
      <c r="O55" s="1184" t="s">
        <v>5382</v>
      </c>
      <c r="BC55" s="1192" t="s">
        <v>5518</v>
      </c>
      <c r="DL55" s="1329" t="s">
        <v>6380</v>
      </c>
      <c r="DM55" s="1341" t="s">
        <v>4238</v>
      </c>
      <c r="DS55" s="1767">
        <v>60</v>
      </c>
      <c r="DT55" s="1777" t="s">
        <v>6544</v>
      </c>
      <c r="DU55" s="1761" t="str">
        <f t="shared" ref="DU55" si="21">DV55&amp;" / "&amp;DV56</f>
        <v>Déterminer le type de métal : fer/bronze/argent/or (D10*). Les blessures TEC infligées par des armes ayant ce métal comme principal composant (&gt;50%) sont annulées et celle infligées par les armes magiques dans ce métal voient sont réduites de NE points. Les effets critiques, magiques et autres restent valables. / Permanent. Coûte 2 EN ou Mana à X par activation de l’effet (par coup donc).</v>
      </c>
      <c r="DV55" s="1357" t="s">
        <v>6545</v>
      </c>
    </row>
    <row r="56" spans="6:126" ht="21.6" hidden="1" customHeight="1" thickBot="1">
      <c r="F56">
        <v>53</v>
      </c>
      <c r="I56" s="1162" t="s">
        <v>5267</v>
      </c>
      <c r="J56" s="1165" t="s">
        <v>5308</v>
      </c>
      <c r="O56" s="1185" t="s">
        <v>5383</v>
      </c>
      <c r="BC56" s="1192" t="s">
        <v>5653</v>
      </c>
      <c r="DL56" s="1237" t="s">
        <v>6389</v>
      </c>
      <c r="DM56" s="1342" t="s">
        <v>4193</v>
      </c>
      <c r="DS56" s="1768"/>
      <c r="DT56" s="1778"/>
      <c r="DU56" s="1762"/>
      <c r="DV56" s="1358" t="s">
        <v>6546</v>
      </c>
    </row>
    <row r="57" spans="6:126" ht="21.6" hidden="1" customHeight="1" thickBot="1">
      <c r="F57">
        <v>54</v>
      </c>
      <c r="I57" s="1161" t="s">
        <v>5268</v>
      </c>
      <c r="J57" s="1164" t="s">
        <v>5309</v>
      </c>
      <c r="O57" s="1184" t="s">
        <v>5384</v>
      </c>
      <c r="BC57" s="1192" t="s">
        <v>5654</v>
      </c>
      <c r="DL57" s="1237" t="s">
        <v>6399</v>
      </c>
      <c r="DM57" s="1342" t="s">
        <v>4193</v>
      </c>
      <c r="DS57" s="1708">
        <v>63</v>
      </c>
      <c r="DT57" s="1765" t="s">
        <v>6547</v>
      </c>
      <c r="DU57" s="1761" t="str">
        <f t="shared" ref="DU57" si="22">DV57&amp;" / "&amp;DV58</f>
        <v>RP+NEx2, les poisons à NE&lt;=NE(relique) sans effet (pertes EN, paralysie, etc.).   / Permanent.</v>
      </c>
      <c r="DV57" s="1360" t="s">
        <v>6548</v>
      </c>
    </row>
    <row r="58" spans="6:126" ht="21.6" hidden="1" customHeight="1" thickBot="1">
      <c r="F58">
        <v>55</v>
      </c>
      <c r="I58" s="1162" t="s">
        <v>5269</v>
      </c>
      <c r="J58" s="1165" t="s">
        <v>5310</v>
      </c>
      <c r="O58" s="1185" t="s">
        <v>5385</v>
      </c>
      <c r="BC58" s="1192" t="s">
        <v>5655</v>
      </c>
      <c r="DL58" s="1332" t="s">
        <v>6409</v>
      </c>
      <c r="DM58" s="1343" t="s">
        <v>4001</v>
      </c>
      <c r="DS58" s="1709"/>
      <c r="DT58" s="1766"/>
      <c r="DU58" s="1762"/>
      <c r="DV58" s="1356" t="s">
        <v>6475</v>
      </c>
    </row>
    <row r="59" spans="6:126" ht="21.6" hidden="1" customHeight="1" thickBot="1">
      <c r="F59">
        <v>56</v>
      </c>
      <c r="I59" s="1161" t="s">
        <v>5270</v>
      </c>
      <c r="J59" s="1164" t="s">
        <v>5311</v>
      </c>
      <c r="O59" s="1184" t="s">
        <v>5386</v>
      </c>
      <c r="BC59" s="1192" t="s">
        <v>5656</v>
      </c>
      <c r="DL59" s="1334" t="s">
        <v>6415</v>
      </c>
      <c r="DM59" s="1344" t="s">
        <v>4105</v>
      </c>
      <c r="DS59" s="1763">
        <v>66</v>
      </c>
      <c r="DT59" s="1777" t="s">
        <v>6549</v>
      </c>
      <c r="DU59" s="1761" t="str">
        <f t="shared" ref="DU59" si="23">DV59&amp;" / "&amp;DV60</f>
        <v xml:space="preserve">Déterminer un Pouvoir magique au hasard de l’alignement de la relique, le NE des sorts de ce Pouvoir est réduit de NE(relique) si la magie est utilisée contre X.  / Permanent. Coûte 3 EN à X par activation.  </v>
      </c>
      <c r="DV59" s="1357" t="s">
        <v>6550</v>
      </c>
    </row>
    <row r="60" spans="6:126" ht="21.6" hidden="1" customHeight="1" thickBot="1">
      <c r="F60">
        <v>57</v>
      </c>
      <c r="I60" s="1162" t="s">
        <v>5271</v>
      </c>
      <c r="J60" s="1165" t="s">
        <v>5312</v>
      </c>
      <c r="O60" s="1185" t="s">
        <v>5387</v>
      </c>
      <c r="BC60" s="1192" t="s">
        <v>5657</v>
      </c>
      <c r="DL60" s="1334" t="s">
        <v>6415</v>
      </c>
      <c r="DM60" s="1344" t="s">
        <v>4105</v>
      </c>
      <c r="DS60" s="1764"/>
      <c r="DT60" s="1778"/>
      <c r="DU60" s="1762"/>
      <c r="DV60" s="1358" t="s">
        <v>6551</v>
      </c>
    </row>
    <row r="61" spans="6:126" ht="21.6" hidden="1" customHeight="1" thickBot="1">
      <c r="F61">
        <v>58</v>
      </c>
      <c r="I61" s="1161" t="s">
        <v>5272</v>
      </c>
      <c r="J61" s="1164" t="s">
        <v>5313</v>
      </c>
      <c r="O61" s="1184" t="s">
        <v>5388</v>
      </c>
      <c r="BC61" s="1192" t="s">
        <v>5658</v>
      </c>
      <c r="DL61" s="1211" t="s">
        <v>6424</v>
      </c>
      <c r="DM61" s="1210" t="s">
        <v>3953</v>
      </c>
      <c r="DS61" s="1708">
        <v>67</v>
      </c>
      <c r="DT61" s="1765" t="s">
        <v>6552</v>
      </c>
      <c r="DU61" s="1761" t="str">
        <f t="shared" ref="DU61" si="24">DV61&amp;" / "&amp;DV62</f>
        <v>Déterminer un alignement au hasard. Immunité aux effets des sorts de cet alignement ayant une DS&lt;=NE(relique). / Permanent. Coûte 4 EN à X par activation.</v>
      </c>
      <c r="DV61" s="1359" t="s">
        <v>6553</v>
      </c>
    </row>
    <row r="62" spans="6:126" ht="21.6" hidden="1" customHeight="1" thickBot="1">
      <c r="F62">
        <v>59</v>
      </c>
      <c r="I62" s="1162" t="s">
        <v>5273</v>
      </c>
      <c r="J62" s="1165" t="s">
        <v>5314</v>
      </c>
      <c r="O62" s="1185" t="s">
        <v>5389</v>
      </c>
      <c r="BC62" s="1192" t="s">
        <v>5659</v>
      </c>
      <c r="DL62" s="1337" t="s">
        <v>6430</v>
      </c>
      <c r="DM62" s="1345" t="s">
        <v>6439</v>
      </c>
      <c r="DS62" s="1709"/>
      <c r="DT62" s="1766"/>
      <c r="DU62" s="1762"/>
      <c r="DV62" s="1356" t="s">
        <v>6554</v>
      </c>
    </row>
    <row r="63" spans="6:126" ht="21.6" hidden="1" customHeight="1" thickBot="1">
      <c r="F63">
        <v>60</v>
      </c>
      <c r="I63" s="1161" t="s">
        <v>5274</v>
      </c>
      <c r="J63" s="1164" t="s">
        <v>5315</v>
      </c>
      <c r="O63" s="1184" t="s">
        <v>5390</v>
      </c>
      <c r="BC63" s="1192" t="s">
        <v>5660</v>
      </c>
      <c r="DL63" s="1339" t="s">
        <v>65</v>
      </c>
      <c r="DM63" s="1346" t="s">
        <v>6440</v>
      </c>
      <c r="DS63" s="1767">
        <v>68</v>
      </c>
      <c r="DT63" s="1777" t="s">
        <v>6555</v>
      </c>
      <c r="DU63" s="1761" t="str">
        <f t="shared" ref="DU63" si="25">DV63&amp;" / "&amp;DV64</f>
        <v>Tous les sorts ayant une DS&lt;=NE(relique) voient leurs effets réduits de moitié. / Permanent. Coûte 5 EN à X  par activation.</v>
      </c>
      <c r="DV63" s="1357" t="s">
        <v>6556</v>
      </c>
    </row>
    <row r="64" spans="6:126" ht="21.6" hidden="1" customHeight="1" thickBot="1">
      <c r="F64">
        <v>61</v>
      </c>
      <c r="I64" s="1160" t="s">
        <v>5265</v>
      </c>
      <c r="J64" s="1163" t="s">
        <v>5306</v>
      </c>
      <c r="O64" s="1183" t="s">
        <v>5381</v>
      </c>
      <c r="BC64" s="1012" t="s">
        <v>5661</v>
      </c>
      <c r="DL64" s="1241" t="s">
        <v>1776</v>
      </c>
      <c r="DM64" s="1340" t="s">
        <v>4238</v>
      </c>
      <c r="DS64" s="1768"/>
      <c r="DT64" s="1778"/>
      <c r="DU64" s="1762"/>
      <c r="DV64" s="1358" t="s">
        <v>6557</v>
      </c>
    </row>
    <row r="65" spans="6:126" ht="21.6" hidden="1" customHeight="1" thickBot="1">
      <c r="F65">
        <v>62</v>
      </c>
      <c r="I65" s="1161" t="s">
        <v>5266</v>
      </c>
      <c r="J65" s="1164" t="s">
        <v>5307</v>
      </c>
      <c r="O65" s="1184" t="s">
        <v>5382</v>
      </c>
      <c r="BC65" s="858" t="s">
        <v>5662</v>
      </c>
      <c r="DL65" s="1329" t="s">
        <v>1776</v>
      </c>
      <c r="DM65" s="1341" t="s">
        <v>4238</v>
      </c>
      <c r="DS65" s="1708">
        <v>69</v>
      </c>
      <c r="DT65" s="1765" t="s">
        <v>6558</v>
      </c>
      <c r="DU65" s="1761" t="str">
        <f t="shared" ref="DU65" si="26">DV65&amp;" / "&amp;DV66</f>
        <v>Déterminer un sort offensif (RMa active) de l’alignement de la relique, ce sort à NE-NE(relique) lorsqu’il est utilisé contre X. / Permanent. Coûte 1 EN à X par activation.</v>
      </c>
      <c r="DV65" s="1359" t="s">
        <v>6559</v>
      </c>
    </row>
    <row r="66" spans="6:126" ht="21.6" hidden="1" customHeight="1" thickBot="1">
      <c r="F66">
        <v>63</v>
      </c>
      <c r="I66" s="1162" t="s">
        <v>5267</v>
      </c>
      <c r="J66" s="1165" t="s">
        <v>5308</v>
      </c>
      <c r="O66" s="1185" t="s">
        <v>5383</v>
      </c>
      <c r="BC66" s="858" t="s">
        <v>1811</v>
      </c>
      <c r="DL66" s="1237" t="s">
        <v>6390</v>
      </c>
      <c r="DM66" s="1342" t="s">
        <v>4193</v>
      </c>
      <c r="DS66" s="1709"/>
      <c r="DT66" s="1766"/>
      <c r="DU66" s="1762"/>
      <c r="DV66" s="1356" t="s">
        <v>6560</v>
      </c>
    </row>
    <row r="67" spans="6:126" ht="21.6" hidden="1" customHeight="1" thickBot="1">
      <c r="F67">
        <v>64</v>
      </c>
      <c r="I67" s="1161" t="s">
        <v>5268</v>
      </c>
      <c r="J67" s="1164" t="s">
        <v>5309</v>
      </c>
      <c r="O67" s="1184" t="s">
        <v>5384</v>
      </c>
      <c r="BC67" s="858" t="s">
        <v>5663</v>
      </c>
      <c r="DL67" s="1237" t="s">
        <v>6400</v>
      </c>
      <c r="DM67" s="1342" t="s">
        <v>4193</v>
      </c>
      <c r="DS67" s="1767">
        <v>71</v>
      </c>
      <c r="DT67" s="1777" t="s">
        <v>6561</v>
      </c>
      <c r="DU67" s="1761" t="str">
        <f t="shared" ref="DU67" si="27">DV67&amp;" / "&amp;DV68</f>
        <v>CI+RMa, la CR du tRC augmente de +RMa, la CI minimum = RMa x3 quels que soient les malus.   / NE usages par jour. Coûte 1 EN par usage.</v>
      </c>
      <c r="DV67" s="1357" t="s">
        <v>6562</v>
      </c>
    </row>
    <row r="68" spans="6:126" ht="21.6" hidden="1" customHeight="1" thickBot="1">
      <c r="F68">
        <v>65</v>
      </c>
      <c r="I68" s="1162" t="s">
        <v>5269</v>
      </c>
      <c r="J68" s="1165" t="s">
        <v>5310</v>
      </c>
      <c r="O68" s="1185" t="s">
        <v>5385</v>
      </c>
      <c r="BC68" s="858" t="s">
        <v>4315</v>
      </c>
      <c r="DL68" s="1332" t="s">
        <v>6409</v>
      </c>
      <c r="DM68" s="1343" t="s">
        <v>4001</v>
      </c>
      <c r="DS68" s="1768"/>
      <c r="DT68" s="1778"/>
      <c r="DU68" s="1762"/>
      <c r="DV68" s="1358" t="s">
        <v>6563</v>
      </c>
    </row>
    <row r="69" spans="6:126" ht="21.6" hidden="1" customHeight="1" thickBot="1">
      <c r="F69">
        <v>66</v>
      </c>
      <c r="I69" s="1161" t="s">
        <v>5270</v>
      </c>
      <c r="J69" s="1164" t="s">
        <v>5311</v>
      </c>
      <c r="O69" s="1184" t="s">
        <v>5386</v>
      </c>
      <c r="BC69" s="858" t="s">
        <v>4240</v>
      </c>
      <c r="DL69" s="1334" t="s">
        <v>6416</v>
      </c>
      <c r="DM69" s="1344" t="s">
        <v>4105</v>
      </c>
      <c r="DS69" s="1708">
        <v>72</v>
      </c>
      <c r="DT69" s="1765" t="s">
        <v>6564</v>
      </c>
      <c r="DU69" s="1761" t="str">
        <f t="shared" ref="DU69" si="28">DV69&amp;" / "&amp;DV70</f>
        <v>Permet de parler à la place d’une cible en vue. La cible peut résister avec un test V(res)-RMa(relique). Langue commune NE&gt;20 connue. Race identique.  / NE usages par jour. Coûte 5 EN par usage. Durée NE phases.</v>
      </c>
      <c r="DV69" s="1359" t="s">
        <v>6565</v>
      </c>
    </row>
    <row r="70" spans="6:126" ht="21.6" hidden="1" customHeight="1" thickBot="1">
      <c r="F70">
        <v>67</v>
      </c>
      <c r="I70" s="1162" t="s">
        <v>5271</v>
      </c>
      <c r="J70" s="1165" t="s">
        <v>5312</v>
      </c>
      <c r="O70" s="1185" t="s">
        <v>5387</v>
      </c>
      <c r="BC70" s="858" t="s">
        <v>5664</v>
      </c>
      <c r="DL70" s="1334" t="s">
        <v>6416</v>
      </c>
      <c r="DM70" s="1344" t="s">
        <v>4105</v>
      </c>
      <c r="DS70" s="1709"/>
      <c r="DT70" s="1766"/>
      <c r="DU70" s="1762"/>
      <c r="DV70" s="1356" t="s">
        <v>6566</v>
      </c>
    </row>
    <row r="71" spans="6:126" ht="21.6" hidden="1" customHeight="1" thickBot="1">
      <c r="F71">
        <v>68</v>
      </c>
      <c r="I71" s="1161" t="s">
        <v>5272</v>
      </c>
      <c r="J71" s="1164" t="s">
        <v>5313</v>
      </c>
      <c r="O71" s="1184" t="s">
        <v>5388</v>
      </c>
      <c r="BC71" s="858" t="s">
        <v>4283</v>
      </c>
      <c r="DL71" s="1211" t="s">
        <v>6425</v>
      </c>
      <c r="DM71" s="1210" t="s">
        <v>3953</v>
      </c>
      <c r="DS71" s="1767">
        <v>73</v>
      </c>
      <c r="DT71" s="1777" t="s">
        <v>6567</v>
      </c>
      <c r="DU71" s="1761" t="str">
        <f t="shared" ref="DU71" si="29">DV71&amp;" / "&amp;DV72</f>
        <v>Permet de parler dans la tête de RMa(relique) cibles en vue de X. Même race. Langue commune NE&gt;10. Permet un test de CI sans modificateur aucun. / 1x/jour. Coûte (nombre de cibles) EN par usage.</v>
      </c>
      <c r="DV71" s="1357" t="s">
        <v>6568</v>
      </c>
    </row>
    <row r="72" spans="6:126" ht="21.6" hidden="1" customHeight="1" thickBot="1">
      <c r="F72">
        <v>69</v>
      </c>
      <c r="I72" s="1162" t="s">
        <v>5273</v>
      </c>
      <c r="J72" s="1165" t="s">
        <v>5314</v>
      </c>
      <c r="O72" s="1185" t="s">
        <v>5389</v>
      </c>
      <c r="BC72" s="858" t="s">
        <v>5665</v>
      </c>
      <c r="DL72" s="1337" t="s">
        <v>6431</v>
      </c>
      <c r="DM72" s="1345" t="s">
        <v>6439</v>
      </c>
      <c r="DS72" s="1768"/>
      <c r="DT72" s="1778"/>
      <c r="DU72" s="1762"/>
      <c r="DV72" s="1358" t="s">
        <v>6569</v>
      </c>
    </row>
    <row r="73" spans="6:126" ht="21.6" hidden="1" customHeight="1" thickBot="1">
      <c r="F73">
        <v>70</v>
      </c>
      <c r="I73" s="1161" t="s">
        <v>5274</v>
      </c>
      <c r="J73" s="1164" t="s">
        <v>5315</v>
      </c>
      <c r="O73" s="1184" t="s">
        <v>5390</v>
      </c>
      <c r="BC73" s="858" t="s">
        <v>5666</v>
      </c>
      <c r="DL73" s="1339" t="s">
        <v>6433</v>
      </c>
      <c r="DM73" s="1346" t="s">
        <v>6440</v>
      </c>
      <c r="DS73" s="1708">
        <v>74</v>
      </c>
      <c r="DT73" s="1765" t="s">
        <v>6570</v>
      </c>
      <c r="DU73" s="1761" t="str">
        <f t="shared" ref="DU73" si="30">DV73&amp;" / "&amp;DV74</f>
        <v>Possède 1D10* sortilèges aléatoires d’un alignement au hasard. X a un lien spirituel normal/fanatique (d2) qui l’amène à défendre les valeurs de cet alignement. Si lien fanatique, tous les adversaires de cet alignement seront des ennemis de X. / Sorts. Dépense la mana de la relique ou de X à l’usage.</v>
      </c>
      <c r="DV73" s="1359" t="s">
        <v>6571</v>
      </c>
    </row>
    <row r="74" spans="6:126" ht="21.6" hidden="1" customHeight="1" thickBot="1">
      <c r="F74">
        <v>71</v>
      </c>
      <c r="I74" s="1160" t="s">
        <v>5275</v>
      </c>
      <c r="J74" s="1163" t="s">
        <v>5316</v>
      </c>
      <c r="O74" s="1183" t="s">
        <v>5391</v>
      </c>
      <c r="BC74" s="1191" t="s">
        <v>5667</v>
      </c>
      <c r="DL74" s="1241" t="s">
        <v>6381</v>
      </c>
      <c r="DM74" s="1340" t="s">
        <v>4238</v>
      </c>
      <c r="DS74" s="1709"/>
      <c r="DT74" s="1766"/>
      <c r="DU74" s="1762"/>
      <c r="DV74" s="1356" t="s">
        <v>6572</v>
      </c>
    </row>
    <row r="75" spans="6:126" ht="21.6" hidden="1" customHeight="1" thickBot="1">
      <c r="F75">
        <v>72</v>
      </c>
      <c r="I75" s="1161" t="s">
        <v>5276</v>
      </c>
      <c r="J75" s="1164" t="s">
        <v>5317</v>
      </c>
      <c r="O75" s="1184" t="s">
        <v>5392</v>
      </c>
      <c r="BC75" s="1192" t="s">
        <v>5668</v>
      </c>
      <c r="DL75" s="1329" t="s">
        <v>6381</v>
      </c>
      <c r="DM75" s="1341" t="s">
        <v>4238</v>
      </c>
      <c r="DS75" s="1767">
        <v>75</v>
      </c>
      <c r="DT75" s="1777" t="s">
        <v>6573</v>
      </c>
      <c r="DU75" s="1761" t="str">
        <f t="shared" ref="DU75" si="31">DV75&amp;" / "&amp;DV76</f>
        <v xml:space="preserve">Déterminer un animal / créature (d2).X peut utiliser tous les pouvoirs et les attributs (sens, la vitesse etc.), X sera l’ennemi des ennemis de cette espèce, il aura un malus général de NE(relique) s’il se bat contre cette espèce. Dans ce cas, la relique meurt si D100&lt;=RMa(relique) après le combat. / Permanent. </v>
      </c>
      <c r="DV75" s="1357" t="s">
        <v>6574</v>
      </c>
    </row>
    <row r="76" spans="6:126" ht="21.6" hidden="1" customHeight="1" thickBot="1">
      <c r="F76">
        <v>73</v>
      </c>
      <c r="I76" s="1162" t="s">
        <v>5277</v>
      </c>
      <c r="J76" s="1165" t="s">
        <v>5318</v>
      </c>
      <c r="O76" s="1185" t="s">
        <v>5393</v>
      </c>
      <c r="BC76" s="1192" t="s">
        <v>5435</v>
      </c>
      <c r="DL76" s="1237" t="s">
        <v>6391</v>
      </c>
      <c r="DM76" s="1342" t="s">
        <v>4193</v>
      </c>
      <c r="DS76" s="1768"/>
      <c r="DT76" s="1778"/>
      <c r="DU76" s="1762"/>
      <c r="DV76" s="1358" t="s">
        <v>6575</v>
      </c>
    </row>
    <row r="77" spans="6:126" ht="21.6" hidden="1" customHeight="1" thickBot="1">
      <c r="F77">
        <v>74</v>
      </c>
      <c r="I77" s="1161" t="s">
        <v>5278</v>
      </c>
      <c r="J77" s="1164" t="s">
        <v>5319</v>
      </c>
      <c r="O77" s="1184" t="s">
        <v>5394</v>
      </c>
      <c r="BC77" s="1192" t="s">
        <v>5669</v>
      </c>
      <c r="DL77" s="1237" t="s">
        <v>6401</v>
      </c>
      <c r="DM77" s="1342" t="s">
        <v>4193</v>
      </c>
      <c r="DS77" s="1708">
        <v>76</v>
      </c>
      <c r="DT77" s="1765" t="s">
        <v>6576</v>
      </c>
      <c r="DU77" s="1761" t="str">
        <f t="shared" ref="DU77" si="32">DV77&amp;" / "&amp;DV78</f>
        <v xml:space="preserve">À l’acquisition de la relique, X subit une attaque de la relique (sort NEM/NE). Si le sort passe X a un malus général de NE(x2 si X pas du même alignement) et sera incapable de s’en débarrasser et la défendera jusqu’à la mort.  / Permanent. </v>
      </c>
      <c r="DV77" s="1359" t="s">
        <v>6577</v>
      </c>
    </row>
    <row r="78" spans="6:126" ht="21.6" hidden="1" customHeight="1" thickBot="1">
      <c r="F78">
        <v>75</v>
      </c>
      <c r="I78" s="1162" t="s">
        <v>5279</v>
      </c>
      <c r="J78" s="1165" t="s">
        <v>5320</v>
      </c>
      <c r="O78" s="1185" t="s">
        <v>5395</v>
      </c>
      <c r="BC78" s="1192" t="s">
        <v>5670</v>
      </c>
      <c r="DL78" s="1332" t="s">
        <v>6406</v>
      </c>
      <c r="DM78" s="1343" t="s">
        <v>4001</v>
      </c>
      <c r="DS78" s="1709"/>
      <c r="DT78" s="1766"/>
      <c r="DU78" s="1762"/>
      <c r="DV78" s="1356" t="s">
        <v>6575</v>
      </c>
    </row>
    <row r="79" spans="6:126" ht="21.6" hidden="1" customHeight="1" thickBot="1">
      <c r="F79">
        <v>76</v>
      </c>
      <c r="I79" s="1161" t="s">
        <v>5280</v>
      </c>
      <c r="J79" s="1164" t="s">
        <v>5321</v>
      </c>
      <c r="O79" s="1184" t="s">
        <v>5396</v>
      </c>
      <c r="BC79" s="1192" t="s">
        <v>5671</v>
      </c>
      <c r="DL79" s="1334" t="s">
        <v>6414</v>
      </c>
      <c r="DM79" s="1344" t="s">
        <v>4105</v>
      </c>
      <c r="DS79" s="1767">
        <v>78</v>
      </c>
      <c r="DT79" s="1777" t="s">
        <v>6578</v>
      </c>
      <c r="DU79" s="1761" t="str">
        <f t="shared" ref="DU79" si="33">DV79&amp;" / "&amp;DV80</f>
        <v xml:space="preserve">Déterminez une malédiction au hasard qui correspond à une Action/Attitude(d2) précise liée à des sentiments profonds selon l’alignement de la relique. Un test Em(Com)x1 unique à l’acquisition de la relique, en cas d’échec, X devient un fanatique défenseur de la relique. Déterminez comment se débarrasser de la malédiction. X pourra apprendre cela en réussissant un test RMa, 1x/jour, coût RMa(relique) Mana ou EN. / Permanent. </v>
      </c>
      <c r="DV79" s="1357" t="s">
        <v>6579</v>
      </c>
    </row>
    <row r="80" spans="6:126" ht="21.6" hidden="1" customHeight="1" thickBot="1">
      <c r="F80">
        <v>77</v>
      </c>
      <c r="I80" s="1162" t="s">
        <v>5281</v>
      </c>
      <c r="J80" s="1165" t="s">
        <v>5322</v>
      </c>
      <c r="O80" s="1185" t="s">
        <v>5397</v>
      </c>
      <c r="BC80" s="1192" t="s">
        <v>5672</v>
      </c>
      <c r="DL80" s="1334" t="s">
        <v>6414</v>
      </c>
      <c r="DM80" s="1344" t="s">
        <v>4105</v>
      </c>
      <c r="DS80" s="1768"/>
      <c r="DT80" s="1778"/>
      <c r="DU80" s="1762"/>
      <c r="DV80" s="1358" t="s">
        <v>6575</v>
      </c>
    </row>
    <row r="81" spans="6:126" ht="21.6" hidden="1" customHeight="1" thickBot="1">
      <c r="F81">
        <v>78</v>
      </c>
      <c r="I81" s="1161" t="s">
        <v>5282</v>
      </c>
      <c r="J81" s="1164" t="s">
        <v>5323</v>
      </c>
      <c r="O81" s="1184" t="s">
        <v>5398</v>
      </c>
      <c r="BC81" s="1192" t="s">
        <v>5673</v>
      </c>
      <c r="DL81" s="1211" t="s">
        <v>6426</v>
      </c>
      <c r="DM81" s="1210" t="s">
        <v>3953</v>
      </c>
      <c r="DS81" s="1708">
        <v>81</v>
      </c>
      <c r="DT81" s="1765" t="s">
        <v>6580</v>
      </c>
      <c r="DU81" s="1761" t="str">
        <f t="shared" ref="DU81" si="34">DV81&amp;" / "&amp;DV82</f>
        <v>Déterminez un sort offensif (RMa active) au hasard dans l’alignement de la relique. Permet de lancer ce sort avec cette relique au NEM/NE de la relique.  / Selon DS sort, utilise uniquement les PdM de la relique.</v>
      </c>
      <c r="DV81" s="1359" t="s">
        <v>6581</v>
      </c>
    </row>
    <row r="82" spans="6:126" ht="21.6" hidden="1" customHeight="1" thickBot="1">
      <c r="F82">
        <v>79</v>
      </c>
      <c r="I82" s="1162" t="s">
        <v>5283</v>
      </c>
      <c r="J82" s="1165" t="s">
        <v>5324</v>
      </c>
      <c r="O82" s="1185" t="s">
        <v>5399</v>
      </c>
      <c r="BC82" s="1192" t="s">
        <v>656</v>
      </c>
      <c r="DL82" s="1337" t="s">
        <v>6432</v>
      </c>
      <c r="DM82" s="1345" t="s">
        <v>6439</v>
      </c>
      <c r="DS82" s="1709"/>
      <c r="DT82" s="1766"/>
      <c r="DU82" s="1762"/>
      <c r="DV82" s="1356" t="s">
        <v>6582</v>
      </c>
    </row>
    <row r="83" spans="6:126" ht="21.6" hidden="1" customHeight="1" thickBot="1">
      <c r="F83">
        <v>80</v>
      </c>
      <c r="I83" s="1161" t="s">
        <v>5284</v>
      </c>
      <c r="J83" s="1164" t="s">
        <v>5325</v>
      </c>
      <c r="O83" s="1184" t="s">
        <v>5400</v>
      </c>
      <c r="BC83" s="1192" t="s">
        <v>5674</v>
      </c>
      <c r="DL83" s="1339" t="s">
        <v>6437</v>
      </c>
      <c r="DM83" s="1346" t="s">
        <v>6440</v>
      </c>
      <c r="DS83" s="1767">
        <v>84</v>
      </c>
      <c r="DT83" s="1777" t="s">
        <v>6583</v>
      </c>
      <c r="DU83" s="1761" t="str">
        <f t="shared" ref="DU83" si="35">DV83&amp;" / "&amp;DV84</f>
        <v>Un test Em(Com)x1 unique à l’acquisition de la relique, en cas d’échec, X devient un fanatique défenseur de la relique. Déterminez une caractéristique au hasard (D10), elle reçoit un malus de -RMa.  / Permanent.</v>
      </c>
      <c r="DV83" s="1357" t="s">
        <v>6584</v>
      </c>
    </row>
    <row r="84" spans="6:126" ht="21.6" hidden="1" customHeight="1" thickBot="1">
      <c r="F84">
        <v>81</v>
      </c>
      <c r="I84" s="1160" t="s">
        <v>5275</v>
      </c>
      <c r="J84" s="1163" t="s">
        <v>5316</v>
      </c>
      <c r="O84" s="1183" t="s">
        <v>5391</v>
      </c>
      <c r="BC84" s="1012" t="s">
        <v>5675</v>
      </c>
      <c r="DL84" s="1241" t="s">
        <v>6382</v>
      </c>
      <c r="DM84" s="1340" t="s">
        <v>4238</v>
      </c>
      <c r="DS84" s="1768"/>
      <c r="DT84" s="1778"/>
      <c r="DU84" s="1762"/>
      <c r="DV84" s="1358" t="s">
        <v>6481</v>
      </c>
    </row>
    <row r="85" spans="6:126" ht="21.6" hidden="1" customHeight="1" thickBot="1">
      <c r="F85">
        <v>82</v>
      </c>
      <c r="I85" s="1161" t="s">
        <v>5276</v>
      </c>
      <c r="J85" s="1164" t="s">
        <v>5317</v>
      </c>
      <c r="O85" s="1184" t="s">
        <v>5392</v>
      </c>
      <c r="BC85" s="858" t="s">
        <v>5676</v>
      </c>
      <c r="DL85" s="1329" t="s">
        <v>6382</v>
      </c>
      <c r="DM85" s="1341" t="s">
        <v>4238</v>
      </c>
      <c r="DS85" s="1708">
        <v>85</v>
      </c>
      <c r="DT85" s="1765" t="s">
        <v>6585</v>
      </c>
      <c r="DU85" s="1761" t="str">
        <f t="shared" ref="DU85" si="36">DV85&amp;" / "&amp;DV86</f>
        <v>Déterminez un sort de l’alignement de la relique. X peut l’utiliser comme magie innée. / Permanent. Voir règles Livre 3 - Magie innée.</v>
      </c>
      <c r="DV85" s="1359" t="s">
        <v>6586</v>
      </c>
    </row>
    <row r="86" spans="6:126" ht="21.6" hidden="1" customHeight="1" thickBot="1">
      <c r="F86">
        <v>83</v>
      </c>
      <c r="I86" s="1162" t="s">
        <v>5277</v>
      </c>
      <c r="J86" s="1165" t="s">
        <v>5318</v>
      </c>
      <c r="O86" s="1185" t="s">
        <v>5393</v>
      </c>
      <c r="BC86" s="858" t="s">
        <v>1938</v>
      </c>
      <c r="DL86" s="1237" t="s">
        <v>6392</v>
      </c>
      <c r="DM86" s="1342" t="s">
        <v>4193</v>
      </c>
      <c r="DS86" s="1709"/>
      <c r="DT86" s="1766"/>
      <c r="DU86" s="1762"/>
      <c r="DV86" s="1356" t="s">
        <v>6587</v>
      </c>
    </row>
    <row r="87" spans="6:126" ht="21.6" hidden="1" customHeight="1" thickBot="1">
      <c r="F87">
        <v>84</v>
      </c>
      <c r="I87" s="1161" t="s">
        <v>5278</v>
      </c>
      <c r="J87" s="1164" t="s">
        <v>5319</v>
      </c>
      <c r="O87" s="1184" t="s">
        <v>5394</v>
      </c>
      <c r="BC87" s="858" t="s">
        <v>5677</v>
      </c>
      <c r="DL87" s="1237" t="s">
        <v>6402</v>
      </c>
      <c r="DM87" s="1342" t="s">
        <v>4193</v>
      </c>
      <c r="DS87" s="1767">
        <v>86</v>
      </c>
      <c r="DT87" s="1777" t="s">
        <v>6588</v>
      </c>
      <c r="DU87" s="1761" t="str">
        <f t="shared" ref="DU87" si="37">DV87&amp;" / "&amp;DV88</f>
        <v>Déterminez une malédiction correspondant à une zone du corps souffrant d’un problème physique lié à l’alignement de la relique. Une manie, un tic, une relation spéciale avec cette zone du corps (voir MdJ). Un test Em(Com)x1 unique à l’acquisition de la relique, en cas d’échec, X devient un fanatique défenseur de la relique.  / Permanent.</v>
      </c>
      <c r="DV87" s="1357" t="s">
        <v>6589</v>
      </c>
    </row>
    <row r="88" spans="6:126" ht="21.6" hidden="1" customHeight="1" thickBot="1">
      <c r="F88">
        <v>85</v>
      </c>
      <c r="I88" s="1162" t="s">
        <v>5279</v>
      </c>
      <c r="J88" s="1165" t="s">
        <v>5320</v>
      </c>
      <c r="O88" s="1185" t="s">
        <v>5395</v>
      </c>
      <c r="BC88" s="858" t="s">
        <v>5678</v>
      </c>
      <c r="DL88" s="1332" t="s">
        <v>6404</v>
      </c>
      <c r="DM88" s="1343" t="s">
        <v>4001</v>
      </c>
      <c r="DS88" s="1768"/>
      <c r="DT88" s="1778"/>
      <c r="DU88" s="1762"/>
      <c r="DV88" s="1358" t="s">
        <v>6475</v>
      </c>
    </row>
    <row r="89" spans="6:126" ht="21.6" hidden="1" customHeight="1" thickBot="1">
      <c r="F89">
        <v>86</v>
      </c>
      <c r="I89" s="1161" t="s">
        <v>5280</v>
      </c>
      <c r="J89" s="1164" t="s">
        <v>5321</v>
      </c>
      <c r="O89" s="1184" t="s">
        <v>5396</v>
      </c>
      <c r="BC89" s="858" t="s">
        <v>5679</v>
      </c>
      <c r="DL89" s="1334" t="s">
        <v>6415</v>
      </c>
      <c r="DM89" s="1344" t="s">
        <v>4105</v>
      </c>
      <c r="DS89" s="1708">
        <v>87</v>
      </c>
      <c r="DT89" s="1765" t="s">
        <v>6590</v>
      </c>
      <c r="DU89" s="1761" t="str">
        <f t="shared" ref="DU89" si="38">DV89&amp;" / "&amp;DV90</f>
        <v xml:space="preserve">Permet de réduire le NE d’un sort connu dont X est la cible de NE(relique) ou les pertes EN d’un poison de NE(relique)x3 ou les blessures d’un métal au choix de NE(relique) ou soigne NE(relique)x2 pertes d’EN ou réduit un sort affectant une cible autre que X de NE(relique)/2.  Au choix de X.  / Sort DS8. </v>
      </c>
      <c r="DV89" s="1359" t="s">
        <v>6591</v>
      </c>
    </row>
    <row r="90" spans="6:126" ht="21.6" hidden="1" customHeight="1" thickBot="1">
      <c r="F90">
        <v>87</v>
      </c>
      <c r="I90" s="1162" t="s">
        <v>5281</v>
      </c>
      <c r="J90" s="1165" t="s">
        <v>5322</v>
      </c>
      <c r="O90" s="1185" t="s">
        <v>5397</v>
      </c>
      <c r="BC90" s="858" t="s">
        <v>5680</v>
      </c>
      <c r="DL90" s="1334" t="s">
        <v>6415</v>
      </c>
      <c r="DM90" s="1344" t="s">
        <v>4105</v>
      </c>
      <c r="DS90" s="1709"/>
      <c r="DT90" s="1766"/>
      <c r="DU90" s="1762"/>
      <c r="DV90" s="1356" t="s">
        <v>6592</v>
      </c>
    </row>
    <row r="91" spans="6:126" ht="21.6" hidden="1" customHeight="1" thickBot="1">
      <c r="F91">
        <v>88</v>
      </c>
      <c r="I91" s="1161" t="s">
        <v>5282</v>
      </c>
      <c r="J91" s="1164" t="s">
        <v>5323</v>
      </c>
      <c r="O91" s="1184" t="s">
        <v>5398</v>
      </c>
      <c r="BC91" s="858" t="s">
        <v>5681</v>
      </c>
      <c r="DL91" s="1211" t="s">
        <v>6427</v>
      </c>
      <c r="DM91" s="1210" t="s">
        <v>3953</v>
      </c>
      <c r="DS91" s="1763">
        <v>88</v>
      </c>
      <c r="DT91" s="1777" t="s">
        <v>6593</v>
      </c>
      <c r="DU91" s="1761" t="str">
        <f t="shared" ref="DU91" si="39">DV91&amp;" / "&amp;DV92</f>
        <v>Déterminez un pouvoir aléatoire, permet de lancer tous les sorts de ce pouvoir au NEM/NE de la relique. / Sort.</v>
      </c>
      <c r="DV91" s="1357" t="s">
        <v>6594</v>
      </c>
    </row>
    <row r="92" spans="6:126" ht="21.6" hidden="1" customHeight="1" thickBot="1">
      <c r="F92">
        <v>89</v>
      </c>
      <c r="I92" s="1162" t="s">
        <v>5283</v>
      </c>
      <c r="J92" s="1165" t="s">
        <v>5324</v>
      </c>
      <c r="O92" s="1185" t="s">
        <v>5399</v>
      </c>
      <c r="BC92" s="858" t="s">
        <v>5682</v>
      </c>
      <c r="DL92" s="1337" t="s">
        <v>6433</v>
      </c>
      <c r="DM92" s="1345" t="s">
        <v>6439</v>
      </c>
      <c r="DS92" s="1764"/>
      <c r="DT92" s="1778"/>
      <c r="DU92" s="1762"/>
      <c r="DV92" s="1358" t="s">
        <v>6595</v>
      </c>
    </row>
    <row r="93" spans="6:126" ht="21.6" hidden="1" customHeight="1" thickBot="1">
      <c r="F93">
        <v>90</v>
      </c>
      <c r="I93" s="1161" t="s">
        <v>5284</v>
      </c>
      <c r="J93" s="1164" t="s">
        <v>5325</v>
      </c>
      <c r="O93" s="1184" t="s">
        <v>5400</v>
      </c>
      <c r="BC93" s="858" t="s">
        <v>5683</v>
      </c>
      <c r="DL93" s="1339" t="s">
        <v>6432</v>
      </c>
      <c r="DM93" s="1346" t="s">
        <v>6440</v>
      </c>
      <c r="DS93" s="1708">
        <v>89</v>
      </c>
      <c r="DT93" s="1765" t="s">
        <v>6596</v>
      </c>
      <c r="DU93" s="1761" t="str">
        <f t="shared" ref="DU93" si="40">DV93&amp;" / "&amp;DV94</f>
        <v xml:space="preserve">Fait fuir un être d’une race de créature à déterminer. Bonus général de NEx2 face à cette race.  / Sort DS7. Durée NEx10 tours. Distance NEx10m. Une cible à la fois. </v>
      </c>
      <c r="DV93" s="1359" t="s">
        <v>6597</v>
      </c>
    </row>
    <row r="94" spans="6:126" ht="21.6" hidden="1" customHeight="1" thickBot="1">
      <c r="F94">
        <v>91</v>
      </c>
      <c r="I94" s="1160" t="s">
        <v>5285</v>
      </c>
      <c r="J94" s="1163" t="s">
        <v>5326</v>
      </c>
      <c r="O94" s="1183" t="s">
        <v>5401</v>
      </c>
      <c r="BC94" s="1214" t="s">
        <v>5686</v>
      </c>
      <c r="DL94" s="1241" t="s">
        <v>6383</v>
      </c>
      <c r="DM94" s="1340" t="s">
        <v>4238</v>
      </c>
      <c r="DS94" s="1709"/>
      <c r="DT94" s="1766"/>
      <c r="DU94" s="1762"/>
      <c r="DV94" s="1356" t="s">
        <v>6598</v>
      </c>
    </row>
    <row r="95" spans="6:126" ht="21.6" hidden="1" customHeight="1" thickBot="1">
      <c r="F95">
        <v>92</v>
      </c>
      <c r="I95" s="1161" t="s">
        <v>5286</v>
      </c>
      <c r="J95" s="1164" t="s">
        <v>5327</v>
      </c>
      <c r="O95" s="1184" t="s">
        <v>5402</v>
      </c>
      <c r="BC95" s="1221" t="s">
        <v>5687</v>
      </c>
      <c r="DL95" s="1329" t="s">
        <v>6383</v>
      </c>
      <c r="DM95" s="1341" t="s">
        <v>4238</v>
      </c>
      <c r="DS95" s="1767">
        <v>90</v>
      </c>
      <c r="DT95" s="1777" t="s">
        <v>558</v>
      </c>
      <c r="DU95" s="1761" t="str">
        <f t="shared" ref="DU95" si="41">DV95&amp;" / "&amp;DV96</f>
        <v>X a un bonus général de RMa dans tous les tests avec lesquels il pourrait s’enrichir matériellement (trésor, négociation, recherche etc.). / Permanent. NE tests par jour.</v>
      </c>
      <c r="DV95" s="1357" t="s">
        <v>6599</v>
      </c>
    </row>
    <row r="96" spans="6:126" ht="21.6" hidden="1" customHeight="1" thickBot="1">
      <c r="F96">
        <v>93</v>
      </c>
      <c r="I96" s="1162" t="s">
        <v>5287</v>
      </c>
      <c r="J96" s="1165" t="s">
        <v>5328</v>
      </c>
      <c r="O96" s="1185" t="s">
        <v>5403</v>
      </c>
      <c r="BC96" s="1221" t="s">
        <v>5688</v>
      </c>
      <c r="DL96" s="1237" t="s">
        <v>6393</v>
      </c>
      <c r="DM96" s="1342" t="s">
        <v>4193</v>
      </c>
      <c r="DS96" s="1768"/>
      <c r="DT96" s="1778"/>
      <c r="DU96" s="1762"/>
      <c r="DV96" s="1358" t="s">
        <v>6600</v>
      </c>
    </row>
    <row r="97" spans="1:126" ht="21.6" hidden="1" customHeight="1" thickBot="1">
      <c r="F97">
        <v>94</v>
      </c>
      <c r="I97" s="1161" t="s">
        <v>5288</v>
      </c>
      <c r="J97" s="1164" t="s">
        <v>5329</v>
      </c>
      <c r="O97" s="1184" t="s">
        <v>5404</v>
      </c>
      <c r="BC97" s="1221" t="s">
        <v>5689</v>
      </c>
      <c r="DL97" s="1237" t="s">
        <v>6403</v>
      </c>
      <c r="DM97" s="1342" t="s">
        <v>4193</v>
      </c>
      <c r="DS97" s="1708">
        <v>91</v>
      </c>
      <c r="DT97" s="1765" t="s">
        <v>6601</v>
      </c>
      <c r="DU97" s="1761" t="str">
        <f t="shared" ref="DU97" si="42">DV97&amp;" / "&amp;DV98</f>
        <v>Déterminer ce qui est soigné : blessure / malédiction / effet de blessure / maladie / pertes EN / perte temporaires (d6). Soin total si tRN ou mieux.  / Sort DS8. Distance = toucher.</v>
      </c>
      <c r="DV97" s="1359" t="s">
        <v>6602</v>
      </c>
    </row>
    <row r="98" spans="1:126" ht="21.6" hidden="1" customHeight="1" thickBot="1">
      <c r="F98">
        <v>95</v>
      </c>
      <c r="I98" s="1162" t="s">
        <v>5289</v>
      </c>
      <c r="J98" s="1165" t="s">
        <v>5330</v>
      </c>
      <c r="O98" s="1185" t="s">
        <v>5405</v>
      </c>
      <c r="BC98" s="1214" t="s">
        <v>5690</v>
      </c>
      <c r="DL98" s="1332" t="s">
        <v>6407</v>
      </c>
      <c r="DM98" s="1343" t="s">
        <v>4001</v>
      </c>
      <c r="DS98" s="1709"/>
      <c r="DT98" s="1766"/>
      <c r="DU98" s="1762"/>
      <c r="DV98" s="1356" t="s">
        <v>6603</v>
      </c>
    </row>
    <row r="99" spans="1:126" ht="21.6" hidden="1" customHeight="1" thickBot="1">
      <c r="F99">
        <v>96</v>
      </c>
      <c r="I99" s="1161" t="s">
        <v>5290</v>
      </c>
      <c r="J99" s="1164" t="s">
        <v>5331</v>
      </c>
      <c r="O99" s="1184" t="s">
        <v>5406</v>
      </c>
      <c r="BC99" s="1221" t="s">
        <v>5691</v>
      </c>
      <c r="DL99" s="1334" t="s">
        <v>6416</v>
      </c>
      <c r="DM99" s="1344" t="s">
        <v>4105</v>
      </c>
      <c r="DS99" s="1767">
        <v>93</v>
      </c>
      <c r="DT99" s="1777" t="s">
        <v>6604</v>
      </c>
      <c r="DU99" s="1761" t="str">
        <f t="shared" ref="DU99" si="43">DV99&amp;" / "&amp;DV100</f>
        <v>Choisir un sort connu par X à RMa non active. Permet de lancer ce sort au NEM/NE de la relique.  / Selon DS du sort. NE+1 fois par jour. Pas de mana dépensée.</v>
      </c>
      <c r="DV99" s="1357" t="s">
        <v>6605</v>
      </c>
    </row>
    <row r="100" spans="1:126" ht="21.6" hidden="1" customHeight="1" thickBot="1">
      <c r="F100">
        <v>97</v>
      </c>
      <c r="I100" s="1162" t="s">
        <v>5291</v>
      </c>
      <c r="J100" s="1165" t="s">
        <v>5332</v>
      </c>
      <c r="O100" s="1185" t="s">
        <v>5407</v>
      </c>
      <c r="BC100" s="1221" t="s">
        <v>5692</v>
      </c>
      <c r="DL100" s="1334" t="s">
        <v>6416</v>
      </c>
      <c r="DM100" s="1344" t="s">
        <v>4105</v>
      </c>
      <c r="DS100" s="1768"/>
      <c r="DT100" s="1778"/>
      <c r="DU100" s="1762"/>
      <c r="DV100" s="1358" t="s">
        <v>6606</v>
      </c>
    </row>
    <row r="101" spans="1:126" ht="21.6" hidden="1" customHeight="1" thickBot="1">
      <c r="F101">
        <v>98</v>
      </c>
      <c r="I101" s="1161" t="s">
        <v>5292</v>
      </c>
      <c r="J101" s="1164" t="s">
        <v>5333</v>
      </c>
      <c r="O101" s="1184" t="s">
        <v>5408</v>
      </c>
      <c r="BC101" s="1221" t="s">
        <v>5693</v>
      </c>
      <c r="DL101" s="1211" t="s">
        <v>6425</v>
      </c>
      <c r="DM101" s="1210" t="s">
        <v>3953</v>
      </c>
      <c r="DS101" s="1763">
        <v>99</v>
      </c>
      <c r="DT101" s="1765" t="s">
        <v>4192</v>
      </c>
      <c r="DU101" s="1761" t="str">
        <f t="shared" ref="DU101" si="44">DV101&amp;" / "&amp;DV102</f>
        <v>Déterminez une DS=1D10. Permet de lancer tous les sorts de cette DS. / NE+1 fois par jour.</v>
      </c>
      <c r="DV101" s="1359" t="s">
        <v>6607</v>
      </c>
    </row>
    <row r="102" spans="1:126" ht="21.6" hidden="1" customHeight="1" thickBot="1">
      <c r="F102">
        <v>99</v>
      </c>
      <c r="I102" s="1162" t="s">
        <v>5293</v>
      </c>
      <c r="J102" s="1165" t="s">
        <v>5334</v>
      </c>
      <c r="O102" s="1185" t="s">
        <v>5409</v>
      </c>
      <c r="BC102" s="1221" t="s">
        <v>5694</v>
      </c>
      <c r="DL102" s="1337" t="s">
        <v>6434</v>
      </c>
      <c r="DM102" s="1345" t="s">
        <v>6439</v>
      </c>
      <c r="DS102" s="1764"/>
      <c r="DT102" s="1766"/>
      <c r="DU102" s="1762"/>
      <c r="DV102" s="1356" t="s">
        <v>6608</v>
      </c>
    </row>
    <row r="103" spans="1:126" ht="21.6" hidden="1" customHeight="1" thickBot="1">
      <c r="F103">
        <v>100</v>
      </c>
      <c r="I103" s="1161" t="s">
        <v>5294</v>
      </c>
      <c r="J103" s="1164" t="s">
        <v>5335</v>
      </c>
      <c r="O103" s="1184" t="s">
        <v>5410</v>
      </c>
      <c r="BC103" s="1221" t="s">
        <v>5695</v>
      </c>
      <c r="DL103" s="1339" t="s">
        <v>6438</v>
      </c>
      <c r="DM103" s="1346" t="s">
        <v>6440</v>
      </c>
      <c r="DS103" s="1763">
        <v>100</v>
      </c>
      <c r="DT103" s="1765" t="s">
        <v>6609</v>
      </c>
      <c r="DU103" s="1761" t="str">
        <f t="shared" ref="DU103" si="45">DV103&amp;" / "&amp;DV104</f>
        <v>Déterminez une DS = 1D10+10. Permet de lancer tous les sorts de la DS la plus proche de ce nombre (alignement relique). / NE fois par jour.</v>
      </c>
      <c r="DV103" s="1359" t="s">
        <v>6610</v>
      </c>
    </row>
    <row r="104" spans="1:126" ht="21" thickBot="1">
      <c r="DS104" s="1764"/>
      <c r="DT104" s="1766"/>
      <c r="DU104" s="1762"/>
      <c r="DV104" s="1356" t="s">
        <v>6611</v>
      </c>
    </row>
    <row r="105" spans="1:126" ht="15" thickTop="1">
      <c r="A105">
        <f ca="1">RANDBETWEEN(1,10)</f>
        <v>3</v>
      </c>
      <c r="B105">
        <f t="shared" ref="B105:B168" ca="1" si="46">RANDBETWEEN(1,100)</f>
        <v>57</v>
      </c>
      <c r="C105">
        <f t="shared" ref="C105:C161" ca="1" si="47">RANDBETWEEN(1,10)</f>
        <v>5</v>
      </c>
      <c r="D105" s="1180">
        <v>1</v>
      </c>
      <c r="E105" s="1178" t="s">
        <v>619</v>
      </c>
      <c r="F105" s="1174" t="str">
        <f ca="1">LOOKUP(A105,TRED10S,TREARME)</f>
        <v>Commune</v>
      </c>
      <c r="G105" s="1174"/>
      <c r="H105" s="1190" t="str">
        <f ca="1">IF(A105&lt;5,LOOKUP(B105,TRED100,treArmeCommune),IF(A105&lt;8,LOOKUP(B105,TRED100,treArmeCommune)&amp;" +  "&amp;LOOKUP(C105,tred10,treEquipement),IF(A105&lt;10,LOOKUP(B105,TRED100,treArmeRare),LOOKUP(B105,TRED100,treArmeRare)&amp;" +  "&amp;LOOKUP(C105,tred10,treEquipement))))</f>
        <v>Lance De chasse</v>
      </c>
      <c r="I105" s="1190"/>
      <c r="J105" s="1190"/>
      <c r="K105" s="1175"/>
    </row>
    <row r="106" spans="1:126">
      <c r="A106">
        <f t="shared" ref="A106:A110" ca="1" si="48">RANDBETWEEN(1,10)</f>
        <v>6</v>
      </c>
      <c r="B106">
        <f t="shared" ca="1" si="46"/>
        <v>87</v>
      </c>
      <c r="C106">
        <f t="shared" ca="1" si="47"/>
        <v>8</v>
      </c>
      <c r="D106" s="1181"/>
      <c r="E106" s="604" t="str">
        <f ca="1">"QT x "&amp;TrésParam!D14&amp;"%"</f>
        <v>QT x 160%</v>
      </c>
      <c r="F106" s="604" t="str">
        <f ca="1">TrésParam!E14</f>
        <v>Inachevée -10</v>
      </c>
      <c r="G106" s="604" t="str">
        <f ca="1">TrésParam!F14</f>
        <v>E= 50</v>
      </c>
      <c r="H106" s="604" t="str">
        <f ca="1">TrésParam!G14</f>
        <v>Moyenne</v>
      </c>
      <c r="I106" s="604" t="str">
        <f ca="1">TrésParam!H14</f>
        <v>Q= 40</v>
      </c>
      <c r="J106" s="604" t="str">
        <f ca="1">TrésParam!I14</f>
        <v>Très récent</v>
      </c>
      <c r="K106" s="1179" t="str">
        <f ca="1">TrésParam!J14</f>
        <v>Régionale</v>
      </c>
    </row>
    <row r="107" spans="1:126" ht="15" thickBot="1">
      <c r="A107">
        <f t="shared" ca="1" si="48"/>
        <v>2</v>
      </c>
      <c r="B107">
        <f t="shared" ca="1" si="46"/>
        <v>4</v>
      </c>
      <c r="C107">
        <f t="shared" ca="1" si="47"/>
        <v>7</v>
      </c>
      <c r="D107" s="1182"/>
      <c r="E107" s="1176">
        <f ca="1">IF(LEFT(I106,4)="Q- -",$M$4&amp;"("&amp;$N$4&amp;")",IF(LEFT(I106,2)="Q-",$M$5&amp;"("&amp;$N$5&amp;")",IF(LEFT(I106,3)="Q++",$M$6&amp;"("&amp;$N$6&amp;")",IF(LEFT(I106,2)="Q+",$M$7&amp;"("&amp;$N$7&amp;")",0))))</f>
        <v>0</v>
      </c>
      <c r="F107" s="1176"/>
      <c r="G107" s="1176"/>
      <c r="H107" s="1176">
        <f ca="1">IF(LEFT(F106,8)="Spéciale",$M$10&amp;"("&amp;$N$10&amp;")",0)</f>
        <v>0</v>
      </c>
      <c r="I107" s="1176"/>
      <c r="J107" s="1176">
        <f ca="1">IF(LEFT(H106,11)="Très Petite",$M$8&amp;"("&amp;$N$8&amp;")",IF(LEFT(H106,11)="Très Grande",$M$9&amp;"("&amp;$N$9&amp;")",0))</f>
        <v>0</v>
      </c>
      <c r="K107" s="1177"/>
    </row>
    <row r="108" spans="1:126" ht="15" thickTop="1">
      <c r="A108">
        <f ca="1">RANDBETWEEN(1,10)</f>
        <v>1</v>
      </c>
      <c r="B108">
        <f t="shared" ca="1" si="46"/>
        <v>13</v>
      </c>
      <c r="C108">
        <f t="shared" ca="1" si="47"/>
        <v>6</v>
      </c>
      <c r="D108" s="1180">
        <v>1</v>
      </c>
      <c r="E108" s="1178" t="s">
        <v>619</v>
      </c>
      <c r="F108" s="1174" t="str">
        <f ca="1">LOOKUP(A108,TRED10S,TREARME)</f>
        <v>Commune</v>
      </c>
      <c r="G108" s="1174"/>
      <c r="H108" s="1190" t="str">
        <f ca="1">IF(A108&lt;5,LOOKUP(B108,TRED100,treArmeCommune),IF(A108&lt;8,LOOKUP(B108,TRED100,treArmeCommune)&amp;" +  "&amp;LOOKUP(C108,tred10,treEquipement),IF(A108&lt;10,LOOKUP(B108,TRED100,treArmeRare),LOOKUP(B108,TRED100,treArmeRare)&amp;" +  "&amp;LOOKUP(C108,tred10,treEquipement))))</f>
        <v>Épée De joute</v>
      </c>
      <c r="I108" s="1190"/>
      <c r="J108" s="1190"/>
      <c r="K108" s="1175"/>
    </row>
    <row r="109" spans="1:126">
      <c r="A109">
        <f t="shared" ca="1" si="48"/>
        <v>4</v>
      </c>
      <c r="B109">
        <f t="shared" ca="1" si="46"/>
        <v>10</v>
      </c>
      <c r="C109">
        <f t="shared" ca="1" si="47"/>
        <v>6</v>
      </c>
      <c r="D109" s="1181"/>
      <c r="E109" s="604" t="str">
        <f ca="1">"QT x "&amp;TrésParam!D17&amp;"%"</f>
        <v>QT x 120%</v>
      </c>
      <c r="F109" s="604" t="str">
        <f ca="1">TrésParam!E17</f>
        <v>Grotesque -50</v>
      </c>
      <c r="G109" s="604" t="str">
        <f ca="1">TrésParam!F17</f>
        <v>Mauvais E- 40</v>
      </c>
      <c r="H109" s="604" t="str">
        <f ca="1">TrésParam!G17</f>
        <v>Moyenne</v>
      </c>
      <c r="I109" s="604" t="str">
        <f ca="1">TrésParam!H17</f>
        <v>Q- - 10</v>
      </c>
      <c r="J109" s="604" t="str">
        <f ca="1">TrésParam!I17</f>
        <v>Spécial +100</v>
      </c>
      <c r="K109" s="1179" t="str">
        <f ca="1">TrésParam!J17</f>
        <v>Etrangère +50</v>
      </c>
    </row>
    <row r="110" spans="1:126" ht="15" thickBot="1">
      <c r="A110">
        <f t="shared" ca="1" si="48"/>
        <v>3</v>
      </c>
      <c r="B110">
        <f t="shared" ca="1" si="46"/>
        <v>22</v>
      </c>
      <c r="C110">
        <f t="shared" ca="1" si="47"/>
        <v>3</v>
      </c>
      <c r="D110" s="1182"/>
      <c r="E110" s="1176" t="str">
        <f ca="1">IF(LEFT(I109,4)="Q- -",$M$4&amp;"("&amp;$N$4&amp;")",IF(LEFT(I109,2)="Q-",$M$5&amp;"("&amp;$N$5&amp;")",IF(LEFT(I109,3)="Q++",$M$6&amp;"("&amp;$N$6&amp;")",IF(LEFT(I109,2)="Q+",$M$7&amp;"("&amp;$N$7&amp;")",0))))</f>
        <v>Deux modifications sans bonus²(V-50)</v>
      </c>
      <c r="F110" s="1176"/>
      <c r="G110" s="1176"/>
      <c r="H110" s="1176">
        <f ca="1">IF(LEFT(F109,8)="Spéciale",$M$10&amp;"("&amp;$N$10&amp;")",0)</f>
        <v>0</v>
      </c>
      <c r="I110" s="1176"/>
      <c r="J110" s="1176">
        <f ca="1">IF(LEFT(H109,11)="Très Petite",$M$8&amp;"("&amp;$N$8&amp;")",IF(LEFT(H109,11)="Très Grande",$M$9&amp;"("&amp;$N$9&amp;")",0))</f>
        <v>0</v>
      </c>
      <c r="K110" s="1177"/>
    </row>
    <row r="111" spans="1:126" ht="15" thickBot="1"/>
    <row r="112" spans="1:126" ht="15" thickTop="1">
      <c r="A112">
        <f ca="1">RANDBETWEEN(1,10)</f>
        <v>8</v>
      </c>
      <c r="B112">
        <f t="shared" ca="1" si="46"/>
        <v>60</v>
      </c>
      <c r="C112">
        <f t="shared" ca="1" si="47"/>
        <v>3</v>
      </c>
      <c r="D112" s="1180">
        <v>2</v>
      </c>
      <c r="E112" s="1178" t="s">
        <v>640</v>
      </c>
      <c r="F112" s="1190" t="str">
        <f ca="1">LOOKUP(A112,TRED100,treArmure)</f>
        <v>Emblème</v>
      </c>
      <c r="G112" s="1190"/>
      <c r="H112" s="1174" t="str">
        <f ca="1">LOOKUP(A113,tred10,trePartieHum)</f>
        <v>Casque (T)</v>
      </c>
      <c r="I112" s="1174"/>
      <c r="J112" s="1174" t="str">
        <f ca="1">"Ani/Cré: "&amp;LOOKUP(C114,tred10,trePartieAniCre)</f>
        <v>Ani/Cré: Tête</v>
      </c>
      <c r="K112" s="1175"/>
    </row>
    <row r="113" spans="1:13">
      <c r="A113">
        <f t="shared" ref="A113:A117" ca="1" si="49">RANDBETWEEN(1,10)</f>
        <v>3</v>
      </c>
      <c r="B113">
        <f t="shared" ca="1" si="46"/>
        <v>37</v>
      </c>
      <c r="C113">
        <f t="shared" ca="1" si="47"/>
        <v>10</v>
      </c>
      <c r="D113" s="1181"/>
      <c r="E113" s="604" t="str">
        <f ca="1">"QT x "&amp;TrésParam!D27&amp;"%"</f>
        <v>QT x 120%</v>
      </c>
      <c r="F113" s="604" t="str">
        <f ca="1">TrésParam!E27</f>
        <v>Rare +30</v>
      </c>
      <c r="G113" s="604" t="str">
        <f ca="1">TrésParam!F27</f>
        <v>E= 60</v>
      </c>
      <c r="H113" s="604" t="str">
        <f ca="1">TrésParam!G27</f>
        <v>Très Grande +20</v>
      </c>
      <c r="I113" s="604" t="str">
        <f ca="1">TrésParam!H27</f>
        <v>Q+ 70</v>
      </c>
      <c r="J113" s="604" t="str">
        <f ca="1">TrésParam!I27</f>
        <v>Récent</v>
      </c>
      <c r="K113" s="1179" t="str">
        <f ca="1">TrésParam!J27</f>
        <v>Lointain +100</v>
      </c>
    </row>
    <row r="114" spans="1:13" ht="15" thickBot="1">
      <c r="A114">
        <f t="shared" ca="1" si="49"/>
        <v>8</v>
      </c>
      <c r="B114">
        <f t="shared" ca="1" si="46"/>
        <v>73</v>
      </c>
      <c r="C114">
        <f t="shared" ca="1" si="47"/>
        <v>3</v>
      </c>
      <c r="D114" s="1182"/>
      <c r="E114" s="1176" t="str">
        <f ca="1">IF(LEFT(I113,4)="Q- -",$S$4&amp;"("&amp;$T$4&amp;")",IF(LEFT(I113,2)="Q-",$S$5&amp;"("&amp;$T$5&amp;")",IF(LEFT(I113,3)="Q++",$S$6&amp;"("&amp;$T$6&amp;")",IF(LEFT(I113,2)="Q+",$S$7&amp;"("&amp;$T$7&amp;")",0))))</f>
        <v>Deux modifications²(V+100)</v>
      </c>
      <c r="F114" s="1176"/>
      <c r="G114" s="1176"/>
      <c r="H114" s="1176">
        <f ca="1">IF(LEFT(F113,8)="Spéciale",$S$8&amp;"("&amp;$T$8&amp;")",0)</f>
        <v>0</v>
      </c>
      <c r="I114" s="1176"/>
      <c r="J114" s="1176"/>
      <c r="K114" s="1177"/>
    </row>
    <row r="115" spans="1:13" ht="15" thickTop="1">
      <c r="A115">
        <f ca="1">RANDBETWEEN(1,10)</f>
        <v>2</v>
      </c>
      <c r="B115">
        <f t="shared" ca="1" si="46"/>
        <v>57</v>
      </c>
      <c r="C115">
        <f t="shared" ca="1" si="47"/>
        <v>10</v>
      </c>
      <c r="D115" s="1180">
        <v>2</v>
      </c>
      <c r="E115" s="1178" t="s">
        <v>640</v>
      </c>
      <c r="F115" s="1190" t="str">
        <f ca="1">LOOKUP(A115,TRED100,treArmure)</f>
        <v>Matériel d’entretien</v>
      </c>
      <c r="G115" s="1190"/>
      <c r="H115" s="1174" t="str">
        <f ca="1">LOOKUP(A116,tred10,trePartieHum)</f>
        <v>Plastron (Th)</v>
      </c>
      <c r="I115" s="1174"/>
      <c r="J115" s="1174" t="str">
        <f ca="1">"Ani/Cré: "&amp;LOOKUP(C117,tred10,trePartieAniCre)</f>
        <v>Ani/Cré: Plastron</v>
      </c>
      <c r="K115" s="1175"/>
    </row>
    <row r="116" spans="1:13">
      <c r="A116">
        <f t="shared" ca="1" si="49"/>
        <v>7</v>
      </c>
      <c r="B116">
        <f t="shared" ca="1" si="46"/>
        <v>62</v>
      </c>
      <c r="C116">
        <f t="shared" ca="1" si="47"/>
        <v>10</v>
      </c>
      <c r="D116" s="1181"/>
      <c r="E116" s="604" t="str">
        <f ca="1">"QT x "&amp;TrésParam!D30&amp;"%"</f>
        <v>QT x 140%</v>
      </c>
      <c r="F116" s="604" t="str">
        <f ca="1">TrésParam!E30</f>
        <v>Spéciale +50</v>
      </c>
      <c r="G116" s="604" t="str">
        <f ca="1">TrésParam!F30</f>
        <v>Très bon E+ 80</v>
      </c>
      <c r="H116" s="604" t="str">
        <f ca="1">TrésParam!G30</f>
        <v>Grande +10</v>
      </c>
      <c r="I116" s="604" t="str">
        <f ca="1">TrésParam!H30</f>
        <v>Q- - 10</v>
      </c>
      <c r="J116" s="604" t="str">
        <f ca="1">TrésParam!I30</f>
        <v>Assez Récent</v>
      </c>
      <c r="K116" s="1179" t="str">
        <f ca="1">TrésParam!J30</f>
        <v>Régionale</v>
      </c>
    </row>
    <row r="117" spans="1:13" ht="15" thickBot="1">
      <c r="A117">
        <f t="shared" ca="1" si="49"/>
        <v>3</v>
      </c>
      <c r="B117">
        <f t="shared" ca="1" si="46"/>
        <v>62</v>
      </c>
      <c r="C117">
        <f t="shared" ca="1" si="47"/>
        <v>8</v>
      </c>
      <c r="D117" s="1182"/>
      <c r="E117" s="1176" t="str">
        <f ca="1">IF(LEFT(I116,4)="Q- -",$S$4&amp;"("&amp;$T$4&amp;")",IF(LEFT(I116,2)="Q-",$S$5&amp;"("&amp;$T$5&amp;")",IF(LEFT(I116,3)="Q++",$S$6&amp;"("&amp;$T$6&amp;")",IF(LEFT(I116,2)="Q+",$S$7&amp;"("&amp;$T$7&amp;")",0))))</f>
        <v>Deux modifications sans bonus²(V-50)</v>
      </c>
      <c r="F117" s="1176"/>
      <c r="G117" s="1176"/>
      <c r="H117" s="1176" t="str">
        <f ca="1">IF(LEFT(F116,8)="Spéciale",$S$8&amp;"("&amp;$T$8&amp;")",0)</f>
        <v>1D10* modifications²(V+50)</v>
      </c>
      <c r="I117" s="1176"/>
      <c r="J117" s="1176"/>
      <c r="K117" s="1177"/>
    </row>
    <row r="118" spans="1:13" ht="15" thickBot="1"/>
    <row r="119" spans="1:13" ht="15" thickTop="1">
      <c r="A119">
        <f ca="1">RANDBETWEEN(1,10)</f>
        <v>8</v>
      </c>
      <c r="B119">
        <f t="shared" ca="1" si="46"/>
        <v>100</v>
      </c>
      <c r="C119">
        <f t="shared" ca="1" si="47"/>
        <v>6</v>
      </c>
      <c r="D119" s="1180">
        <v>2</v>
      </c>
      <c r="E119" s="1178" t="s">
        <v>5442</v>
      </c>
      <c r="F119" s="1190" t="str">
        <f ca="1">LOOKUP(B119,treDeArt,treArt)</f>
        <v>Précieux</v>
      </c>
      <c r="G119" s="1190"/>
      <c r="H119" s="1174" cm="1">
        <f t="array" aca="1" ref="H119" ca="1">IF(F119="Vêtement","NS "&amp;LOOKUP(B119,treDNS,treNS)&amp;"-"&amp;LOOKUP(A120,tred10,treVet&amp;" (VB"&amp;treVetVB&amp;")")&amp;" "&amp;LOOKUP(B121,treDVet,treVetMat),0)</f>
        <v>0</v>
      </c>
      <c r="I119" s="1174"/>
      <c r="J119" s="1174"/>
      <c r="K119" s="1175">
        <f ca="1">IF(F119="Professionnel",LOOKUP(B120,treDeArt,treArt),0)</f>
        <v>0</v>
      </c>
      <c r="M119" t="str">
        <f ca="1">IF(LEFT(H120,6)="Très P","L"&amp;C121*10&amp;" l"&amp;C120*10,IF(LEFT(H120,6)="Très G","L"&amp;C121*100&amp;" l"&amp;C120*100,IF(LEFT(H120,5)="Petit","L"&amp;C121*30&amp;" l"&amp;C120*30,IF(LEFT(H120,5)="Grand","L"&amp;C121*80&amp;" l"&amp;C120*80,"L"&amp;C121*50&amp;" l"&amp;C120*50))))</f>
        <v>L70 l30</v>
      </c>
    </row>
    <row r="120" spans="1:13">
      <c r="A120">
        <f t="shared" ref="A120:A124" ca="1" si="50">RANDBETWEEN(1,10)</f>
        <v>4</v>
      </c>
      <c r="B120">
        <f t="shared" ca="1" si="46"/>
        <v>77</v>
      </c>
      <c r="C120">
        <f t="shared" ca="1" si="47"/>
        <v>3</v>
      </c>
      <c r="D120" s="1181"/>
      <c r="E120" s="604" t="str">
        <f ca="1">IF(LEFT(F119,5)="Œuvre",1,"QT x "&amp;TrésParam!D34&amp;"%")</f>
        <v>QT x 120%</v>
      </c>
      <c r="F120" s="604" t="str">
        <f ca="1">IF(LEFT(F119,5)="Œuvre","For. Spéciale",TrésParam!E34)</f>
        <v>Rare +30</v>
      </c>
      <c r="G120" s="604" t="str">
        <f ca="1">TrésParam!F34</f>
        <v>Très bon E+ 90</v>
      </c>
      <c r="H120" s="604" t="str">
        <f ca="1">TrésParam!G34</f>
        <v>Très Petite -20</v>
      </c>
      <c r="I120" s="604" t="str">
        <f ca="1">IF(LEFT(F119,5)="Œuvre","Q++",TrésParam!H34)</f>
        <v>Q= 50</v>
      </c>
      <c r="J120" s="604" t="str">
        <f ca="1">TrésParam!I34</f>
        <v>Très récent</v>
      </c>
      <c r="K120" s="1179" t="str">
        <f ca="1">TrésParam!J34</f>
        <v>Lointain +100</v>
      </c>
    </row>
    <row r="121" spans="1:13" ht="15" thickBot="1">
      <c r="A121">
        <f t="shared" ca="1" si="50"/>
        <v>1</v>
      </c>
      <c r="B121">
        <f t="shared" ca="1" si="46"/>
        <v>59</v>
      </c>
      <c r="C121">
        <f t="shared" ca="1" si="47"/>
        <v>7</v>
      </c>
      <c r="D121" s="1182"/>
      <c r="E121" s="1176">
        <f ca="1">IF(F119="Professionnel",LOOKUP(C119,trePro,treOutil),0)</f>
        <v>0</v>
      </c>
      <c r="F121" s="1176"/>
      <c r="G121" s="1176">
        <f ca="1">IF(F119="Vaisselle",AH2&amp;" (V "&amp;AH1&amp;") en "&amp;AJ2&amp;" ("&amp;AJ1&amp;")",IF(F119="Fourrure",AL2&amp;" (V "&amp;AL1&amp;")",IF(F119="Tapisserie",AQ2&amp;" "&amp;M119&amp;"(V"&amp;AQ1&amp;")",0)))</f>
        <v>0</v>
      </c>
      <c r="H121" s="1176"/>
      <c r="I121" s="1176">
        <f ca="1">IF(F119="Statue",AS2&amp;"VB="&amp;C119*C120*5&amp;" (V "&amp;AS1&amp;") en "&amp;AU2&amp;" ("&amp;AU1&amp;")",IF(F119="Musique",AW2&amp;" VB="&amp;C119*AW1,0))</f>
        <v>0</v>
      </c>
      <c r="J121" s="1176"/>
      <c r="K121" s="1218" t="str">
        <f ca="1">IF(LEFT(F119,5)="Œuvre",LOOKUP(B120,treDeArt,treArt),IF(F119="Précieux",$AY$2&amp;" en "&amp;$BA$2,0))</f>
        <v>Collier  D10x4 en Étain  80</v>
      </c>
    </row>
    <row r="122" spans="1:13" ht="15" thickTop="1">
      <c r="A122">
        <f ca="1">RANDBETWEEN(1,10)</f>
        <v>4</v>
      </c>
      <c r="B122">
        <f t="shared" ca="1" si="46"/>
        <v>55</v>
      </c>
      <c r="C122">
        <f t="shared" ca="1" si="47"/>
        <v>10</v>
      </c>
      <c r="D122" s="1180">
        <v>2</v>
      </c>
      <c r="E122" s="1178" t="s">
        <v>5442</v>
      </c>
      <c r="F122" s="1190" t="str">
        <f ca="1">LOOKUP(B122,treDeArt,treArt)</f>
        <v>Vaisselle</v>
      </c>
      <c r="G122" s="1190"/>
      <c r="H122" s="1174" cm="1">
        <f t="array" aca="1" ref="H122" ca="1">IF(F122="Vêtement","NS "&amp;LOOKUP(B122,treDNS,treNS)&amp;"-"&amp;LOOKUP(A123,tred10,treVet&amp;" (VB"&amp;treVetVB&amp;")")&amp;" "&amp;LOOKUP(B124,treDVet,treVetMat),0)</f>
        <v>0</v>
      </c>
      <c r="I122" s="1174"/>
      <c r="J122" s="1174"/>
      <c r="K122" s="1175">
        <f ca="1">IF(F122="Professionnel",LOOKUP(B123,treDeArt,treArt),0)</f>
        <v>0</v>
      </c>
      <c r="M122" t="str">
        <f ca="1">IF(LEFT(H123,6)="Très P","L"&amp;C124*10&amp;" l"&amp;C123*10,IF(LEFT(H123,6)="Très G","L"&amp;C124*100&amp;" l"&amp;C123*100,IF(LEFT(H123,5)="Petit","L"&amp;C124*30&amp;" l"&amp;C123*30,IF(LEFT(H123,5)="Grand","L"&amp;C124*80&amp;" l"&amp;C123*80,"L"&amp;C124*50&amp;" l"&amp;C123*50))))</f>
        <v>L450 l50</v>
      </c>
    </row>
    <row r="123" spans="1:13">
      <c r="A123">
        <f t="shared" ca="1" si="50"/>
        <v>7</v>
      </c>
      <c r="B123">
        <f t="shared" ca="1" si="46"/>
        <v>3</v>
      </c>
      <c r="C123">
        <f t="shared" ca="1" si="47"/>
        <v>1</v>
      </c>
      <c r="D123" s="1181"/>
      <c r="E123" s="604" t="str">
        <f ca="1">IF(LEFT(F122,5)="Œuvre",1,"QT x "&amp;TrésParam!D37&amp;"%")</f>
        <v>QT x 40%</v>
      </c>
      <c r="F123" s="604" t="str">
        <f ca="1">IF(LEFT(F122,5)="Œuvre","For. Spéciale",TrésParam!E37)</f>
        <v>Inachevée -10</v>
      </c>
      <c r="G123" s="604" t="str">
        <f ca="1">TrésParam!F37</f>
        <v>E= 60</v>
      </c>
      <c r="H123" s="604" t="str">
        <f ca="1">TrésParam!G37</f>
        <v>Moyenne</v>
      </c>
      <c r="I123" s="604" t="str">
        <f ca="1">IF(LEFT(F122,5)="Œuvre","Q++",TrésParam!H37)</f>
        <v>Q+ 60</v>
      </c>
      <c r="J123" s="604" t="str">
        <f ca="1">TrésParam!I37</f>
        <v>Spécial +100</v>
      </c>
      <c r="K123" s="1179" t="str">
        <f ca="1">TrésParam!J37</f>
        <v>Etrangère +50</v>
      </c>
    </row>
    <row r="124" spans="1:13" ht="15" thickBot="1">
      <c r="A124">
        <f t="shared" ca="1" si="50"/>
        <v>6</v>
      </c>
      <c r="B124">
        <f t="shared" ca="1" si="46"/>
        <v>41</v>
      </c>
      <c r="C124">
        <f t="shared" ca="1" si="47"/>
        <v>9</v>
      </c>
      <c r="D124" s="1182"/>
      <c r="E124" s="1176">
        <f ca="1">IF(F122="Professionnel",LOOKUP(C122,trePro,treOutil),0)</f>
        <v>0</v>
      </c>
      <c r="F124" s="1176"/>
      <c r="G124" s="1176" t="str">
        <f ca="1">IF(F122="Vaisselle",AH5&amp;" (V "&amp;AH4&amp;") en "&amp;AJ5&amp;" ("&amp;AJ4&amp;")",IF(F122="Fourrure",AL5&amp;" (V "&amp;AL4&amp;")",IF(F122="Tapisserie",AQ5&amp;" "&amp;M122&amp;"(V"&amp;AQ4&amp;")",0)))</f>
        <v>D10x15 (V D10x10) en x1 (/2)</v>
      </c>
      <c r="H124" s="1176"/>
      <c r="I124" s="1176">
        <f ca="1">IF(F122="Statue",AS5&amp;"VB="&amp;C122*C123*5&amp;" (V "&amp;AS4&amp;") en "&amp;AU5&amp;" ("&amp;AU4&amp;")",IF(F122="Musique",AW5&amp;" VB="&amp;C122*AW4,0))</f>
        <v>0</v>
      </c>
      <c r="J124" s="1176"/>
      <c r="K124" s="1218">
        <f ca="1">IF(LEFT(F122,5)="Œuvre",LOOKUP(B123,treDeArt,treArt),IF(F122="Précieux",$AY$2&amp;" en "&amp;$BA$2,0))</f>
        <v>0</v>
      </c>
    </row>
    <row r="125" spans="1:13" ht="15" thickBot="1"/>
    <row r="126" spans="1:13" ht="15" thickTop="1">
      <c r="A126">
        <f ca="1">RANDBETWEEN(1,10)</f>
        <v>2</v>
      </c>
      <c r="B126">
        <f t="shared" ca="1" si="46"/>
        <v>32</v>
      </c>
      <c r="C126">
        <f t="shared" ca="1" si="47"/>
        <v>1</v>
      </c>
      <c r="D126" s="1180">
        <v>5</v>
      </c>
      <c r="E126" s="1178" t="s">
        <v>653</v>
      </c>
      <c r="F126" s="1190" t="str">
        <f ca="1">LOOKUP(A126,tred10,trediv)</f>
        <v>Boisson</v>
      </c>
      <c r="G126" s="1190"/>
      <c r="H126" s="1174" t="str">
        <f ca="1">LOOKUP(A127+(A126-1)*10,TRED100,treDivDet)</f>
        <v>Cidre</v>
      </c>
      <c r="I126" s="1174" t="str">
        <f ca="1">LOOKUP(C126,tred10,treDivCou)&amp;"-"&amp;LOOKUP(C127,treDivCouTeiD,treDivCoutei)&amp;" V"&amp;LOOKUP(C126,tred10,treDivCouV)</f>
        <v>Blanc-Très foncée V</v>
      </c>
      <c r="J126" s="1174"/>
      <c r="K126" s="1242" t="str">
        <f ca="1">LOOKUP(C128,tred10,treDivFor)</f>
        <v>Carrée</v>
      </c>
    </row>
    <row r="127" spans="1:13">
      <c r="A127">
        <f t="shared" ref="A127:A131" ca="1" si="51">RANDBETWEEN(1,10)</f>
        <v>4</v>
      </c>
      <c r="B127">
        <f t="shared" ca="1" si="46"/>
        <v>100</v>
      </c>
      <c r="C127">
        <f t="shared" ca="1" si="47"/>
        <v>10</v>
      </c>
      <c r="D127" s="1181"/>
      <c r="E127" s="604" t="str">
        <f ca="1">IF(LEFT(F126,5)="Œuvre",1,"QT x "&amp;TrésParam!D41&amp;"%")</f>
        <v>QT x 120%</v>
      </c>
      <c r="F127" s="604" t="str">
        <f ca="1">IF(LEFT(F126,5)="Œuvre","For. Spéciale",TrésParam!E41)</f>
        <v>Grotesque -50</v>
      </c>
      <c r="G127" s="604" t="str">
        <f ca="1">TrésParam!F41</f>
        <v>Mauvais E- 30</v>
      </c>
      <c r="H127" s="604" t="str">
        <f ca="1">TrésParam!G41</f>
        <v>Moyenne</v>
      </c>
      <c r="I127" s="604" t="str">
        <f ca="1">IF(LEFT(F126,5)="Œuvre","Q++",TrésParam!H41)</f>
        <v>Q++ 80</v>
      </c>
      <c r="J127" s="604" t="str">
        <f ca="1">TrésParam!I41</f>
        <v>Récent</v>
      </c>
      <c r="K127" s="1179" t="str">
        <f ca="1">TrésParam!J41</f>
        <v>Etrangère +30</v>
      </c>
    </row>
    <row r="128" spans="1:13" ht="15" thickBot="1">
      <c r="A128">
        <f t="shared" ca="1" si="51"/>
        <v>5</v>
      </c>
      <c r="B128">
        <f t="shared" ca="1" si="46"/>
        <v>5</v>
      </c>
      <c r="C128">
        <f t="shared" ca="1" si="47"/>
        <v>1</v>
      </c>
      <c r="D128" s="1182"/>
      <c r="E128" s="1176"/>
      <c r="F128" s="1176">
        <f ca="1">IF(A126=10,LOOKUP(A128+80,TRED100,treDivDet),0)</f>
        <v>0</v>
      </c>
      <c r="G128" s="1176">
        <f ca="1">IF(A126=10,"Boi-"&amp;LOOKUP(C128+10,TRED100,treDivDet),0)</f>
        <v>0</v>
      </c>
      <c r="H128" s="1176">
        <f ca="1">IF(A126=10,"div-"&amp;LOOKUP(C128+20,TRED100,treDivDet),0)</f>
        <v>0</v>
      </c>
      <c r="I128" s="1176">
        <f ca="1">IF(A126=10,"Nour-"&amp;LOOKUP(C128+30,TRED100,treDivDet),0)</f>
        <v>0</v>
      </c>
      <c r="J128" s="1176">
        <f ca="1">IF(A126=10,"Epi-"&amp;LOOKUP(C128+40,TRED100,treDivDet),0)</f>
        <v>0</v>
      </c>
      <c r="K128" s="1218"/>
    </row>
    <row r="129" spans="1:11" ht="15" thickTop="1">
      <c r="A129">
        <f ca="1">RANDBETWEEN(1,10)</f>
        <v>7</v>
      </c>
      <c r="B129">
        <f t="shared" ca="1" si="46"/>
        <v>50</v>
      </c>
      <c r="C129">
        <f t="shared" ca="1" si="47"/>
        <v>10</v>
      </c>
      <c r="D129" s="1180">
        <v>5</v>
      </c>
      <c r="E129" s="1178" t="s">
        <v>653</v>
      </c>
      <c r="F129" s="1190" t="str">
        <f ca="1">LOOKUP(A129,tred10,trediv)</f>
        <v>Animal</v>
      </c>
      <c r="G129" s="1190"/>
      <c r="H129" s="1174" t="str">
        <f ca="1">LOOKUP(A130+(A129-1)*10,TRED100,treDivDet)</f>
        <v>Chat</v>
      </c>
      <c r="I129" s="1174" t="str">
        <f ca="1">LOOKUP(C129,tred10,treDivCou)&amp;"-"&amp;LOOKUP(C130,treDivCouTeiD,treDivCoutei)&amp;" V"&amp;LOOKUP(C129,tred10,treDivCouV)</f>
        <v>Bicolore-Claire V80</v>
      </c>
      <c r="J129" s="1174"/>
      <c r="K129" s="1242" t="str">
        <f ca="1">LOOKUP(C131,tred10,treDivFor)</f>
        <v>Tubulaire</v>
      </c>
    </row>
    <row r="130" spans="1:11">
      <c r="A130">
        <f t="shared" ca="1" si="51"/>
        <v>6</v>
      </c>
      <c r="B130">
        <f t="shared" ca="1" si="46"/>
        <v>39</v>
      </c>
      <c r="C130">
        <f t="shared" ca="1" si="47"/>
        <v>4</v>
      </c>
      <c r="D130" s="1181"/>
      <c r="E130" s="604" t="str">
        <f ca="1">IF(LEFT(F129,5)="Œuvre",1,"QT x "&amp;TrésParam!D44&amp;"%")</f>
        <v>QT x 120%</v>
      </c>
      <c r="F130" s="604" t="str">
        <f ca="1">IF(LEFT(F129,5)="Œuvre","For. Spéciale",TrésParam!E44)</f>
        <v>Rare +30</v>
      </c>
      <c r="G130" s="604" t="str">
        <f ca="1">TrésParam!F44</f>
        <v>Mauvais E- 40</v>
      </c>
      <c r="H130" s="604" t="str">
        <f ca="1">TrésParam!G44</f>
        <v>Moyenne</v>
      </c>
      <c r="I130" s="604" t="str">
        <f ca="1">IF(LEFT(F129,5)="Œuvre","Q++",TrésParam!H44)</f>
        <v>Q+ 70</v>
      </c>
      <c r="J130" s="604" t="str">
        <f ca="1">TrésParam!I44</f>
        <v>Ancien +50</v>
      </c>
      <c r="K130" s="1179" t="str">
        <f ca="1">TrésParam!J44</f>
        <v>Très locale</v>
      </c>
    </row>
    <row r="131" spans="1:11" ht="15" thickBot="1">
      <c r="A131">
        <f t="shared" ca="1" si="51"/>
        <v>5</v>
      </c>
      <c r="B131">
        <f t="shared" ca="1" si="46"/>
        <v>37</v>
      </c>
      <c r="C131">
        <f t="shared" ca="1" si="47"/>
        <v>8</v>
      </c>
      <c r="D131" s="1182"/>
      <c r="E131" s="1176"/>
      <c r="F131" s="1176">
        <f ca="1">IF(A129=10,LOOKUP(A131+80,TRED100,treDivDet),0)</f>
        <v>0</v>
      </c>
      <c r="G131" s="1176">
        <f ca="1">IF(A129=10,"Boi-"&amp;LOOKUP(C131+10,TRED100,treDivDet),0)</f>
        <v>0</v>
      </c>
      <c r="H131" s="1176">
        <f ca="1">IF(A129=10,"div-"&amp;LOOKUP(C131+20,TRED100,treDivDet),0)</f>
        <v>0</v>
      </c>
      <c r="I131" s="1176">
        <f ca="1">IF(A129=10,"Nour-"&amp;LOOKUP(C131+30,TRED100,treDivDet),0)</f>
        <v>0</v>
      </c>
      <c r="J131" s="1176">
        <f ca="1">IF(A129=10,"Epi-"&amp;LOOKUP(C131+40,TRED100,treDivDet),0)</f>
        <v>0</v>
      </c>
      <c r="K131" s="1218"/>
    </row>
    <row r="132" spans="1:11" ht="15" thickBot="1"/>
    <row r="133" spans="1:11" ht="15" thickTop="1">
      <c r="A133">
        <f ca="1">RANDBETWEEN(1,10)</f>
        <v>7</v>
      </c>
      <c r="B133">
        <f t="shared" ca="1" si="46"/>
        <v>33</v>
      </c>
      <c r="C133">
        <f t="shared" ca="1" si="47"/>
        <v>8</v>
      </c>
      <c r="D133" s="1180">
        <v>1</v>
      </c>
      <c r="E133" s="1178" t="s">
        <v>277</v>
      </c>
      <c r="F133" s="1190" t="str">
        <f ca="1">LOOKUP(A133,TRED10S,treErc)&amp;" V"&amp;LOOKUP(A133,TRED10S,treEcrV)</f>
        <v>Peau/bois/pierre(d3)  V20</v>
      </c>
      <c r="G133" s="1190"/>
      <c r="H133" s="1174" t="str">
        <f ca="1">BM1&amp;" / "&amp;BN1</f>
        <v>Texte commun  / Sujet libre</v>
      </c>
      <c r="I133" s="1174"/>
      <c r="J133" s="1174"/>
      <c r="K133" s="1242"/>
    </row>
    <row r="134" spans="1:11">
      <c r="A134">
        <f t="shared" ref="A134:A138" ca="1" si="52">RANDBETWEEN(1,10)</f>
        <v>5</v>
      </c>
      <c r="B134">
        <f t="shared" ca="1" si="46"/>
        <v>89</v>
      </c>
      <c r="C134">
        <f t="shared" ca="1" si="47"/>
        <v>6</v>
      </c>
      <c r="D134" s="1181"/>
      <c r="E134" s="604" t="str">
        <f ca="1">IF(LEFT(F133,5)="Œuvre",1,"QT x "&amp;TrésParam!D48&amp;"%")</f>
        <v>QT x 180%</v>
      </c>
      <c r="F134" s="604" t="str">
        <f ca="1">IF(LEFT(F133,5)="Œuvre","For. Spéciale",TrésParam!E48)</f>
        <v>Défaut -30</v>
      </c>
      <c r="G134" s="604" t="str">
        <f ca="1">TrésParam!F48</f>
        <v>E= 60</v>
      </c>
      <c r="H134" s="604" t="str">
        <f ca="1">TrésParam!G48</f>
        <v>Petite -10</v>
      </c>
      <c r="I134" s="604" t="str">
        <f ca="1">IF(LEFT(F133,5)="Œuvre","Q++",TrésParam!H48)</f>
        <v>Q+ 60</v>
      </c>
      <c r="J134" s="604" t="str">
        <f ca="1">TrésParam!I48</f>
        <v>Assez Récent</v>
      </c>
      <c r="K134" s="1179" t="str">
        <f ca="1">TrésParam!J48</f>
        <v>Etrangère +50</v>
      </c>
    </row>
    <row r="135" spans="1:11" ht="15" thickBot="1">
      <c r="A135">
        <f t="shared" ca="1" si="52"/>
        <v>6</v>
      </c>
      <c r="B135">
        <f t="shared" ca="1" si="46"/>
        <v>86</v>
      </c>
      <c r="C135">
        <f t="shared" ca="1" si="47"/>
        <v>3</v>
      </c>
      <c r="D135" s="1182"/>
      <c r="E135" s="1176">
        <f ca="1">IF(LEFT(F134,8)="Spéciale",BQ1&amp;" V"&amp;BQ2,0)</f>
        <v>0</v>
      </c>
      <c r="F135" s="1176"/>
      <c r="G135" s="1176"/>
      <c r="H135" s="1176" t="str">
        <f>"Pages : "</f>
        <v xml:space="preserve">Pages : </v>
      </c>
      <c r="I135" s="1325">
        <f ca="1">ROUND((100+B134-B135)/100*IF(LEFT(H134,6)="Très P",1,IF(LEFT(H134,5)="Petit",2,IF(LEFT(H134,5)="Grand",4,IF(LEFT(H134,6)="Très G",5,3))))*LOOKUP(A133,TRED10S,treEcrPag),0)</f>
        <v>1</v>
      </c>
      <c r="J135" s="1176"/>
      <c r="K135" s="1218" t="str">
        <f ca="1">"VB="&amp;BO1</f>
        <v>VB=D10x2</v>
      </c>
    </row>
    <row r="136" spans="1:11" ht="15" thickTop="1">
      <c r="A136">
        <f ca="1">RANDBETWEEN(1,10)</f>
        <v>5</v>
      </c>
      <c r="B136">
        <f t="shared" ca="1" si="46"/>
        <v>16</v>
      </c>
      <c r="C136">
        <f t="shared" ca="1" si="47"/>
        <v>8</v>
      </c>
      <c r="D136" s="1180">
        <v>1</v>
      </c>
      <c r="E136" s="1178" t="s">
        <v>277</v>
      </c>
      <c r="F136" s="1190" t="str">
        <f ca="1">LOOKUP(A136,TRED10S,treErc)&amp;" V"&amp;LOOKUP(A136,TRED10S,treEcrV)</f>
        <v>Peau/bois/pierre(d3)  V20</v>
      </c>
      <c r="G136" s="1190"/>
      <c r="H136" s="1174" t="str">
        <f ca="1">LOOKUP(C136,treEcrD,treEcrDet)&amp;" / "&amp;LOOKUP(C137,treEcrD,treEcrDet2)</f>
        <v>Texte commun  / Sujet libre</v>
      </c>
      <c r="I136" s="1174"/>
      <c r="J136" s="1174"/>
      <c r="K136" s="1242"/>
    </row>
    <row r="137" spans="1:11">
      <c r="A137">
        <f t="shared" ca="1" si="52"/>
        <v>4</v>
      </c>
      <c r="B137">
        <f t="shared" ca="1" si="46"/>
        <v>1</v>
      </c>
      <c r="C137">
        <f t="shared" ca="1" si="47"/>
        <v>4</v>
      </c>
      <c r="D137" s="1181"/>
      <c r="E137" s="604" t="str">
        <f ca="1">IF(LEFT(F136,5)="Œuvre",1,"QT x "&amp;TrésParam!D51&amp;"%")</f>
        <v>QT x 20%</v>
      </c>
      <c r="F137" s="604" t="str">
        <f ca="1">IF(LEFT(F136,5)="Œuvre","For. Spéciale",TrésParam!E51)</f>
        <v>Défaut -30</v>
      </c>
      <c r="G137" s="604" t="str">
        <f ca="1">TrésParam!F51</f>
        <v>Mauvais E- 30</v>
      </c>
      <c r="H137" s="604" t="str">
        <f ca="1">TrésParam!G51</f>
        <v>Moyenne</v>
      </c>
      <c r="I137" s="604" t="str">
        <f ca="1">IF(LEFT(F136,5)="Œuvre","Q++",TrésParam!H51)</f>
        <v>Q- - 10</v>
      </c>
      <c r="J137" s="604" t="str">
        <f ca="1">TrésParam!I51</f>
        <v>Spécial +100</v>
      </c>
      <c r="K137" s="1179" t="str">
        <f ca="1">TrésParam!J51</f>
        <v>Locale</v>
      </c>
    </row>
    <row r="138" spans="1:11" ht="15" thickBot="1">
      <c r="A138">
        <f t="shared" ca="1" si="52"/>
        <v>6</v>
      </c>
      <c r="B138">
        <f t="shared" ca="1" si="46"/>
        <v>44</v>
      </c>
      <c r="C138">
        <f t="shared" ca="1" si="47"/>
        <v>9</v>
      </c>
      <c r="D138" s="1182"/>
      <c r="E138" s="1176">
        <f ca="1">IF(LEFT(F137,8)="Spéciale",BQ4&amp;" V"&amp;BQ5,0)</f>
        <v>0</v>
      </c>
      <c r="F138" s="1176"/>
      <c r="G138" s="1176"/>
      <c r="H138" s="1176" t="str">
        <f>"Pages : "</f>
        <v xml:space="preserve">Pages : </v>
      </c>
      <c r="I138" s="1325">
        <f ca="1">ROUND((100+B137-B138)/100*IF(LEFT(H137,6)="Très P",1,IF(LEFT(H137,5)="Petit",2,IF(LEFT(H137,5)="Grand",4,IF(LEFT(H137,6)="Très G",5,3))))*LOOKUP(A136,TRED10S,treEcrPag),0)</f>
        <v>1</v>
      </c>
      <c r="J138" s="1176"/>
      <c r="K138" s="1218" t="str">
        <f ca="1">"VB="&amp;LOOKUP(C138,treEcrD,treEcrDet3)</f>
        <v>VB=D10x2</v>
      </c>
    </row>
    <row r="139" spans="1:11" ht="15" thickBot="1"/>
    <row r="140" spans="1:11" ht="15" thickTop="1">
      <c r="A140">
        <f ca="1">RANDBETWEEN(1,10)</f>
        <v>1</v>
      </c>
      <c r="B140">
        <f t="shared" ca="1" si="46"/>
        <v>91</v>
      </c>
      <c r="C140">
        <f t="shared" ca="1" si="47"/>
        <v>8</v>
      </c>
      <c r="D140" s="1180">
        <v>2</v>
      </c>
      <c r="E140" s="1178" t="s">
        <v>5804</v>
      </c>
      <c r="F140" s="1190" t="str">
        <f ca="1">BS1</f>
        <v>Crapaudine</v>
      </c>
      <c r="G140" s="1190"/>
      <c r="H140" s="1174" t="s">
        <v>5805</v>
      </c>
      <c r="I140" s="1174"/>
      <c r="J140" s="1174"/>
      <c r="K140" s="1242"/>
    </row>
    <row r="141" spans="1:11">
      <c r="A141">
        <f t="shared" ref="A141:A145" ca="1" si="53">RANDBETWEEN(1,10)</f>
        <v>3</v>
      </c>
      <c r="B141">
        <f t="shared" ca="1" si="46"/>
        <v>99</v>
      </c>
      <c r="C141">
        <f t="shared" ca="1" si="47"/>
        <v>10</v>
      </c>
      <c r="D141" s="1181"/>
      <c r="E141" s="604" t="str">
        <f ca="1">IF(LEFT(F140,5)="Œuvre",1,"QT x "&amp;TrésParam!D55&amp;"%")</f>
        <v>QT x 40%</v>
      </c>
      <c r="F141" s="604" t="str">
        <f ca="1">IF(LEFT(F140,5)="Œuvre","For. Spéciale",TrésParam!E55)</f>
        <v>Grotesque -50</v>
      </c>
      <c r="G141" s="604" t="str">
        <f ca="1">TrésParam!F55</f>
        <v>Mauvais E- 30</v>
      </c>
      <c r="H141" s="604" t="str">
        <f ca="1">TrésParam!G55</f>
        <v>Grande +10</v>
      </c>
      <c r="I141" s="604" t="str">
        <f ca="1">IF(LEFT(F140,5)="Œuvre","Q++",TrésParam!H55)</f>
        <v>Q= 50</v>
      </c>
      <c r="J141" s="604" t="str">
        <f ca="1">TrésParam!I55</f>
        <v>Très ancien +80</v>
      </c>
      <c r="K141" s="1179" t="str">
        <f ca="1">TrésParam!J55</f>
        <v>Etrangère +50</v>
      </c>
    </row>
    <row r="142" spans="1:11" ht="15" thickBot="1">
      <c r="A142">
        <f t="shared" ca="1" si="53"/>
        <v>3</v>
      </c>
      <c r="B142">
        <f t="shared" ca="1" si="46"/>
        <v>28</v>
      </c>
      <c r="C142">
        <f t="shared" ca="1" si="47"/>
        <v>6</v>
      </c>
      <c r="D142" s="1182"/>
      <c r="E142" s="1176">
        <f ca="1">IF(OR(LEFT(F141,4)="Rare",LEFT(F141,4)="Orig"),"…sur "&amp;LOOKUP(B141,trePreD,trePre),0)</f>
        <v>0</v>
      </c>
      <c r="F142" s="1176"/>
      <c r="G142" s="1176" t="s">
        <v>5807</v>
      </c>
      <c r="H142" s="1176"/>
      <c r="I142" s="1176" t="s">
        <v>5806</v>
      </c>
      <c r="J142" s="1176"/>
      <c r="K142" s="1218" t="s">
        <v>5808</v>
      </c>
    </row>
    <row r="143" spans="1:11" ht="15" thickTop="1">
      <c r="A143">
        <f ca="1">RANDBETWEEN(1,10)</f>
        <v>3</v>
      </c>
      <c r="B143">
        <f t="shared" ca="1" si="46"/>
        <v>45</v>
      </c>
      <c r="C143">
        <f t="shared" ca="1" si="47"/>
        <v>1</v>
      </c>
      <c r="D143" s="1180">
        <v>2</v>
      </c>
      <c r="E143" s="1178" t="s">
        <v>5804</v>
      </c>
      <c r="F143" s="1190" t="str">
        <f ca="1">LOOKUP(B143,treGemD,treGem)</f>
        <v>Crapaudine</v>
      </c>
      <c r="G143" s="1190"/>
      <c r="H143" s="1174" t="s">
        <v>5805</v>
      </c>
      <c r="I143" s="1174"/>
      <c r="J143" s="1174"/>
      <c r="K143" s="1242"/>
    </row>
    <row r="144" spans="1:11">
      <c r="A144">
        <f t="shared" ca="1" si="53"/>
        <v>9</v>
      </c>
      <c r="B144">
        <f t="shared" ca="1" si="46"/>
        <v>16</v>
      </c>
      <c r="C144">
        <f t="shared" ca="1" si="47"/>
        <v>9</v>
      </c>
      <c r="D144" s="1181"/>
      <c r="E144" s="604" t="str">
        <f ca="1">IF(LEFT(F143,5)="Œuvre",1,"QT x "&amp;TrésParam!D58&amp;"%")</f>
        <v>QT x 20%</v>
      </c>
      <c r="F144" s="604" t="str">
        <f ca="1">IF(LEFT(F143,5)="Œuvre","For. Spéciale",TrésParam!E58)</f>
        <v>Grotesque -50</v>
      </c>
      <c r="G144" s="604" t="str">
        <f ca="1">TrésParam!F58</f>
        <v>Mauvais E- 30</v>
      </c>
      <c r="H144" s="604" t="str">
        <f ca="1">TrésParam!G58</f>
        <v>Petite -10</v>
      </c>
      <c r="I144" s="604" t="str">
        <f ca="1">IF(LEFT(F143,5)="Œuvre","Q++",TrésParam!H58)</f>
        <v>Q++ 80</v>
      </c>
      <c r="J144" s="604" t="str">
        <f ca="1">TrésParam!I58</f>
        <v>Vieux -20</v>
      </c>
      <c r="K144" s="1179" t="str">
        <f ca="1">TrésParam!J58</f>
        <v>Autre monde +200</v>
      </c>
    </row>
    <row r="145" spans="1:11" ht="15" thickBot="1">
      <c r="A145">
        <f t="shared" ca="1" si="53"/>
        <v>3</v>
      </c>
      <c r="B145">
        <f t="shared" ca="1" si="46"/>
        <v>100</v>
      </c>
      <c r="C145">
        <f t="shared" ca="1" si="47"/>
        <v>1</v>
      </c>
      <c r="D145" s="1182"/>
      <c r="E145" s="1176">
        <f ca="1">IF(OR(LEFT(F144,4)="Rare",LEFT(F144,4)="Orig"),"…sur "&amp;LOOKUP(B144,trePreD,trePre),0)</f>
        <v>0</v>
      </c>
      <c r="F145" s="1176"/>
      <c r="G145" s="1176" t="s">
        <v>5807</v>
      </c>
      <c r="H145" s="1176"/>
      <c r="I145" s="1176" t="s">
        <v>5806</v>
      </c>
      <c r="J145" s="1176"/>
      <c r="K145" s="1218" t="s">
        <v>5808</v>
      </c>
    </row>
    <row r="146" spans="1:11" ht="15" thickBot="1"/>
    <row r="147" spans="1:11" ht="15" thickTop="1">
      <c r="A147">
        <f ca="1">RANDBETWEEN(1,10)</f>
        <v>4</v>
      </c>
      <c r="B147">
        <f t="shared" ca="1" si="46"/>
        <v>64</v>
      </c>
      <c r="C147">
        <f t="shared" ca="1" si="47"/>
        <v>8</v>
      </c>
      <c r="D147" s="1180">
        <v>2</v>
      </c>
      <c r="E147" s="1178" t="s">
        <v>5848</v>
      </c>
      <c r="F147" s="1190" t="str">
        <f ca="1">BU1&amp;" en "&amp;BW1&amp;" (V"&amp;BW2&amp;")"</f>
        <v>Étagère  en Bois précieux (V40)</v>
      </c>
      <c r="G147" s="1190"/>
      <c r="H147" s="1174"/>
      <c r="I147" s="1174"/>
      <c r="J147" s="1174"/>
      <c r="K147" s="1242"/>
    </row>
    <row r="148" spans="1:11">
      <c r="A148">
        <f t="shared" ref="A148:A152" ca="1" si="54">RANDBETWEEN(1,10)</f>
        <v>6</v>
      </c>
      <c r="B148">
        <f t="shared" ca="1" si="46"/>
        <v>17</v>
      </c>
      <c r="C148">
        <f t="shared" ca="1" si="47"/>
        <v>3</v>
      </c>
      <c r="D148" s="1181"/>
      <c r="E148" s="604" t="str">
        <f ca="1">IF(LEFT(F147,5)="Œuvre",1,"QT x "&amp;TrésParam!D62&amp;"%")</f>
        <v>QT x 60%</v>
      </c>
      <c r="F148" s="604" t="str">
        <f ca="1">IF(LEFT(F147,5)="Œuvre","For. Spéciale",TrésParam!E62)</f>
        <v>Inachevée -10</v>
      </c>
      <c r="G148" s="604" t="str">
        <f ca="1">TrésParam!F62</f>
        <v>E= 80</v>
      </c>
      <c r="H148" s="604" t="str">
        <f ca="1">TrésParam!G62</f>
        <v>Moyenne</v>
      </c>
      <c r="I148" s="604" t="str">
        <f ca="1">IF(LEFT(F147,5)="Œuvre","Q++",TrésParam!H62)</f>
        <v>Q- 20</v>
      </c>
      <c r="J148" s="604" t="str">
        <f ca="1">TrésParam!I62</f>
        <v>Très récent</v>
      </c>
      <c r="K148" s="1179" t="str">
        <f ca="1">TrésParam!J62</f>
        <v>Très locale</v>
      </c>
    </row>
    <row r="149" spans="1:11" ht="15" thickBot="1">
      <c r="A149">
        <f t="shared" ca="1" si="54"/>
        <v>6</v>
      </c>
      <c r="B149">
        <f t="shared" ca="1" si="46"/>
        <v>11</v>
      </c>
      <c r="C149">
        <f t="shared" ca="1" si="47"/>
        <v>9</v>
      </c>
      <c r="D149" s="1182"/>
      <c r="E149" s="1176"/>
      <c r="F149" s="1176">
        <f ca="1">IF(LEFT(F148,8)="Spéciale",BY1,0)</f>
        <v>0</v>
      </c>
      <c r="G149" s="1176"/>
      <c r="H149" s="1176"/>
      <c r="I149" s="1176"/>
      <c r="J149" s="1176"/>
      <c r="K149" s="1218"/>
    </row>
    <row r="150" spans="1:11" ht="15" thickTop="1">
      <c r="A150">
        <f ca="1">RANDBETWEEN(1,10)</f>
        <v>1</v>
      </c>
      <c r="B150">
        <f t="shared" ca="1" si="46"/>
        <v>37</v>
      </c>
      <c r="C150">
        <f t="shared" ca="1" si="47"/>
        <v>5</v>
      </c>
      <c r="D150" s="1180">
        <v>2</v>
      </c>
      <c r="E150" s="1178" t="s">
        <v>5848</v>
      </c>
      <c r="F150" s="1190" t="str">
        <f ca="1">LOOKUP(A150,tred10,treMob)&amp;" en "&amp;LOOKUP(C150,tred10,treMobMat)&amp;" (V"&amp;LOOKUP(C150,tred10,treMobMatV)&amp;")"</f>
        <v>Tréteaux en Bois précieux (V40)</v>
      </c>
      <c r="G150" s="1190"/>
      <c r="H150" s="1174"/>
      <c r="I150" s="1174"/>
      <c r="J150" s="1174"/>
      <c r="K150" s="1242"/>
    </row>
    <row r="151" spans="1:11">
      <c r="A151">
        <f t="shared" ca="1" si="54"/>
        <v>6</v>
      </c>
      <c r="B151">
        <f t="shared" ca="1" si="46"/>
        <v>50</v>
      </c>
      <c r="C151">
        <f t="shared" ca="1" si="47"/>
        <v>1</v>
      </c>
      <c r="D151" s="1181"/>
      <c r="E151" s="604" t="str">
        <f ca="1">IF(LEFT(F150,5)="Œuvre",1,"QT x "&amp;TrésParam!D65&amp;"%")</f>
        <v>QT x 200%</v>
      </c>
      <c r="F151" s="604" t="str">
        <f ca="1">IF(LEFT(F150,5)="Œuvre","For. Spéciale",TrésParam!E65)</f>
        <v>Normale</v>
      </c>
      <c r="G151" s="604" t="str">
        <f ca="1">TrésParam!F65</f>
        <v>E= 50</v>
      </c>
      <c r="H151" s="604" t="str">
        <f ca="1">TrésParam!G65</f>
        <v>Moyenne</v>
      </c>
      <c r="I151" s="604" t="str">
        <f ca="1">IF(LEFT(F150,5)="Œuvre","Q++",TrésParam!H65)</f>
        <v>Q= 50</v>
      </c>
      <c r="J151" s="604" t="str">
        <f ca="1">TrésParam!I65</f>
        <v>Très récent</v>
      </c>
      <c r="K151" s="1179" t="str">
        <f ca="1">TrésParam!J65</f>
        <v>Locale</v>
      </c>
    </row>
    <row r="152" spans="1:11" ht="15" thickBot="1">
      <c r="A152">
        <f t="shared" ca="1" si="54"/>
        <v>1</v>
      </c>
      <c r="B152">
        <f t="shared" ca="1" si="46"/>
        <v>47</v>
      </c>
      <c r="C152">
        <f t="shared" ca="1" si="47"/>
        <v>10</v>
      </c>
      <c r="D152" s="1182"/>
      <c r="E152" s="1176"/>
      <c r="F152" s="1176">
        <f ca="1">IF(LEFT(F151,8)="Spéciale",LOOKUP(C152,TRED10S,treMobSpe),0)</f>
        <v>0</v>
      </c>
      <c r="G152" s="1176"/>
      <c r="H152" s="1176"/>
      <c r="I152" s="1176"/>
      <c r="J152" s="1176"/>
      <c r="K152" s="1218"/>
    </row>
    <row r="153" spans="1:11" ht="15" thickBot="1"/>
    <row r="154" spans="1:11" ht="15" thickTop="1">
      <c r="A154">
        <f ca="1">RANDBETWEEN(1,10)</f>
        <v>8</v>
      </c>
      <c r="B154">
        <f t="shared" ca="1" si="46"/>
        <v>66</v>
      </c>
      <c r="C154">
        <f t="shared" ca="1" si="47"/>
        <v>5</v>
      </c>
      <c r="D154" s="1180">
        <v>20</v>
      </c>
      <c r="E154" s="1178" t="s">
        <v>5874</v>
      </c>
      <c r="F154" s="1190" t="str">
        <f ca="1">LOOKUP(A154,TRED10S,trePie)</f>
        <v>Argent</v>
      </c>
      <c r="G154" s="1190"/>
      <c r="H154" s="1174" t="str">
        <f ca="1">"N = "&amp;ROUND(LOOKUP(C154,TRED10S,trePieN)*D154*(10+A155-A156)/20,0)</f>
        <v>N = 6</v>
      </c>
      <c r="I154" s="1174"/>
      <c r="J154" s="1255"/>
      <c r="K154" s="1242" t="str">
        <f ca="1">"…dans "&amp;LOOKUP(C156,tred10,trePieCon)&amp;" (V"&amp;LOOKUP(C155,tred10,trePieConV)&amp;")"</f>
        <v>…dans Bourse précieuse (V30)</v>
      </c>
    </row>
    <row r="155" spans="1:11">
      <c r="A155">
        <f t="shared" ref="A155:A159" ca="1" si="55">RANDBETWEEN(1,10)</f>
        <v>4</v>
      </c>
      <c r="B155">
        <f t="shared" ca="1" si="46"/>
        <v>38</v>
      </c>
      <c r="C155">
        <f t="shared" ca="1" si="47"/>
        <v>3</v>
      </c>
      <c r="D155" s="1181"/>
      <c r="E155" s="604" t="str">
        <f ca="1">IF(LEFT(F154,5)="Œuvre",1,"QT x "&amp;TrésParam!D69&amp;"%")</f>
        <v>QT x 160%</v>
      </c>
      <c r="F155" s="604" t="str">
        <f ca="1">IF(LEFT(F154,5)="Œuvre","For. Spéciale",TrésParam!E69)</f>
        <v>Inachevée -10</v>
      </c>
      <c r="G155" s="604" t="str">
        <f ca="1">TrésParam!F69</f>
        <v>Très bon E+ 90</v>
      </c>
      <c r="H155" s="604" t="str">
        <f ca="1">TrésParam!G69</f>
        <v>Très Grande +20</v>
      </c>
      <c r="I155" s="604" t="str">
        <f ca="1">IF(LEFT(F154,5)="Œuvre","Q++",TrésParam!H69)</f>
        <v>Q+ 60</v>
      </c>
      <c r="J155" s="604" t="str">
        <f ca="1">TrésParam!I69</f>
        <v>Très récent</v>
      </c>
      <c r="K155" s="1179" t="str">
        <f ca="1">TrésParam!J69</f>
        <v>Autre monde +200</v>
      </c>
    </row>
    <row r="156" spans="1:11" ht="15" thickBot="1">
      <c r="A156">
        <f t="shared" ca="1" si="55"/>
        <v>8</v>
      </c>
      <c r="B156">
        <f t="shared" ca="1" si="46"/>
        <v>10</v>
      </c>
      <c r="C156">
        <f t="shared" ca="1" si="47"/>
        <v>3</v>
      </c>
      <c r="D156" s="1182"/>
      <c r="E156" s="1176"/>
      <c r="F156" s="1176"/>
      <c r="G156" s="1176"/>
      <c r="H156" s="1176"/>
      <c r="I156" s="1176"/>
      <c r="J156" s="1176"/>
      <c r="K156" s="1218"/>
    </row>
    <row r="157" spans="1:11" ht="15" thickTop="1">
      <c r="A157">
        <f ca="1">RANDBETWEEN(1,10)</f>
        <v>6</v>
      </c>
      <c r="B157">
        <f t="shared" ca="1" si="46"/>
        <v>85</v>
      </c>
      <c r="C157">
        <f t="shared" ca="1" si="47"/>
        <v>7</v>
      </c>
      <c r="D157" s="1180">
        <v>20</v>
      </c>
      <c r="E157" s="1178" t="s">
        <v>5874</v>
      </c>
      <c r="F157" s="1190" t="str">
        <f ca="1">LOOKUP(A157,TRED10S,trePie)</f>
        <v>Cuivre</v>
      </c>
      <c r="G157" s="1190"/>
      <c r="H157" s="1174" t="str">
        <f ca="1">"N = "&amp;ROUND(LOOKUP(C157,TRED10S,trePieN)*D157*(10+A158-A159)/20,0)</f>
        <v>N = 14</v>
      </c>
      <c r="I157" s="1174"/>
      <c r="J157" s="1255"/>
      <c r="K157" s="1242" t="str">
        <f ca="1">"…dans "&amp;LOOKUP(C159,tred10,trePieCon)&amp;" (V"&amp;LOOKUP(C158,tred10,trePieConV)&amp;")"</f>
        <v>…dans Vêtement (V²)</v>
      </c>
    </row>
    <row r="158" spans="1:11">
      <c r="A158">
        <f t="shared" ca="1" si="55"/>
        <v>9</v>
      </c>
      <c r="B158">
        <f t="shared" ca="1" si="46"/>
        <v>86</v>
      </c>
      <c r="C158">
        <f t="shared" ca="1" si="47"/>
        <v>8</v>
      </c>
      <c r="D158" s="1181"/>
      <c r="E158" s="604" t="str">
        <f ca="1">IF(LEFT(F157,5)="Œuvre",1,"QT x "&amp;TrésParam!D72&amp;"%")</f>
        <v>QT x 120%</v>
      </c>
      <c r="F158" s="604" t="str">
        <f ca="1">IF(LEFT(F157,5)="Œuvre","For. Spéciale",TrésParam!E72)</f>
        <v>Originale +10</v>
      </c>
      <c r="G158" s="604" t="str">
        <f ca="1">TrésParam!F72</f>
        <v>Mauvais E- 40</v>
      </c>
      <c r="H158" s="604" t="str">
        <f ca="1">TrésParam!G72</f>
        <v>Moyenne</v>
      </c>
      <c r="I158" s="604" t="str">
        <f ca="1">IF(LEFT(F157,5)="Œuvre","Q++",TrésParam!H72)</f>
        <v>Q= 50</v>
      </c>
      <c r="J158" s="604" t="str">
        <f ca="1">TrésParam!I72</f>
        <v>Récent</v>
      </c>
      <c r="K158" s="1179" t="str">
        <f ca="1">TrésParam!J72</f>
        <v>Très locale</v>
      </c>
    </row>
    <row r="159" spans="1:11" ht="15" thickBot="1">
      <c r="A159">
        <f t="shared" ca="1" si="55"/>
        <v>5</v>
      </c>
      <c r="B159">
        <f t="shared" ca="1" si="46"/>
        <v>33</v>
      </c>
      <c r="C159">
        <f t="shared" ca="1" si="47"/>
        <v>8</v>
      </c>
      <c r="D159" s="1182"/>
      <c r="E159" s="1176"/>
      <c r="F159" s="1176"/>
      <c r="G159" s="1176"/>
      <c r="H159" s="1176"/>
      <c r="I159" s="1176"/>
      <c r="J159" s="1176"/>
      <c r="K159" s="1218"/>
    </row>
    <row r="160" spans="1:11" ht="15" thickBot="1"/>
    <row r="161" spans="1:11" ht="15" thickTop="1">
      <c r="A161">
        <f ca="1">RANDBETWEEN(1,10)</f>
        <v>7</v>
      </c>
      <c r="B161">
        <f t="shared" ca="1" si="46"/>
        <v>17</v>
      </c>
      <c r="C161">
        <f t="shared" ca="1" si="47"/>
        <v>8</v>
      </c>
      <c r="D161" s="1180">
        <v>1</v>
      </c>
      <c r="E161" s="1178" t="s">
        <v>5894</v>
      </c>
      <c r="F161" s="1190" t="str">
        <f ca="1">LOOKUP(C163,trePND,trePN)</f>
        <v>Potion d’alchimie1</v>
      </c>
      <c r="G161" s="1190"/>
      <c r="H161" s="1174" t="str">
        <f ca="1">IF(RIGHT(G162,3)="100",$CH$8&amp;" "&amp;$CI$8,IF(RIGHT(G162,2)="90",$CH$7&amp;" "&amp;$CI$7,IF(RIGHT(G162,2)="80",$CH$7&amp;" "&amp;$CI$7,IF(RIGHT(G162,2)="30",$CH$5&amp;" "&amp;$CI$5,IF(RIGHT(G162,2)="40",$CH$5&amp;" "&amp;$CI$5,IF(RIGHT(G162,2)="20",$CH$4&amp;" "&amp;$CI$4,$CH$6&amp;" "&amp;$CI$6))))))</f>
        <v>Enchanté a été enchanté par une cérémonie magique</v>
      </c>
      <c r="I161" s="1174"/>
      <c r="J161" s="1255"/>
      <c r="K161" s="1242"/>
    </row>
    <row r="162" spans="1:11">
      <c r="A162">
        <f t="shared" ref="A162" ca="1" si="56">RANDBETWEEN(1,10)</f>
        <v>1</v>
      </c>
      <c r="B162">
        <f t="shared" ca="1" si="46"/>
        <v>16</v>
      </c>
      <c r="C162">
        <f ca="1">LOOKUP(RANDBETWEEN(1,10),TRED10S,tred10)</f>
        <v>1</v>
      </c>
      <c r="D162" s="1181"/>
      <c r="E162" s="604" t="str">
        <f ca="1">IF(LEFT(F161,5)="Œuvre",1,"QT x "&amp;TrésParam!D76&amp;"%")</f>
        <v>QT x 160%</v>
      </c>
      <c r="F162" s="604" t="str">
        <f ca="1">IF(LEFT(F161,5)="Œuvre","For. Spéciale",TrésParam!E76)</f>
        <v>Rare +30</v>
      </c>
      <c r="G162" s="604" t="str">
        <f ca="1">TrésParam!F76</f>
        <v>Excellent E++ 100</v>
      </c>
      <c r="H162" s="604" t="str">
        <f ca="1">TrésParam!G76</f>
        <v>Très Grande +20</v>
      </c>
      <c r="I162" s="604" t="str">
        <f ca="1">IF(LEFT(F161,5)="Œuvre","Q++",TrésParam!H76)</f>
        <v>Q= 40</v>
      </c>
      <c r="J162" s="604" t="str">
        <f ca="1">TrésParam!I76</f>
        <v>Assez Récent</v>
      </c>
      <c r="K162" s="1179" t="str">
        <f ca="1">TrésParam!J76</f>
        <v>Autre monde +200</v>
      </c>
    </row>
    <row r="163" spans="1:11" ht="15" thickBot="1">
      <c r="A163" s="112">
        <f ca="1">RANDBETWEEN(1,20)</f>
        <v>5</v>
      </c>
      <c r="B163">
        <f t="shared" ca="1" si="46"/>
        <v>98</v>
      </c>
      <c r="C163" s="112">
        <f ca="1">RANDBETWEEN(1,20)</f>
        <v>3</v>
      </c>
      <c r="D163" s="1181"/>
      <c r="E163" s="141" t="str">
        <f ca="1">IF(LEFT(F161,3)="Mét",LOOKUP(A163,treMetD,treMet),IF(LEFT(F161,3)="Pot","Alchimie",IF(LEFT(F161,3)="Tré","Créature",IF(LEFT(F161,3)="Sim","simple",IF(LEFT(F161,7)="PN - Pl",LOOKUP(B161,trePNPlaD,trePNPla),IF(LEFT(F161,7)="PN - Pr",LOOKUP(B161,trePNAniD,trePNAni),IF(LEFT(F161,7)="PN - Mi",LOOKUP(B161,trePNMinD,trePNMin),0)))))))</f>
        <v>Alchimie</v>
      </c>
      <c r="G163" t="str">
        <f ca="1">IF(E163="Alchimie",LOOKUP(A162,TRED10S,alc1hoix),0)</f>
        <v>Divers</v>
      </c>
      <c r="H163" t="str">
        <f ca="1">IF(LEFT(G163,1)="D",LOOKUP(B163,treAlcD,treAlc1),IF(LEFT(G163,1)="B",LOOKUP(B163,treAlcD,treAlc23),IF(LEFT(G163,1)="F",LOOKUP(B163,treAlcD,treAlc4),0)))</f>
        <v xml:space="preserve">Soufre </v>
      </c>
      <c r="I163">
        <f ca="1">IF(LEFT(F161,3)="Mét",LOOKUP(C161,tred10,treAlcMetfor),0)</f>
        <v>0</v>
      </c>
      <c r="J163">
        <f ca="1">IF(LEFT(F161,4)="Trés",IF(C162=1,LOOKUP(B163,treCre1D,treCre1),IF(C162=2,LOOKUP(B163,treCre1D,treCre2),IF(C162=3,LOOKUP(B163,treCre1D,treCre3),IF(C162=4,LOOKUP(B163,treCre1D,treCre4),0)))),0)</f>
        <v>0</v>
      </c>
      <c r="K163" s="1311"/>
    </row>
    <row r="164" spans="1:11">
      <c r="A164" s="130">
        <f ca="1">RANDBETWEEN(1,10)</f>
        <v>1</v>
      </c>
      <c r="B164" s="129">
        <f t="shared" ca="1" si="46"/>
        <v>29</v>
      </c>
      <c r="C164" s="129">
        <f t="shared" ref="C164" ca="1" si="57">RANDBETWEEN(1,10)</f>
        <v>8</v>
      </c>
      <c r="D164" s="1180">
        <v>1</v>
      </c>
      <c r="E164" s="1322" t="s">
        <v>5894</v>
      </c>
      <c r="F164" s="1312" t="str">
        <f ca="1">LOOKUP(C166,trePND,trePN)</f>
        <v>PN - Minéraux / Gemmes</v>
      </c>
      <c r="G164" s="1312"/>
      <c r="H164" s="129" t="str">
        <f ca="1">IF(RIGHT(G165,3)="100",$CH$8&amp;" "&amp;$CI$8,IF(RIGHT(G165,2)="90",$CH$7&amp;" "&amp;$CI$7,IF(RIGHT(G165,2)="80",$CH$7&amp;" "&amp;$CI$7,IF(RIGHT(G165,2)="30",$CH$5&amp;" "&amp;$CI$5,IF(RIGHT(G165,2)="40",$CH$5&amp;" "&amp;$CI$5,IF(RIGHT(G165,2)="20",$CH$4&amp;" "&amp;$CI$4,$CH$6&amp;" "&amp;$CI$6))))))</f>
        <v>Préparé a été préparé pour en extraire les propriétés essentielles</v>
      </c>
      <c r="I164" s="129"/>
      <c r="J164" s="1313"/>
      <c r="K164" s="1314"/>
    </row>
    <row r="165" spans="1:11">
      <c r="A165" s="128">
        <f t="shared" ref="A165" ca="1" si="58">RANDBETWEEN(1,10)</f>
        <v>4</v>
      </c>
      <c r="B165">
        <f t="shared" ca="1" si="46"/>
        <v>19</v>
      </c>
      <c r="C165">
        <f ca="1">LOOKUP(RANDBETWEEN(1,10),TRED10S,tred10)</f>
        <v>1</v>
      </c>
      <c r="D165" s="1181"/>
      <c r="E165" s="604" t="str">
        <f ca="1">IF(LEFT(F164,5)="Œuvre",1,"QT x "&amp;TrésParam!D79&amp;"%")</f>
        <v>QT x 200%</v>
      </c>
      <c r="F165" s="604" t="str">
        <f ca="1">IF(LEFT(F164,5)="Œuvre","For. Spéciale",TrésParam!E79)</f>
        <v>Normale</v>
      </c>
      <c r="G165" s="604" t="str">
        <f ca="1">TrésParam!F79</f>
        <v>Très bon E+ 80</v>
      </c>
      <c r="H165" s="604" t="str">
        <f ca="1">TrésParam!G79</f>
        <v>Moyenne</v>
      </c>
      <c r="I165" s="604" t="str">
        <f ca="1">IF(LEFT(F164,5)="Œuvre","Q++",TrésParam!H79)</f>
        <v>Q+ 60</v>
      </c>
      <c r="J165" s="604" t="str">
        <f ca="1">TrésParam!I79</f>
        <v>Récent</v>
      </c>
      <c r="K165" s="605" t="str">
        <f ca="1">TrésParam!J79</f>
        <v>Très locale</v>
      </c>
    </row>
    <row r="166" spans="1:11" ht="15" thickBot="1">
      <c r="A166" s="1323">
        <f ca="1">RANDBETWEEN(1,20)</f>
        <v>10</v>
      </c>
      <c r="B166" s="121">
        <f t="shared" ca="1" si="46"/>
        <v>13</v>
      </c>
      <c r="C166" s="1324">
        <f ca="1">RANDBETWEEN(1,20)</f>
        <v>16</v>
      </c>
      <c r="D166" s="1182"/>
      <c r="E166" s="590" t="str">
        <f ca="1">IF(LEFT(F164,3)="Mét",LOOKUP(A166,treMetD,treMet),IF(LEFT(F164,3)="Pot","Alchimie",IF(LEFT(F164,3)="Tré","Créature",IF(LEFT(F164,3)="Sim","simple",IF(LEFT(F164,7)="PN - Pl",LOOKUP(B164,trePNPlaD,trePNPla),IF(LEFT(F164,7)="PN - Pr",LOOKUP(B164,trePNAniD,trePNAni),IF(LEFT(F164,7)="PN - Mi",LOOKUP(B164,trePNMinD,trePNMin),0)))))))</f>
        <v>Chrysoprase-2</v>
      </c>
      <c r="F166" s="121"/>
      <c r="G166" s="121">
        <f ca="1">IF(E166="Alchimie",LOOKUP(A165,TRED10S,alc1hoix),0)</f>
        <v>0</v>
      </c>
      <c r="H166" s="121">
        <f ca="1">IF(LEFT(G166,1)="D",LOOKUP(B166,treAlcD,treAlc1),IF(LEFT(G166,1)="B",LOOKUP(B166,treAlcD,treAlc23),IF(LEFT(G166,1)="F",LOOKUP(B166,treAlcD,treAlc4),0)))</f>
        <v>0</v>
      </c>
      <c r="I166" s="121">
        <f ca="1">IF(LEFT(F164,3)="Mét",LOOKUP(C164,tred10,treAlcMetfor),0)</f>
        <v>0</v>
      </c>
      <c r="J166" s="121">
        <f ca="1">IF(LEFT(F164,4)="Trés",IF(C165=1,LOOKUP(B166,treCre1D,treCre1),IF(C165=2,LOOKUP(B166,treCre1D,treCre2),IF(C165=3,LOOKUP(B166,treCre1D,treCre3),IF(C165=4,LOOKUP(B166,treCre1D,treCre4),0)))),0)</f>
        <v>0</v>
      </c>
      <c r="K166" s="1315"/>
    </row>
    <row r="167" spans="1:11" ht="15" thickBot="1"/>
    <row r="168" spans="1:11" ht="15" thickTop="1">
      <c r="A168" s="130">
        <f ca="1">RANDBETWEEN(1,10)</f>
        <v>9</v>
      </c>
      <c r="B168" s="129">
        <f t="shared" ca="1" si="46"/>
        <v>37</v>
      </c>
      <c r="C168" s="129">
        <f t="shared" ref="C168" ca="1" si="59">RANDBETWEEN(1,10)</f>
        <v>6</v>
      </c>
      <c r="D168" s="1372">
        <f ca="1">treNEM+treNE</f>
        <v>14</v>
      </c>
      <c r="E168" s="1178" t="s">
        <v>6443</v>
      </c>
      <c r="F168" s="1190" t="str">
        <f ca="1">DH1</f>
        <v>Écrits1</v>
      </c>
      <c r="G168" s="1190">
        <f ca="1">IF(OR(LEFT(F168,3)="Pot",LEFT(F168,3)="Eli"),DI1,IF(OR(LEFT(F168,3)="Amu",LEFT(F168,3)="Bag",LEFT(F168,3)="Bat"),DJ1,IF(LEFT(F168,3)="Pou",DK1,0)))</f>
        <v>0</v>
      </c>
      <c r="H168" s="1174" t="str">
        <f ca="1">DM1&amp;"-"&amp;DL1</f>
        <v>EA-Sur’Kil</v>
      </c>
      <c r="I168" s="1178" t="str">
        <f ca="1">"NEM/NE "&amp;D169&amp;"/"&amp;D170&amp;" - Rma "&amp;treNEM+treNE&amp;" - PdM "&amp;treNEM*(treNE+1)&amp;" - REG "&amp;treNEM+ROUND(treNE/2,0)</f>
        <v>NEM/NE 8/6 - Rma 14 - PdM 56 - REG 11</v>
      </c>
      <c r="J168" s="1255"/>
      <c r="K168" s="1242"/>
    </row>
    <row r="169" spans="1:11">
      <c r="A169" s="1347">
        <f ca="1">LOOKUP(RANDBETWEEN(1,10),TRED10S,TRED100)</f>
        <v>2</v>
      </c>
      <c r="B169">
        <f t="shared" ref="B169:B176" ca="1" si="60">RANDBETWEEN(1,100)</f>
        <v>61</v>
      </c>
      <c r="C169" s="1348">
        <f ca="1">LOOKUP(RANDBETWEEN(1,10),TRED10S,tred10)</f>
        <v>2</v>
      </c>
      <c r="D169" s="1373">
        <f ca="1">A169*3+C169</f>
        <v>8</v>
      </c>
      <c r="E169" s="604" t="str">
        <f ca="1">IF(LEFT(F168,5)="Œuvre",1,"QT x "&amp;TrésParam!D83&amp;"%")</f>
        <v>QT x 180%</v>
      </c>
      <c r="F169" s="604" t="str">
        <f ca="1">IF(LEFT(F168,5)="Œuvre","For. Spéciale",TrésParam!E83)</f>
        <v>Grotesque -50</v>
      </c>
      <c r="G169" s="604" t="str">
        <f ca="1">TrésParam!F83</f>
        <v>E= 80</v>
      </c>
      <c r="H169" s="604" t="str">
        <f ca="1">TrésParam!G83</f>
        <v>Moyenne</v>
      </c>
      <c r="I169" s="604" t="str">
        <f ca="1">IF(LEFT(F168,5)="Œuvre","Q++",TrésParam!H83)</f>
        <v>Q+ 60</v>
      </c>
      <c r="J169" s="604" t="str">
        <f ca="1">TrésParam!I83</f>
        <v>Spécial +100</v>
      </c>
      <c r="K169" s="1179" t="str">
        <f ca="1">TrésParam!J83</f>
        <v>Très locale</v>
      </c>
    </row>
    <row r="170" spans="1:11" ht="15" thickBot="1">
      <c r="A170" s="1347">
        <f ca="1">LOOKUP(RANDBETWEEN(1,10),TRED10S,TRED100)</f>
        <v>2</v>
      </c>
      <c r="B170" s="121">
        <f t="shared" ca="1" si="60"/>
        <v>86</v>
      </c>
      <c r="C170" s="112">
        <f ca="1">LOOKUP(RANDBETWEEN(1,10),TRED10S,tred10)</f>
        <v>2</v>
      </c>
      <c r="D170" s="1374">
        <f ca="1">ROUND(D169/2,0)+A170</f>
        <v>6</v>
      </c>
      <c r="E170" s="590" t="str">
        <f ca="1">IF(A168&gt;treNEM,"Morte",0)</f>
        <v>Morte</v>
      </c>
      <c r="F170" s="121"/>
      <c r="G170" s="121" t="s">
        <v>6444</v>
      </c>
      <c r="H170" s="1383" t="s">
        <v>6710</v>
      </c>
      <c r="I170" s="121"/>
      <c r="J170" s="121"/>
      <c r="K170" s="1375"/>
    </row>
    <row r="171" spans="1:11">
      <c r="A171" s="130">
        <f ca="1">RANDBETWEEN(1,10)</f>
        <v>1</v>
      </c>
      <c r="B171" s="1312">
        <f t="shared" ca="1" si="60"/>
        <v>65</v>
      </c>
      <c r="C171" s="129">
        <f t="shared" ref="C171" ca="1" si="61">RANDBETWEEN(1,10)</f>
        <v>8</v>
      </c>
      <c r="D171" s="1376"/>
      <c r="E171" s="1322" t="s">
        <v>6447</v>
      </c>
      <c r="F171" s="129"/>
      <c r="G171" s="129">
        <f ca="1">IF(A172=1,DO1,IF(A172=2,DP1,IF(A172=3,DQ1,IF(A172=4,DR1,0))))</f>
        <v>1</v>
      </c>
      <c r="H171" s="129" t="s">
        <v>6469</v>
      </c>
      <c r="I171" s="129"/>
      <c r="J171" s="129"/>
      <c r="K171" s="1377"/>
    </row>
    <row r="172" spans="1:11" ht="30.6" customHeight="1" thickBot="1">
      <c r="A172" s="1347">
        <f ca="1">LOOKUP(RANDBETWEEN(1,10),TRED10S,TRED100)</f>
        <v>1</v>
      </c>
      <c r="B172" s="141">
        <f ca="1">IF(G171&gt;1,RANDBETWEEN(1,100),1)</f>
        <v>1</v>
      </c>
      <c r="C172" s="112">
        <f ca="1">LOOKUP(RANDBETWEEN(1,10),TRED10S,tred10)</f>
        <v>2</v>
      </c>
      <c r="D172" s="1378" t="s">
        <v>6615</v>
      </c>
      <c r="E172" s="1759" t="str">
        <f ca="1">DN1</f>
        <v>Déterminez la forme selon la table Écrits, NEMxNE usages avant d’épuiser la magie.</v>
      </c>
      <c r="F172" s="1759"/>
      <c r="G172" s="1759"/>
      <c r="H172" s="1759"/>
      <c r="I172" s="1759"/>
      <c r="J172" s="1759"/>
      <c r="K172" s="1760"/>
    </row>
    <row r="173" spans="1:11" ht="62.4" customHeight="1" thickBot="1">
      <c r="A173" s="1349">
        <f ca="1">LOOKUP(RANDBETWEEN(1,10),TRED10S,TRED100)</f>
        <v>4</v>
      </c>
      <c r="B173" s="590">
        <f ca="1">IF(G171&gt;2,RANDBETWEEN(1,100),1)</f>
        <v>1</v>
      </c>
      <c r="C173" s="112">
        <f ca="1">LOOKUP(RANDBETWEEN(1,10),TRED10S,tred10)</f>
        <v>2</v>
      </c>
      <c r="D173" s="1379" t="s">
        <v>6616</v>
      </c>
      <c r="E173" s="1773" t="str">
        <f ca="1">LOOKUP(B171,treMagProD,treMagPro)&amp;" : "&amp;LOOKUP(B171,treMagProD,treMagProTex)</f>
        <v>Immunité au poison : RP+NEx2, les poisons à NE&lt;=NE(relique) sans effet (pertes EN, paralysie, etc.).   / Permanent.</v>
      </c>
      <c r="F173" s="1773"/>
      <c r="G173" s="1773"/>
      <c r="H173" s="1773"/>
      <c r="I173" s="1773"/>
      <c r="J173" s="1773"/>
      <c r="K173" s="1774"/>
    </row>
    <row r="174" spans="1:11" ht="58.2" customHeight="1">
      <c r="A174" s="130">
        <f ca="1">RANDBETWEEN(1,10)</f>
        <v>10</v>
      </c>
      <c r="B174" s="1312">
        <f ca="1">IF(G171&gt;3,RANDBETWEEN(1,100),1)</f>
        <v>1</v>
      </c>
      <c r="C174" s="129">
        <f t="shared" ref="C174" ca="1" si="62">RANDBETWEEN(1,10)</f>
        <v>3</v>
      </c>
      <c r="D174" s="1380" t="s">
        <v>6617</v>
      </c>
      <c r="E174" s="1775">
        <f ca="1">IF(G171&gt;1,LOOKUP(B172,treMagProD,treMagPro)&amp;" : "&amp;LOOKUP(B172,treMagProD,treMagProTex),0)</f>
        <v>0</v>
      </c>
      <c r="F174" s="1775"/>
      <c r="G174" s="1775"/>
      <c r="H174" s="1775"/>
      <c r="I174" s="1775"/>
      <c r="J174" s="1775"/>
      <c r="K174" s="1776"/>
    </row>
    <row r="175" spans="1:11" ht="57.6" customHeight="1">
      <c r="A175" s="1347">
        <f ca="1">LOOKUP(RANDBETWEEN(1,10),TRED10S,TRED100)</f>
        <v>1</v>
      </c>
      <c r="B175">
        <f t="shared" ca="1" si="60"/>
        <v>44</v>
      </c>
      <c r="C175" s="112">
        <f ca="1">LOOKUP(RANDBETWEEN(1,10),TRED10S,tred10)</f>
        <v>2</v>
      </c>
      <c r="D175" s="1380" t="s">
        <v>6618</v>
      </c>
      <c r="E175" s="1775">
        <f ca="1">IF(G171&gt;2,LOOKUP(B173,treMagProD,treMagPro)&amp;" : "&amp;LOOKUP(B173,treMagProD,treMagProTex),0)</f>
        <v>0</v>
      </c>
      <c r="F175" s="1775"/>
      <c r="G175" s="1775"/>
      <c r="H175" s="1775"/>
      <c r="I175" s="1775"/>
      <c r="J175" s="1775"/>
      <c r="K175" s="1776"/>
    </row>
    <row r="176" spans="1:11" ht="58.8" customHeight="1" thickBot="1">
      <c r="A176" s="1349">
        <f ca="1">LOOKUP(RANDBETWEEN(1,10),TRED10S,TRED100)</f>
        <v>1</v>
      </c>
      <c r="B176" s="121">
        <f t="shared" ca="1" si="60"/>
        <v>67</v>
      </c>
      <c r="C176" s="112">
        <f ca="1">LOOKUP(RANDBETWEEN(1,10),TRED10S,tred10)</f>
        <v>4</v>
      </c>
      <c r="D176" s="1378" t="s">
        <v>6619</v>
      </c>
      <c r="E176" s="1759">
        <f ca="1">IF(G171&gt;3,LOOKUP(B174,treMagProD,treMagPro)&amp;" : "&amp;LOOKUP(B174,treMagProD,treMagProTex),0)</f>
        <v>0</v>
      </c>
      <c r="F176" s="1759"/>
      <c r="G176" s="1759"/>
      <c r="H176" s="1759"/>
      <c r="I176" s="1759"/>
      <c r="J176" s="1759"/>
      <c r="K176" s="1760"/>
    </row>
    <row r="177" spans="4:11" ht="57.6" customHeight="1" thickBot="1">
      <c r="D177" s="1381" t="s">
        <v>6659</v>
      </c>
      <c r="E177" s="1755" t="str">
        <f ca="1">DX1&amp;" : "&amp;DY1</f>
        <v>Focus : Déterminez un sort de l’alignement à RMa active que la relique lancera sur toute personne autre que son créateur / propriétaire / alignement / race de X (D10*) qui touchera la relique directement ou indirectement (déplacement, toucher avec objet, etc.).  / Permanent. Effet immédiat. Coûte 1 PdM par usage.</v>
      </c>
      <c r="F177" s="1755"/>
      <c r="G177" s="1755"/>
      <c r="H177" s="1755"/>
      <c r="I177" s="1755"/>
      <c r="J177" s="1755"/>
      <c r="K177" s="1756"/>
    </row>
    <row r="178" spans="4:11">
      <c r="D178" s="1379" t="s">
        <v>6660</v>
      </c>
      <c r="E178" s="129">
        <f ca="1">IF(OR(MOD(B171,11)=0,MOD(B172,11)=0,MOD(B173,11)=0,MOD(B174,11)=0),EB1&amp;" : "&amp;EC1,0)</f>
        <v>0</v>
      </c>
      <c r="F178" s="129"/>
      <c r="G178" s="129"/>
      <c r="H178" s="129"/>
      <c r="I178" s="129"/>
      <c r="J178" s="129"/>
      <c r="K178" s="1377"/>
    </row>
    <row r="179" spans="4:11" ht="15" thickBot="1">
      <c r="D179" s="1382"/>
      <c r="E179" s="1176" t="str">
        <f ca="1">"Cat1: "&amp;EF1</f>
        <v>Cat1: Étourdissement</v>
      </c>
      <c r="F179" s="1176"/>
      <c r="G179" s="1176" t="str">
        <f ca="1">"Régénérant : "&amp;EH1&amp;" points de "&amp;EI1&amp;" par "&amp;EJ1</f>
        <v>Régénérant : 2 points de Malus de combat / souffle (d2) par Heure</v>
      </c>
      <c r="H179" s="1176"/>
      <c r="I179" s="1176"/>
      <c r="J179" s="1176"/>
      <c r="K179" s="1177"/>
    </row>
    <row r="180" spans="4:11" ht="15" thickTop="1"/>
  </sheetData>
  <mergeCells count="199">
    <mergeCell ref="DS10:DS11"/>
    <mergeCell ref="DT10:DT11"/>
    <mergeCell ref="DS13:DS14"/>
    <mergeCell ref="DT13:DT14"/>
    <mergeCell ref="DS15:DS16"/>
    <mergeCell ref="DT15:DT16"/>
    <mergeCell ref="DS4:DS5"/>
    <mergeCell ref="DT4:DT5"/>
    <mergeCell ref="DS6:DS7"/>
    <mergeCell ref="DT6:DT7"/>
    <mergeCell ref="DS8:DS9"/>
    <mergeCell ref="DT8:DT9"/>
    <mergeCell ref="DS25:DS26"/>
    <mergeCell ref="DT25:DT26"/>
    <mergeCell ref="DS27:DS28"/>
    <mergeCell ref="DT27:DT28"/>
    <mergeCell ref="DS29:DS30"/>
    <mergeCell ref="DT29:DT30"/>
    <mergeCell ref="DS17:DS18"/>
    <mergeCell ref="DT17:DT18"/>
    <mergeCell ref="DS19:DS20"/>
    <mergeCell ref="DT19:DT20"/>
    <mergeCell ref="DS21:DS22"/>
    <mergeCell ref="DS23:DS24"/>
    <mergeCell ref="DS37:DS38"/>
    <mergeCell ref="DT37:DT38"/>
    <mergeCell ref="DS39:DS40"/>
    <mergeCell ref="DT39:DT40"/>
    <mergeCell ref="DS41:DS42"/>
    <mergeCell ref="DT41:DT42"/>
    <mergeCell ref="DS31:DS32"/>
    <mergeCell ref="DT31:DT32"/>
    <mergeCell ref="DS33:DS34"/>
    <mergeCell ref="DT33:DT34"/>
    <mergeCell ref="DS35:DS36"/>
    <mergeCell ref="DT35:DT36"/>
    <mergeCell ref="DS49:DS50"/>
    <mergeCell ref="DT49:DT50"/>
    <mergeCell ref="DS51:DS52"/>
    <mergeCell ref="DT51:DT52"/>
    <mergeCell ref="DS53:DS54"/>
    <mergeCell ref="DT53:DT54"/>
    <mergeCell ref="DS43:DS44"/>
    <mergeCell ref="DT43:DT44"/>
    <mergeCell ref="DS45:DS46"/>
    <mergeCell ref="DT45:DT46"/>
    <mergeCell ref="DS47:DS48"/>
    <mergeCell ref="DT47:DT48"/>
    <mergeCell ref="DS61:DS62"/>
    <mergeCell ref="DT61:DT62"/>
    <mergeCell ref="DS63:DS64"/>
    <mergeCell ref="DT63:DT64"/>
    <mergeCell ref="DS65:DS66"/>
    <mergeCell ref="DT65:DT66"/>
    <mergeCell ref="DS55:DS56"/>
    <mergeCell ref="DT55:DT56"/>
    <mergeCell ref="DS57:DS58"/>
    <mergeCell ref="DT57:DT58"/>
    <mergeCell ref="DS59:DS60"/>
    <mergeCell ref="DT59:DT60"/>
    <mergeCell ref="DS75:DS76"/>
    <mergeCell ref="DT75:DT76"/>
    <mergeCell ref="DS77:DS78"/>
    <mergeCell ref="DT77:DT78"/>
    <mergeCell ref="DS67:DS68"/>
    <mergeCell ref="DT67:DT68"/>
    <mergeCell ref="DS69:DS70"/>
    <mergeCell ref="DT69:DT70"/>
    <mergeCell ref="DS71:DS72"/>
    <mergeCell ref="DT71:DT72"/>
    <mergeCell ref="DT99:DT100"/>
    <mergeCell ref="DS101:DS102"/>
    <mergeCell ref="DT101:DT102"/>
    <mergeCell ref="DS91:DS92"/>
    <mergeCell ref="DT91:DT92"/>
    <mergeCell ref="DS93:DS94"/>
    <mergeCell ref="DT93:DT94"/>
    <mergeCell ref="DS95:DS96"/>
    <mergeCell ref="DT95:DT96"/>
    <mergeCell ref="DU4:DU5"/>
    <mergeCell ref="DU6:DU7"/>
    <mergeCell ref="DU8:DU9"/>
    <mergeCell ref="DU10:DU11"/>
    <mergeCell ref="DU13:DU14"/>
    <mergeCell ref="DU15:DU16"/>
    <mergeCell ref="DU17:DU18"/>
    <mergeCell ref="DU19:DU20"/>
    <mergeCell ref="DS97:DS98"/>
    <mergeCell ref="DT97:DT98"/>
    <mergeCell ref="DS85:DS86"/>
    <mergeCell ref="DT85:DT86"/>
    <mergeCell ref="DS87:DS88"/>
    <mergeCell ref="DT87:DT88"/>
    <mergeCell ref="DS89:DS90"/>
    <mergeCell ref="DT89:DT90"/>
    <mergeCell ref="DS79:DS80"/>
    <mergeCell ref="DT79:DT80"/>
    <mergeCell ref="DS81:DS82"/>
    <mergeCell ref="DT81:DT82"/>
    <mergeCell ref="DS83:DS84"/>
    <mergeCell ref="DT83:DT84"/>
    <mergeCell ref="DS73:DS74"/>
    <mergeCell ref="DT73:DT74"/>
    <mergeCell ref="DW5:DW6"/>
    <mergeCell ref="DW13:DW14"/>
    <mergeCell ref="DW21:DW22"/>
    <mergeCell ref="DW29:DW30"/>
    <mergeCell ref="DU93:DU94"/>
    <mergeCell ref="DU95:DU96"/>
    <mergeCell ref="DU97:DU98"/>
    <mergeCell ref="DU99:DU100"/>
    <mergeCell ref="DU101:DU102"/>
    <mergeCell ref="DU81:DU82"/>
    <mergeCell ref="DU83:DU84"/>
    <mergeCell ref="DU85:DU86"/>
    <mergeCell ref="DU87:DU88"/>
    <mergeCell ref="DU89:DU90"/>
    <mergeCell ref="DU91:DU92"/>
    <mergeCell ref="DU69:DU70"/>
    <mergeCell ref="DU71:DU72"/>
    <mergeCell ref="DU73:DU74"/>
    <mergeCell ref="DU75:DU76"/>
    <mergeCell ref="DU77:DU78"/>
    <mergeCell ref="DU79:DU80"/>
    <mergeCell ref="DU57:DU58"/>
    <mergeCell ref="DU59:DU60"/>
    <mergeCell ref="DU61:DU62"/>
    <mergeCell ref="DW7:DW8"/>
    <mergeCell ref="DX7:DX8"/>
    <mergeCell ref="DW9:DW10"/>
    <mergeCell ref="DX9:DX10"/>
    <mergeCell ref="DW11:DW12"/>
    <mergeCell ref="DX11:DX12"/>
    <mergeCell ref="E173:K173"/>
    <mergeCell ref="E174:K174"/>
    <mergeCell ref="E175:K175"/>
    <mergeCell ref="E172:K172"/>
    <mergeCell ref="DU103:DU104"/>
    <mergeCell ref="DU63:DU64"/>
    <mergeCell ref="DU65:DU66"/>
    <mergeCell ref="DU67:DU68"/>
    <mergeCell ref="DU45:DU46"/>
    <mergeCell ref="DU47:DU48"/>
    <mergeCell ref="DU49:DU50"/>
    <mergeCell ref="DU51:DU52"/>
    <mergeCell ref="DU53:DU54"/>
    <mergeCell ref="DU55:DU56"/>
    <mergeCell ref="DU33:DU34"/>
    <mergeCell ref="DU35:DU36"/>
    <mergeCell ref="DU37:DU38"/>
    <mergeCell ref="DU39:DU40"/>
    <mergeCell ref="DZ5:DZ6"/>
    <mergeCell ref="DZ7:DZ8"/>
    <mergeCell ref="DZ9:DZ10"/>
    <mergeCell ref="DZ11:DZ12"/>
    <mergeCell ref="DZ13:DZ14"/>
    <mergeCell ref="DZ15:DZ16"/>
    <mergeCell ref="DX29:DX30"/>
    <mergeCell ref="DW31:DW32"/>
    <mergeCell ref="DX31:DX32"/>
    <mergeCell ref="DX21:DX22"/>
    <mergeCell ref="DW23:DW24"/>
    <mergeCell ref="DX23:DX24"/>
    <mergeCell ref="DW25:DW26"/>
    <mergeCell ref="DX25:DX26"/>
    <mergeCell ref="DW27:DW28"/>
    <mergeCell ref="DX27:DX28"/>
    <mergeCell ref="DX13:DX14"/>
    <mergeCell ref="DW15:DW16"/>
    <mergeCell ref="DX15:DX16"/>
    <mergeCell ref="DW17:DW18"/>
    <mergeCell ref="DX17:DX18"/>
    <mergeCell ref="DW19:DW20"/>
    <mergeCell ref="DX19:DX20"/>
    <mergeCell ref="DX5:DX6"/>
    <mergeCell ref="DZ29:DZ30"/>
    <mergeCell ref="DZ31:DZ32"/>
    <mergeCell ref="DZ33:DZ34"/>
    <mergeCell ref="E177:K177"/>
    <mergeCell ref="DZ17:DZ18"/>
    <mergeCell ref="DZ19:DZ20"/>
    <mergeCell ref="DZ21:DZ22"/>
    <mergeCell ref="DZ23:DZ24"/>
    <mergeCell ref="DZ25:DZ26"/>
    <mergeCell ref="DZ27:DZ28"/>
    <mergeCell ref="DW33:DW34"/>
    <mergeCell ref="DX33:DX34"/>
    <mergeCell ref="E176:K176"/>
    <mergeCell ref="DU41:DU42"/>
    <mergeCell ref="DU43:DU44"/>
    <mergeCell ref="DU21:DU22"/>
    <mergeCell ref="DU23:DU24"/>
    <mergeCell ref="DU25:DU26"/>
    <mergeCell ref="DU27:DU28"/>
    <mergeCell ref="DU29:DU30"/>
    <mergeCell ref="DU31:DU32"/>
    <mergeCell ref="DS103:DS104"/>
    <mergeCell ref="DT103:DT104"/>
    <mergeCell ref="DS99:DS100"/>
  </mergeCells>
  <pageMargins left="0.23622047244094491" right="0.23622047244094491" top="0.74803149606299213" bottom="0.74803149606299213" header="0.31496062992125984" footer="0.31496062992125984"/>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6"/>
  <sheetViews>
    <sheetView topLeftCell="A109" workbookViewId="0">
      <selection activeCell="G121" sqref="G121"/>
    </sheetView>
  </sheetViews>
  <sheetFormatPr baseColWidth="10" defaultColWidth="11.5546875" defaultRowHeight="14.4"/>
  <cols>
    <col min="1" max="1" width="8.33203125" bestFit="1" customWidth="1"/>
    <col min="2" max="5" width="17.21875" customWidth="1"/>
    <col min="6" max="6" width="18" customWidth="1"/>
  </cols>
  <sheetData>
    <row r="1" spans="1:5" ht="19.2" hidden="1" customHeight="1" thickBot="1">
      <c r="A1" t="s">
        <v>6915</v>
      </c>
      <c r="B1" s="1401" t="s">
        <v>6911</v>
      </c>
      <c r="C1" s="1402" t="s">
        <v>6912</v>
      </c>
      <c r="D1" s="1401" t="s">
        <v>6913</v>
      </c>
      <c r="E1" s="1402" t="s">
        <v>6914</v>
      </c>
    </row>
    <row r="2" spans="1:5" ht="19.2" hidden="1" customHeight="1" thickBot="1">
      <c r="A2">
        <v>1</v>
      </c>
      <c r="B2" s="1385" t="s">
        <v>6711</v>
      </c>
      <c r="C2" s="1386" t="s">
        <v>6712</v>
      </c>
      <c r="D2" s="1384" t="s">
        <v>6811</v>
      </c>
      <c r="E2" s="1385" t="s">
        <v>6812</v>
      </c>
    </row>
    <row r="3" spans="1:5" ht="19.2" hidden="1" customHeight="1" thickBot="1">
      <c r="A3">
        <v>5</v>
      </c>
      <c r="B3" s="1387" t="s">
        <v>6713</v>
      </c>
      <c r="C3" s="1387" t="s">
        <v>6714</v>
      </c>
      <c r="D3" s="1277" t="s">
        <v>6813</v>
      </c>
      <c r="E3" s="1387" t="s">
        <v>6814</v>
      </c>
    </row>
    <row r="4" spans="1:5" ht="19.2" hidden="1" customHeight="1" thickBot="1">
      <c r="A4">
        <v>6</v>
      </c>
      <c r="B4" s="1387" t="s">
        <v>6715</v>
      </c>
      <c r="C4" s="1387" t="s">
        <v>6716</v>
      </c>
      <c r="D4" s="1277" t="s">
        <v>6815</v>
      </c>
      <c r="E4" s="1387" t="s">
        <v>6816</v>
      </c>
    </row>
    <row r="5" spans="1:5" ht="19.2" hidden="1" customHeight="1" thickBot="1">
      <c r="A5">
        <v>13</v>
      </c>
      <c r="B5" s="1387" t="s">
        <v>6717</v>
      </c>
      <c r="C5" s="1387" t="s">
        <v>6718</v>
      </c>
      <c r="D5" s="1277" t="s">
        <v>6817</v>
      </c>
      <c r="E5" s="1387" t="s">
        <v>6818</v>
      </c>
    </row>
    <row r="6" spans="1:5" ht="19.2" hidden="1" customHeight="1" thickBot="1">
      <c r="A6">
        <v>17</v>
      </c>
      <c r="B6" s="1387" t="s">
        <v>6719</v>
      </c>
      <c r="C6" s="1387" t="s">
        <v>6720</v>
      </c>
      <c r="D6" s="1277" t="s">
        <v>6819</v>
      </c>
      <c r="E6" s="1387" t="s">
        <v>6820</v>
      </c>
    </row>
    <row r="7" spans="1:5" ht="19.2" hidden="1" customHeight="1" thickBot="1">
      <c r="A7">
        <v>21</v>
      </c>
      <c r="B7" s="1387" t="s">
        <v>6721</v>
      </c>
      <c r="C7" s="1387" t="s">
        <v>6722</v>
      </c>
      <c r="D7" s="1277" t="s">
        <v>6821</v>
      </c>
      <c r="E7" s="1387" t="s">
        <v>6822</v>
      </c>
    </row>
    <row r="8" spans="1:5" ht="19.2" hidden="1" customHeight="1" thickBot="1">
      <c r="A8">
        <v>25</v>
      </c>
      <c r="B8" s="1387" t="s">
        <v>6723</v>
      </c>
      <c r="C8" s="1387" t="s">
        <v>6724</v>
      </c>
      <c r="D8" s="1277" t="s">
        <v>6823</v>
      </c>
      <c r="E8" s="1387" t="s">
        <v>6824</v>
      </c>
    </row>
    <row r="9" spans="1:5" ht="19.2" hidden="1" customHeight="1" thickBot="1">
      <c r="A9">
        <v>29</v>
      </c>
      <c r="B9" s="1387" t="s">
        <v>6725</v>
      </c>
      <c r="C9" s="1387" t="s">
        <v>6726</v>
      </c>
      <c r="D9" s="1277" t="s">
        <v>6825</v>
      </c>
      <c r="E9" s="1387" t="s">
        <v>6826</v>
      </c>
    </row>
    <row r="10" spans="1:5" ht="19.2" hidden="1" customHeight="1" thickBot="1">
      <c r="A10">
        <v>33</v>
      </c>
      <c r="B10" s="1387" t="s">
        <v>6727</v>
      </c>
      <c r="C10" s="1388" t="s">
        <v>6728</v>
      </c>
      <c r="D10" s="1277" t="s">
        <v>6827</v>
      </c>
      <c r="E10" s="1387" t="s">
        <v>6828</v>
      </c>
    </row>
    <row r="11" spans="1:5" ht="19.2" hidden="1" customHeight="1" thickBot="1">
      <c r="A11">
        <v>37</v>
      </c>
      <c r="B11" s="1388" t="s">
        <v>6729</v>
      </c>
      <c r="C11" s="1388" t="s">
        <v>6730</v>
      </c>
      <c r="D11" s="1277" t="s">
        <v>6829</v>
      </c>
      <c r="E11" s="1387" t="s">
        <v>6830</v>
      </c>
    </row>
    <row r="12" spans="1:5" ht="19.2" hidden="1" customHeight="1" thickBot="1">
      <c r="A12">
        <v>41</v>
      </c>
      <c r="B12" s="1390" t="s">
        <v>6731</v>
      </c>
      <c r="C12" s="1391" t="s">
        <v>6732</v>
      </c>
      <c r="D12" s="1389" t="s">
        <v>6831</v>
      </c>
      <c r="E12" s="1391" t="s">
        <v>6832</v>
      </c>
    </row>
    <row r="13" spans="1:5" ht="19.2" hidden="1" customHeight="1" thickBot="1">
      <c r="A13">
        <v>44</v>
      </c>
      <c r="B13" s="1390" t="s">
        <v>6733</v>
      </c>
      <c r="C13" s="1391" t="s">
        <v>6734</v>
      </c>
      <c r="D13" s="1389" t="s">
        <v>6833</v>
      </c>
      <c r="E13" s="1391" t="s">
        <v>6834</v>
      </c>
    </row>
    <row r="14" spans="1:5" ht="19.2" hidden="1" customHeight="1" thickBot="1">
      <c r="A14">
        <v>47</v>
      </c>
      <c r="B14" s="1390" t="s">
        <v>6735</v>
      </c>
      <c r="C14" s="1391" t="s">
        <v>6736</v>
      </c>
      <c r="D14" s="1389" t="s">
        <v>6835</v>
      </c>
      <c r="E14" s="1391" t="s">
        <v>6836</v>
      </c>
    </row>
    <row r="15" spans="1:5" ht="19.2" hidden="1" customHeight="1" thickBot="1">
      <c r="A15">
        <v>50</v>
      </c>
      <c r="B15" s="1391" t="s">
        <v>6737</v>
      </c>
      <c r="C15" s="1390" t="s">
        <v>6738</v>
      </c>
      <c r="D15" s="1389" t="s">
        <v>6837</v>
      </c>
      <c r="E15" s="1391" t="s">
        <v>6838</v>
      </c>
    </row>
    <row r="16" spans="1:5" ht="19.2" hidden="1" customHeight="1" thickBot="1">
      <c r="A16">
        <v>53</v>
      </c>
      <c r="B16" s="1391" t="s">
        <v>6739</v>
      </c>
      <c r="C16" s="1391" t="s">
        <v>6740</v>
      </c>
      <c r="D16" s="1389" t="s">
        <v>6839</v>
      </c>
      <c r="E16" s="1391" t="s">
        <v>6840</v>
      </c>
    </row>
    <row r="17" spans="1:5" ht="19.2" hidden="1" customHeight="1" thickBot="1">
      <c r="A17">
        <v>56</v>
      </c>
      <c r="B17" s="1391" t="s">
        <v>6741</v>
      </c>
      <c r="C17" s="1391" t="s">
        <v>6742</v>
      </c>
      <c r="D17" s="1389" t="s">
        <v>6841</v>
      </c>
      <c r="E17" s="1391" t="s">
        <v>6842</v>
      </c>
    </row>
    <row r="18" spans="1:5" ht="19.2" hidden="1" customHeight="1" thickBot="1">
      <c r="A18">
        <v>59</v>
      </c>
      <c r="B18" s="1391" t="s">
        <v>6743</v>
      </c>
      <c r="C18" s="1391" t="s">
        <v>6744</v>
      </c>
      <c r="D18" s="1389" t="s">
        <v>6843</v>
      </c>
      <c r="E18" s="1391" t="s">
        <v>6844</v>
      </c>
    </row>
    <row r="19" spans="1:5" ht="19.2" hidden="1" customHeight="1" thickBot="1">
      <c r="A19">
        <v>62</v>
      </c>
      <c r="B19" s="1390" t="s">
        <v>6745</v>
      </c>
      <c r="C19" s="1391" t="s">
        <v>6746</v>
      </c>
      <c r="D19" s="1389" t="s">
        <v>6845</v>
      </c>
      <c r="E19" s="1391" t="s">
        <v>6846</v>
      </c>
    </row>
    <row r="20" spans="1:5" ht="19.2" hidden="1" customHeight="1" thickBot="1">
      <c r="A20">
        <v>65</v>
      </c>
      <c r="B20" s="1391" t="s">
        <v>6747</v>
      </c>
      <c r="C20" s="1390" t="s">
        <v>6748</v>
      </c>
      <c r="D20" s="1389" t="s">
        <v>6847</v>
      </c>
      <c r="E20" s="1391" t="s">
        <v>6848</v>
      </c>
    </row>
    <row r="21" spans="1:5" ht="19.2" hidden="1" customHeight="1" thickBot="1">
      <c r="A21">
        <v>68</v>
      </c>
      <c r="B21" s="1391" t="s">
        <v>6749</v>
      </c>
      <c r="C21" s="1391" t="s">
        <v>6750</v>
      </c>
      <c r="D21" s="1389" t="s">
        <v>6849</v>
      </c>
      <c r="E21" s="1391" t="s">
        <v>6850</v>
      </c>
    </row>
    <row r="22" spans="1:5" ht="19.2" hidden="1" customHeight="1" thickBot="1">
      <c r="A22">
        <v>71</v>
      </c>
      <c r="B22" s="1393" t="s">
        <v>6751</v>
      </c>
      <c r="C22" s="1393" t="s">
        <v>6752</v>
      </c>
      <c r="D22" s="1392" t="s">
        <v>6851</v>
      </c>
      <c r="E22" s="1393" t="s">
        <v>6852</v>
      </c>
    </row>
    <row r="23" spans="1:5" ht="19.2" hidden="1" customHeight="1" thickBot="1">
      <c r="A23">
        <v>73</v>
      </c>
      <c r="B23" s="1394" t="s">
        <v>6753</v>
      </c>
      <c r="C23" s="1393" t="s">
        <v>6754</v>
      </c>
      <c r="D23" s="1392" t="s">
        <v>6853</v>
      </c>
      <c r="E23" s="1393" t="s">
        <v>6854</v>
      </c>
    </row>
    <row r="24" spans="1:5" ht="19.2" hidden="1" customHeight="1" thickBot="1">
      <c r="A24">
        <v>75</v>
      </c>
      <c r="B24" s="1393" t="s">
        <v>6755</v>
      </c>
      <c r="C24" s="1393" t="s">
        <v>6756</v>
      </c>
      <c r="D24" s="1392" t="s">
        <v>6855</v>
      </c>
      <c r="E24" s="1393" t="s">
        <v>6856</v>
      </c>
    </row>
    <row r="25" spans="1:5" ht="19.2" hidden="1" customHeight="1" thickBot="1">
      <c r="A25">
        <v>77</v>
      </c>
      <c r="B25" s="1393" t="s">
        <v>6757</v>
      </c>
      <c r="C25" s="1393" t="s">
        <v>6758</v>
      </c>
      <c r="D25" s="1392" t="s">
        <v>6857</v>
      </c>
      <c r="E25" s="1393" t="s">
        <v>6858</v>
      </c>
    </row>
    <row r="26" spans="1:5" ht="19.2" hidden="1" customHeight="1" thickBot="1">
      <c r="A26">
        <v>79</v>
      </c>
      <c r="B26" s="1394" t="s">
        <v>6759</v>
      </c>
      <c r="C26" s="1393" t="s">
        <v>6760</v>
      </c>
      <c r="D26" s="1392" t="s">
        <v>6859</v>
      </c>
      <c r="E26" s="1393" t="s">
        <v>6860</v>
      </c>
    </row>
    <row r="27" spans="1:5" ht="19.2" hidden="1" customHeight="1" thickBot="1">
      <c r="A27">
        <v>81</v>
      </c>
      <c r="B27" s="1394" t="s">
        <v>6761</v>
      </c>
      <c r="C27" s="1393" t="s">
        <v>6762</v>
      </c>
      <c r="D27" s="1392" t="s">
        <v>6861</v>
      </c>
      <c r="E27" s="1393" t="s">
        <v>6862</v>
      </c>
    </row>
    <row r="28" spans="1:5" ht="19.2" hidden="1" customHeight="1" thickBot="1">
      <c r="A28">
        <v>83</v>
      </c>
      <c r="B28" s="1394" t="s">
        <v>6763</v>
      </c>
      <c r="C28" s="1393" t="s">
        <v>6764</v>
      </c>
      <c r="D28" s="1392" t="s">
        <v>6863</v>
      </c>
      <c r="E28" s="1393" t="s">
        <v>6864</v>
      </c>
    </row>
    <row r="29" spans="1:5" ht="19.2" hidden="1" customHeight="1" thickBot="1">
      <c r="A29">
        <v>85</v>
      </c>
      <c r="B29" s="1394" t="s">
        <v>6765</v>
      </c>
      <c r="C29" s="1393" t="s">
        <v>6766</v>
      </c>
      <c r="D29" s="1392" t="s">
        <v>6865</v>
      </c>
      <c r="E29" s="1393" t="s">
        <v>6866</v>
      </c>
    </row>
    <row r="30" spans="1:5" ht="19.2" hidden="1" customHeight="1" thickBot="1">
      <c r="A30">
        <v>87</v>
      </c>
      <c r="B30" s="1394" t="s">
        <v>6767</v>
      </c>
      <c r="C30" s="1393" t="s">
        <v>6768</v>
      </c>
      <c r="D30" s="1392" t="s">
        <v>6867</v>
      </c>
      <c r="E30" s="1393" t="s">
        <v>6868</v>
      </c>
    </row>
    <row r="31" spans="1:5" ht="19.2" hidden="1" customHeight="1" thickBot="1">
      <c r="A31">
        <v>89</v>
      </c>
      <c r="B31" s="1393" t="s">
        <v>6769</v>
      </c>
      <c r="C31" s="1393" t="s">
        <v>6770</v>
      </c>
      <c r="D31" s="1392" t="s">
        <v>6869</v>
      </c>
      <c r="E31" s="1393" t="s">
        <v>6870</v>
      </c>
    </row>
    <row r="32" spans="1:5" ht="19.2" hidden="1" customHeight="1" thickBot="1">
      <c r="A32">
        <v>91</v>
      </c>
      <c r="B32" s="1396" t="s">
        <v>6771</v>
      </c>
      <c r="C32" s="1396" t="s">
        <v>6772</v>
      </c>
      <c r="D32" s="1395" t="s">
        <v>6871</v>
      </c>
      <c r="E32" s="1396" t="s">
        <v>6872</v>
      </c>
    </row>
    <row r="33" spans="1:5" ht="19.2" hidden="1" customHeight="1" thickBot="1">
      <c r="A33">
        <v>92</v>
      </c>
      <c r="B33" s="1397" t="s">
        <v>6773</v>
      </c>
      <c r="C33" s="1396" t="s">
        <v>6774</v>
      </c>
      <c r="D33" s="1395" t="s">
        <v>6873</v>
      </c>
      <c r="E33" s="1396" t="s">
        <v>6874</v>
      </c>
    </row>
    <row r="34" spans="1:5" ht="19.2" hidden="1" customHeight="1" thickBot="1">
      <c r="A34">
        <v>93</v>
      </c>
      <c r="B34" s="1397" t="s">
        <v>6775</v>
      </c>
      <c r="C34" s="1396" t="s">
        <v>6776</v>
      </c>
      <c r="D34" s="1395" t="s">
        <v>6875</v>
      </c>
      <c r="E34" s="1396" t="s">
        <v>6876</v>
      </c>
    </row>
    <row r="35" spans="1:5" ht="19.2" hidden="1" customHeight="1" thickBot="1">
      <c r="A35">
        <v>94</v>
      </c>
      <c r="B35" s="1396" t="s">
        <v>6777</v>
      </c>
      <c r="C35" s="1396" t="s">
        <v>6778</v>
      </c>
      <c r="D35" s="1395" t="s">
        <v>6877</v>
      </c>
      <c r="E35" s="1396" t="s">
        <v>6878</v>
      </c>
    </row>
    <row r="36" spans="1:5" ht="19.2" hidden="1" customHeight="1" thickBot="1">
      <c r="A36">
        <v>95</v>
      </c>
      <c r="B36" s="1397" t="s">
        <v>6779</v>
      </c>
      <c r="C36" s="1396" t="s">
        <v>6780</v>
      </c>
      <c r="D36" s="1395" t="s">
        <v>6879</v>
      </c>
      <c r="E36" s="1396" t="s">
        <v>6880</v>
      </c>
    </row>
    <row r="37" spans="1:5" ht="19.2" hidden="1" customHeight="1" thickBot="1">
      <c r="A37">
        <v>96</v>
      </c>
      <c r="B37" s="1396" t="s">
        <v>6781</v>
      </c>
      <c r="C37" s="1396" t="s">
        <v>6782</v>
      </c>
      <c r="D37" s="1395" t="s">
        <v>6881</v>
      </c>
      <c r="E37" s="1396" t="s">
        <v>6882</v>
      </c>
    </row>
    <row r="38" spans="1:5" ht="19.2" hidden="1" customHeight="1" thickBot="1">
      <c r="A38">
        <v>97</v>
      </c>
      <c r="B38" s="1396" t="s">
        <v>6783</v>
      </c>
      <c r="C38" s="1396" t="s">
        <v>6784</v>
      </c>
      <c r="D38" s="1395" t="s">
        <v>6883</v>
      </c>
      <c r="E38" s="1396" t="s">
        <v>6884</v>
      </c>
    </row>
    <row r="39" spans="1:5" ht="19.2" hidden="1" customHeight="1" thickBot="1">
      <c r="A39">
        <v>98</v>
      </c>
      <c r="B39" s="1396" t="s">
        <v>6785</v>
      </c>
      <c r="C39" s="1396" t="s">
        <v>6786</v>
      </c>
      <c r="D39" s="1395" t="s">
        <v>6885</v>
      </c>
      <c r="E39" s="1396" t="s">
        <v>6886</v>
      </c>
    </row>
    <row r="40" spans="1:5" ht="19.2" hidden="1" customHeight="1" thickBot="1">
      <c r="A40">
        <v>99</v>
      </c>
      <c r="B40" s="1396" t="s">
        <v>6787</v>
      </c>
      <c r="C40" s="1396" t="s">
        <v>6788</v>
      </c>
      <c r="D40" s="1395" t="s">
        <v>6887</v>
      </c>
      <c r="E40" s="1396" t="s">
        <v>6888</v>
      </c>
    </row>
    <row r="41" spans="1:5" ht="19.2" hidden="1" customHeight="1" thickBot="1">
      <c r="A41">
        <v>100</v>
      </c>
      <c r="B41" s="1396" t="s">
        <v>6789</v>
      </c>
      <c r="C41" s="1396" t="s">
        <v>6790</v>
      </c>
      <c r="D41" s="1395" t="s">
        <v>6889</v>
      </c>
      <c r="E41" s="1396" t="s">
        <v>6890</v>
      </c>
    </row>
    <row r="42" spans="1:5" ht="19.2" hidden="1" customHeight="1" thickBot="1">
      <c r="A42">
        <v>101</v>
      </c>
      <c r="B42" s="1399" t="s">
        <v>6791</v>
      </c>
      <c r="C42" s="1399" t="s">
        <v>6792</v>
      </c>
      <c r="D42" s="1398" t="s">
        <v>6891</v>
      </c>
      <c r="E42" s="1399" t="s">
        <v>6892</v>
      </c>
    </row>
    <row r="43" spans="1:5" ht="19.2" hidden="1" customHeight="1" thickBot="1">
      <c r="A43">
        <v>102</v>
      </c>
      <c r="B43" s="1399" t="s">
        <v>6793</v>
      </c>
      <c r="C43" s="1399" t="s">
        <v>6794</v>
      </c>
      <c r="D43" s="1398" t="s">
        <v>6893</v>
      </c>
      <c r="E43" s="1399" t="s">
        <v>6894</v>
      </c>
    </row>
    <row r="44" spans="1:5" ht="19.2" hidden="1" customHeight="1" thickBot="1">
      <c r="A44">
        <v>103</v>
      </c>
      <c r="B44" s="1400" t="s">
        <v>6795</v>
      </c>
      <c r="C44" s="1399" t="s">
        <v>6796</v>
      </c>
      <c r="D44" s="1398" t="s">
        <v>6895</v>
      </c>
      <c r="E44" s="1399" t="s">
        <v>6896</v>
      </c>
    </row>
    <row r="45" spans="1:5" ht="19.2" hidden="1" customHeight="1" thickBot="1">
      <c r="A45">
        <v>104</v>
      </c>
      <c r="B45" s="1400" t="s">
        <v>6797</v>
      </c>
      <c r="C45" s="1399" t="s">
        <v>6798</v>
      </c>
      <c r="D45" s="1398" t="s">
        <v>6897</v>
      </c>
      <c r="E45" s="1399" t="s">
        <v>6898</v>
      </c>
    </row>
    <row r="46" spans="1:5" ht="19.2" hidden="1" customHeight="1" thickBot="1">
      <c r="A46">
        <v>105</v>
      </c>
      <c r="B46" s="1399" t="s">
        <v>6799</v>
      </c>
      <c r="C46" s="1399" t="s">
        <v>6800</v>
      </c>
      <c r="D46" s="1398" t="s">
        <v>6899</v>
      </c>
      <c r="E46" s="1399" t="s">
        <v>6900</v>
      </c>
    </row>
    <row r="47" spans="1:5" ht="19.2" hidden="1" customHeight="1" thickBot="1">
      <c r="A47">
        <v>106</v>
      </c>
      <c r="B47" s="1399" t="s">
        <v>6801</v>
      </c>
      <c r="C47" s="1399" t="s">
        <v>6802</v>
      </c>
      <c r="D47" s="1398" t="s">
        <v>6901</v>
      </c>
      <c r="E47" s="1399" t="s">
        <v>6902</v>
      </c>
    </row>
    <row r="48" spans="1:5" ht="19.2" hidden="1" customHeight="1" thickBot="1">
      <c r="A48">
        <v>107</v>
      </c>
      <c r="B48" s="1399" t="s">
        <v>6803</v>
      </c>
      <c r="C48" s="1399" t="s">
        <v>6804</v>
      </c>
      <c r="D48" s="1398" t="s">
        <v>6903</v>
      </c>
      <c r="E48" s="1399" t="s">
        <v>6904</v>
      </c>
    </row>
    <row r="49" spans="1:6" ht="19.2" hidden="1" customHeight="1" thickBot="1">
      <c r="A49">
        <v>108</v>
      </c>
      <c r="B49" s="1399" t="s">
        <v>6805</v>
      </c>
      <c r="C49" s="1399" t="s">
        <v>6806</v>
      </c>
      <c r="D49" s="1398" t="s">
        <v>6905</v>
      </c>
      <c r="E49" s="1399" t="s">
        <v>6906</v>
      </c>
    </row>
    <row r="50" spans="1:6" ht="19.2" hidden="1" customHeight="1" thickBot="1">
      <c r="A50">
        <v>109</v>
      </c>
      <c r="B50" s="1399" t="s">
        <v>6807</v>
      </c>
      <c r="C50" s="1399" t="s">
        <v>6808</v>
      </c>
      <c r="D50" s="1398" t="s">
        <v>6907</v>
      </c>
      <c r="E50" s="1399" t="s">
        <v>6908</v>
      </c>
    </row>
    <row r="51" spans="1:6" ht="19.2" hidden="1" customHeight="1" thickBot="1">
      <c r="A51">
        <v>120</v>
      </c>
      <c r="B51" s="1399" t="s">
        <v>6809</v>
      </c>
      <c r="C51" s="1399" t="s">
        <v>6810</v>
      </c>
      <c r="D51" s="1398" t="s">
        <v>6909</v>
      </c>
      <c r="E51" s="1399" t="s">
        <v>6910</v>
      </c>
    </row>
    <row r="52" spans="1:6" ht="19.2" hidden="1" customHeight="1" thickBot="1">
      <c r="B52" s="1403"/>
      <c r="C52" s="1403"/>
      <c r="D52" s="1403"/>
      <c r="E52" s="1403"/>
    </row>
    <row r="53" spans="1:6">
      <c r="A53" s="1413">
        <v>0</v>
      </c>
      <c r="B53" s="1404" t="str">
        <f t="shared" ref="B53:B85" ca="1" si="0">LOOKUP(RANDBETWEEN(1,100)+(A53*2),treHumD,treHumNS)</f>
        <v>Cape/collier/capuche brune avec attache avant</v>
      </c>
      <c r="C53" s="1404"/>
      <c r="D53" s="1404"/>
      <c r="E53" s="1404" t="str">
        <f t="shared" ref="E53:E84" ca="1" si="1">"d3="&amp;RANDBETWEEN(1,3)&amp;" D10*="&amp;LOOKUP(RANDBETWEEN(1,10),TRED10S,tred10)&amp;" d6="&amp;RANDBETWEEN(1,3)&amp;" D10="&amp;RANDBETWEEN(1,10)</f>
        <v>d3=2 D10*=3 d6=2 D10=6</v>
      </c>
      <c r="F53" s="1405"/>
    </row>
    <row r="54" spans="1:6">
      <c r="A54" s="1414">
        <v>0</v>
      </c>
      <c r="B54" s="847" t="str">
        <f t="shared" ca="1" si="0"/>
        <v>2d6 SO en vrac</v>
      </c>
      <c r="C54" s="847"/>
      <c r="D54" s="847"/>
      <c r="E54" s="847" t="str">
        <f t="shared" ca="1" si="1"/>
        <v>d3=2 D10*=1 d6=2 D10=4</v>
      </c>
      <c r="F54" s="1407"/>
    </row>
    <row r="55" spans="1:6">
      <c r="A55" s="1414">
        <v>0</v>
      </c>
      <c r="B55" s="847" t="str">
        <f t="shared" ca="1" si="0"/>
        <v>1D10 SO dans une poche/bourse/étui</v>
      </c>
      <c r="C55" s="847"/>
      <c r="D55" s="847"/>
      <c r="E55" s="847" t="str">
        <f t="shared" ca="1" si="1"/>
        <v>d3=3 D10*=2 d6=2 D10=2</v>
      </c>
      <c r="F55" s="1407"/>
    </row>
    <row r="56" spans="1:6">
      <c r="A56" s="1414">
        <v>1</v>
      </c>
      <c r="B56" s="847" t="str">
        <f t="shared" ca="1" si="0"/>
        <v>Cape/robe/tunique/ensemble en grosse laine grise</v>
      </c>
      <c r="C56" s="847"/>
      <c r="D56" s="847"/>
      <c r="E56" s="847" t="str">
        <f t="shared" ca="1" si="1"/>
        <v>d3=3 D10*=4 d6=3 D10=4</v>
      </c>
      <c r="F56" s="1407"/>
    </row>
    <row r="57" spans="1:6">
      <c r="A57" s="1414">
        <v>1</v>
      </c>
      <c r="B57" s="847" t="str">
        <f t="shared" ca="1" si="0"/>
        <v>Boucle d’oreille avec une pierre jet/agate/jade</v>
      </c>
      <c r="C57" s="847"/>
      <c r="D57" s="847"/>
      <c r="E57" s="847" t="str">
        <f t="shared" ca="1" si="1"/>
        <v>d3=2 D10*=2 d6=3 D10=8</v>
      </c>
      <c r="F57" s="1407"/>
    </row>
    <row r="58" spans="1:6">
      <c r="A58" s="1414">
        <v>1</v>
      </c>
      <c r="B58" s="847" t="str">
        <f t="shared" ca="1" si="0"/>
        <v>Cape/collier/capuche brune avec attache avant</v>
      </c>
      <c r="C58" s="847"/>
      <c r="D58" s="847"/>
      <c r="E58" s="847" t="str">
        <f t="shared" ca="1" si="1"/>
        <v>d3=3 D10*=1 d6=2 D10=2</v>
      </c>
      <c r="F58" s="1407"/>
    </row>
    <row r="59" spans="1:6">
      <c r="A59" s="1414">
        <v>1</v>
      </c>
      <c r="B59" s="847" t="str">
        <f t="shared" ca="1" si="0"/>
        <v>Mitaines de laine brune/ocre/noire/blanche</v>
      </c>
      <c r="C59" s="847"/>
      <c r="D59" s="847"/>
      <c r="E59" s="847" t="str">
        <f t="shared" ca="1" si="1"/>
        <v>d3=3 D10*=2 d6=3 D10=2</v>
      </c>
      <c r="F59" s="1407"/>
    </row>
    <row r="60" spans="1:6">
      <c r="A60" s="1414">
        <v>2</v>
      </c>
      <c r="B60" s="847" t="str">
        <f t="shared" ca="1" si="0"/>
        <v xml:space="preserve">Cape de laine/chanvre/cuir grise renforcée </v>
      </c>
      <c r="C60" s="847"/>
      <c r="D60" s="847"/>
      <c r="E60" s="847" t="str">
        <f t="shared" ca="1" si="1"/>
        <v>d3=3 D10*=1 d6=2 D10=9</v>
      </c>
      <c r="F60" s="1407"/>
    </row>
    <row r="61" spans="1:6">
      <c r="A61" s="1414">
        <v>2</v>
      </c>
      <c r="B61" s="847" t="str">
        <f t="shared" ca="1" si="0"/>
        <v>Ceinture/chausse/bottes de cuir fin et blanc</v>
      </c>
      <c r="C61" s="847"/>
      <c r="D61" s="847"/>
      <c r="E61" s="847" t="str">
        <f t="shared" ca="1" si="1"/>
        <v>d3=2 D10*=2 d6=2 D10=10</v>
      </c>
      <c r="F61" s="1407"/>
    </row>
    <row r="62" spans="1:6">
      <c r="A62" s="1414">
        <v>2</v>
      </c>
      <c r="B62" s="847" t="str">
        <f t="shared" ca="1" si="0"/>
        <v>Cassette de bois massif/rare/précieux + 1d6 PA</v>
      </c>
      <c r="C62" s="847"/>
      <c r="D62" s="847"/>
      <c r="E62" s="847" t="str">
        <f t="shared" ca="1" si="1"/>
        <v>d3=1 D10*=2 d6=2 D10=4</v>
      </c>
      <c r="F62" s="1407"/>
    </row>
    <row r="63" spans="1:6">
      <c r="A63" s="1414">
        <v>2</v>
      </c>
      <c r="B63" s="847" t="str">
        <f t="shared" ca="1" si="0"/>
        <v>2d6 SO en vrac</v>
      </c>
      <c r="C63" s="847"/>
      <c r="D63" s="847"/>
      <c r="E63" s="847" t="str">
        <f t="shared" ca="1" si="1"/>
        <v>d3=2 D10*=2 d6=3 D10=1</v>
      </c>
      <c r="F63" s="1407"/>
    </row>
    <row r="64" spans="1:6">
      <c r="A64" s="1414">
        <v>2</v>
      </c>
      <c r="B64" s="847" t="str">
        <f t="shared" ca="1" si="0"/>
        <v>Inventaire d’une réserve locale/régionale/royale</v>
      </c>
      <c r="C64" s="847"/>
      <c r="D64" s="847"/>
      <c r="E64" s="847" t="str">
        <f t="shared" ca="1" si="1"/>
        <v>d3=2 D10*=2 d6=3 D10=5</v>
      </c>
      <c r="F64" s="1407"/>
    </row>
    <row r="65" spans="1:6">
      <c r="A65" s="1414">
        <v>3</v>
      </c>
      <c r="B65" s="847" t="str">
        <f t="shared" ca="1" si="0"/>
        <v>Uniforme/surcot de guilde avec symbole cousu</v>
      </c>
      <c r="C65" s="847"/>
      <c r="D65" s="847"/>
      <c r="E65" s="847" t="str">
        <f t="shared" ca="1" si="1"/>
        <v>d3=1 D10*=1 d6=1 D10=10</v>
      </c>
      <c r="F65" s="1407"/>
    </row>
    <row r="66" spans="1:6">
      <c r="A66" s="1414">
        <v>3</v>
      </c>
      <c r="B66" s="847" t="str">
        <f t="shared" ca="1" si="0"/>
        <v>Robe/voile/jupe/cape blanche de lin, collier brodé</v>
      </c>
      <c r="C66" s="847"/>
      <c r="D66" s="847"/>
      <c r="E66" s="847" t="str">
        <f t="shared" ca="1" si="1"/>
        <v>d3=3 D10*=3 d6=3 D10=2</v>
      </c>
      <c r="F66" s="1407"/>
    </row>
    <row r="67" spans="1:6">
      <c r="A67" s="1414">
        <v>3</v>
      </c>
      <c r="B67" s="847" t="str">
        <f t="shared" ca="1" si="0"/>
        <v>Masque de bois/cuir/métal taillé à l’effigie d’un héros</v>
      </c>
      <c r="C67" s="847"/>
      <c r="D67" s="847"/>
      <c r="E67" s="847" t="str">
        <f t="shared" ca="1" si="1"/>
        <v>d3=3 D10*=3 d6=2 D10=10</v>
      </c>
      <c r="F67" s="1407"/>
    </row>
    <row r="68" spans="1:6">
      <c r="A68" s="1414">
        <v>3</v>
      </c>
      <c r="B68" s="847" t="str">
        <f t="shared" ca="1" si="0"/>
        <v xml:space="preserve">Cape de laine/chanvre/cuir grise renforcée </v>
      </c>
      <c r="C68" s="847"/>
      <c r="D68" s="847"/>
      <c r="E68" s="847" t="str">
        <f t="shared" ca="1" si="1"/>
        <v>d3=3 D10*=1 d6=3 D10=5</v>
      </c>
      <c r="F68" s="1407"/>
    </row>
    <row r="69" spans="1:6">
      <c r="A69" s="1414">
        <v>3</v>
      </c>
      <c r="B69" s="847" t="str">
        <f t="shared" ca="1" si="0"/>
        <v>Lettre/message confidentielle/secret d’un notable</v>
      </c>
      <c r="C69" s="847"/>
      <c r="D69" s="847"/>
      <c r="E69" s="847" t="str">
        <f t="shared" ca="1" si="1"/>
        <v>d3=1 D10*=4 d6=3 D10=3</v>
      </c>
      <c r="F69" s="1407"/>
    </row>
    <row r="70" spans="1:6">
      <c r="A70" s="1414">
        <v>4</v>
      </c>
      <c r="B70" s="847" t="str">
        <f t="shared" ca="1" si="0"/>
        <v>Bourse de cuir avec 1d6 PC</v>
      </c>
      <c r="C70" s="847"/>
      <c r="D70" s="847"/>
      <c r="E70" s="847" t="str">
        <f t="shared" ca="1" si="1"/>
        <v>d3=2 D10*=2 d6=1 D10=2</v>
      </c>
      <c r="F70" s="1407"/>
    </row>
    <row r="71" spans="1:6">
      <c r="A71" s="1414">
        <v>4</v>
      </c>
      <c r="B71" s="847" t="str">
        <f t="shared" ca="1" si="0"/>
        <v>Cassette de bois massif/rare/précieux + 1d6 PA</v>
      </c>
      <c r="C71" s="847"/>
      <c r="D71" s="847"/>
      <c r="E71" s="847" t="str">
        <f t="shared" ca="1" si="1"/>
        <v>d3=2 D10*=4 d6=1 D10=4</v>
      </c>
      <c r="F71" s="1407"/>
    </row>
    <row r="72" spans="1:6">
      <c r="A72" s="1414">
        <v>4</v>
      </c>
      <c r="B72" s="847" t="str">
        <f t="shared" ca="1" si="0"/>
        <v>Cape verte en lin/serge/cuir avec nœud à la taille</v>
      </c>
      <c r="C72" s="847"/>
      <c r="D72" s="847"/>
      <c r="E72" s="847" t="str">
        <f t="shared" ca="1" si="1"/>
        <v>d3=2 D10*=3 d6=2 D10=2</v>
      </c>
      <c r="F72" s="1407"/>
    </row>
    <row r="73" spans="1:6">
      <c r="A73" s="1414">
        <v>4</v>
      </c>
      <c r="B73" s="847" t="str">
        <f t="shared" ca="1" si="0"/>
        <v>Bourse/Filet/Sac/Etui avec 2D10 SO</v>
      </c>
      <c r="C73" s="847"/>
      <c r="D73" s="847"/>
      <c r="E73" s="847" t="str">
        <f t="shared" ca="1" si="1"/>
        <v>d3=1 D10*=3 d6=1 D10=5</v>
      </c>
      <c r="F73" s="1407"/>
    </row>
    <row r="74" spans="1:6">
      <c r="A74" s="1414">
        <v>5</v>
      </c>
      <c r="B74" s="847" t="str">
        <f t="shared" ca="1" si="0"/>
        <v>Cape/robe/tunique/ensemble en grosse laine grise</v>
      </c>
      <c r="C74" s="847"/>
      <c r="D74" s="847"/>
      <c r="E74" s="847" t="str">
        <f t="shared" ca="1" si="1"/>
        <v>d3=1 D10*=1 d6=3 D10=9</v>
      </c>
      <c r="F74" s="1407"/>
    </row>
    <row r="75" spans="1:6">
      <c r="A75" s="1414">
        <v>5</v>
      </c>
      <c r="B75" s="847" t="str">
        <f t="shared" ca="1" si="0"/>
        <v>Bourse de cuir avec 1d6 PC</v>
      </c>
      <c r="C75" s="847"/>
      <c r="D75" s="847"/>
      <c r="E75" s="847" t="str">
        <f t="shared" ca="1" si="1"/>
        <v>d3=3 D10*=1 d6=2 D10=9</v>
      </c>
      <c r="F75" s="1407"/>
    </row>
    <row r="76" spans="1:6">
      <c r="A76" s="1414">
        <v>5</v>
      </c>
      <c r="B76" s="847" t="str">
        <f t="shared" ca="1" si="0"/>
        <v>Boucle et petite topaze/agate/opale/granet sertie</v>
      </c>
      <c r="C76" s="847"/>
      <c r="D76" s="847"/>
      <c r="E76" s="847" t="str">
        <f t="shared" ca="1" si="1"/>
        <v>d3=3 D10*=3 d6=1 D10=4</v>
      </c>
      <c r="F76" s="1407"/>
    </row>
    <row r="77" spans="1:6">
      <c r="A77" s="1414">
        <v>6</v>
      </c>
      <c r="B77" s="847" t="str">
        <f t="shared" ca="1" si="0"/>
        <v>Mitaines de laine brune/ocre/noire/blanche</v>
      </c>
      <c r="C77" s="847"/>
      <c r="D77" s="847"/>
      <c r="E77" s="847" t="str">
        <f t="shared" ca="1" si="1"/>
        <v>d3=3 D10*=3 d6=3 D10=1</v>
      </c>
      <c r="F77" s="1407"/>
    </row>
    <row r="78" spans="1:6">
      <c r="A78" s="1414">
        <v>6</v>
      </c>
      <c r="B78" s="847" t="str">
        <f t="shared" ca="1" si="0"/>
        <v>Boucle et petite topaze/agate/opale/granet sertie</v>
      </c>
      <c r="C78" s="847"/>
      <c r="D78" s="847"/>
      <c r="E78" s="847" t="str">
        <f t="shared" ca="1" si="1"/>
        <v>d3=3 D10*=3 d6=1 D10=9</v>
      </c>
      <c r="F78" s="1407"/>
    </row>
    <row r="79" spans="1:6">
      <c r="A79" s="1414">
        <v>6</v>
      </c>
      <c r="B79" s="847" t="str">
        <f t="shared" ca="1" si="0"/>
        <v>Boucle d’oreille avec une pierre jet/agate/jade</v>
      </c>
      <c r="C79" s="847"/>
      <c r="D79" s="847"/>
      <c r="E79" s="847" t="str">
        <f t="shared" ca="1" si="1"/>
        <v>d3=2 D10*=2 d6=1 D10=10</v>
      </c>
      <c r="F79" s="1407"/>
    </row>
    <row r="80" spans="1:6">
      <c r="A80" s="1414">
        <v>7</v>
      </c>
      <c r="B80" s="847" t="str">
        <f t="shared" ca="1" si="0"/>
        <v>Cape verte en lin/serge/cuir avec nœud à la taille</v>
      </c>
      <c r="C80" s="847"/>
      <c r="D80" s="847"/>
      <c r="E80" s="847" t="str">
        <f t="shared" ca="1" si="1"/>
        <v>d3=3 D10*=3 d6=3 D10=6</v>
      </c>
      <c r="F80" s="1407"/>
    </row>
    <row r="81" spans="1:6">
      <c r="A81" s="1414">
        <v>7</v>
      </c>
      <c r="B81" s="847" t="str">
        <f t="shared" ca="1" si="0"/>
        <v>Boucle d’oreille avec une pierre jet/agate/jade</v>
      </c>
      <c r="C81" s="847"/>
      <c r="D81" s="847"/>
      <c r="E81" s="847" t="str">
        <f t="shared" ca="1" si="1"/>
        <v>d3=2 D10*=2 d6=3 D10=5</v>
      </c>
      <c r="F81" s="1407"/>
    </row>
    <row r="82" spans="1:6">
      <c r="A82" s="1414">
        <v>8</v>
      </c>
      <c r="B82" s="847" t="str">
        <f t="shared" ca="1" si="0"/>
        <v>Tunique soie orangée, col échancré brodé de blanc</v>
      </c>
      <c r="C82" s="847"/>
      <c r="D82" s="847"/>
      <c r="E82" s="847" t="str">
        <f t="shared" ca="1" si="1"/>
        <v>d3=3 D10*=3 d6=1 D10=3</v>
      </c>
      <c r="F82" s="1407"/>
    </row>
    <row r="83" spans="1:6">
      <c r="A83" s="1414">
        <v>8</v>
      </c>
      <c r="B83" s="847" t="str">
        <f t="shared" ca="1" si="0"/>
        <v>Couverture brune de serge/grosse laine/cuir</v>
      </c>
      <c r="C83" s="847"/>
      <c r="D83" s="847"/>
      <c r="E83" s="847" t="str">
        <f t="shared" ca="1" si="1"/>
        <v>d3=1 D10*=2 d6=2 D10=4</v>
      </c>
      <c r="F83" s="1407"/>
    </row>
    <row r="84" spans="1:6">
      <c r="A84" s="1414">
        <v>9</v>
      </c>
      <c r="B84" s="847" t="str">
        <f t="shared" ca="1" si="0"/>
        <v>Boucle d’oreille avec une pierre jet/agate/jade</v>
      </c>
      <c r="C84" s="847"/>
      <c r="D84" s="847"/>
      <c r="E84" s="847" t="str">
        <f t="shared" ca="1" si="1"/>
        <v>d3=2 D10*=2 d6=3 D10=8</v>
      </c>
      <c r="F84" s="1407"/>
    </row>
    <row r="85" spans="1:6" ht="15" thickBot="1">
      <c r="A85" s="1415">
        <v>9</v>
      </c>
      <c r="B85" s="1408" t="str">
        <f t="shared" ca="1" si="0"/>
        <v>Anneau bronze/cuivre/argent/or</v>
      </c>
      <c r="C85" s="1408"/>
      <c r="D85" s="1408"/>
      <c r="E85" s="1408" t="str">
        <f t="shared" ref="E85:E116" ca="1" si="2">"d3="&amp;RANDBETWEEN(1,3)&amp;" D10*="&amp;LOOKUP(RANDBETWEEN(1,10),TRED10S,tred10)&amp;" d6="&amp;RANDBETWEEN(1,3)&amp;" D10="&amp;RANDBETWEEN(1,10)</f>
        <v>d3=3 D10*=1 d6=1 D10=8</v>
      </c>
      <c r="F85" s="1409"/>
    </row>
    <row r="86" spans="1:6">
      <c r="A86" s="1410">
        <f t="shared" ref="A86:A104" ca="1" si="3">LOOKUP(RANDBETWEEN(1,10),TRED10S,tred10)*20-(LOOKUP(RANDBETWEEN(1,10),TRED10S,tred10)-1)*5</f>
        <v>55</v>
      </c>
      <c r="B86" s="1411" t="str">
        <f t="shared" ref="B86:B104" ca="1" si="4">LOOKUP(RANDBETWEEN(1,100)+(A86/5),treHumD,treHumNE)</f>
        <v>Poterie(jarre/vase/statue) fine et décorée</v>
      </c>
      <c r="C86" s="1411"/>
      <c r="D86" s="1411"/>
      <c r="E86" s="1411" t="str">
        <f t="shared" ca="1" si="2"/>
        <v>d3=1 D10*=1 d6=1 D10=2</v>
      </c>
      <c r="F86" s="1412"/>
    </row>
    <row r="87" spans="1:6">
      <c r="A87" s="1406">
        <f t="shared" ca="1" si="3"/>
        <v>20</v>
      </c>
      <c r="B87" s="847" t="str">
        <f t="shared" ca="1" si="4"/>
        <v>Marteau de mineur/charpentier/sculpteur</v>
      </c>
      <c r="C87" s="847"/>
      <c r="D87" s="847"/>
      <c r="E87" s="847" t="str">
        <f t="shared" ca="1" si="2"/>
        <v>d3=1 D10*=3 d6=3 D10=2</v>
      </c>
      <c r="F87" s="1407"/>
    </row>
    <row r="88" spans="1:6">
      <c r="A88" s="1406">
        <f t="shared" ca="1" si="3"/>
        <v>20</v>
      </c>
      <c r="B88" s="847" t="str">
        <f t="shared" ca="1" si="4"/>
        <v>Encre noire/rouge/bleue spéciale pour enluminure</v>
      </c>
      <c r="C88" s="847"/>
      <c r="D88" s="847"/>
      <c r="E88" s="847" t="str">
        <f t="shared" ca="1" si="2"/>
        <v>d3=3 D10*=4 d6=2 D10=1</v>
      </c>
      <c r="F88" s="1407"/>
    </row>
    <row r="89" spans="1:6">
      <c r="A89" s="1406">
        <f t="shared" ca="1" si="3"/>
        <v>20</v>
      </c>
      <c r="B89" s="847" t="str">
        <f t="shared" ca="1" si="4"/>
        <v>Encre noire/rouge/bleue spéciale pour enluminure</v>
      </c>
      <c r="C89" s="847"/>
      <c r="D89" s="847"/>
      <c r="E89" s="847" t="str">
        <f t="shared" ca="1" si="2"/>
        <v>d3=1 D10*=2 d6=1 D10=10</v>
      </c>
      <c r="F89" s="1407"/>
    </row>
    <row r="90" spans="1:6">
      <c r="A90" s="1406">
        <f t="shared" ca="1" si="3"/>
        <v>35</v>
      </c>
      <c r="B90" s="847" t="str">
        <f t="shared" ca="1" si="4"/>
        <v>Inventaire/comptes d’une échoppe d’herboriste</v>
      </c>
      <c r="C90" s="847"/>
      <c r="D90" s="847"/>
      <c r="E90" s="847" t="str">
        <f t="shared" ca="1" si="2"/>
        <v>d3=1 D10*=2 d6=1 D10=4</v>
      </c>
      <c r="F90" s="1407"/>
    </row>
    <row r="91" spans="1:6">
      <c r="A91" s="1406">
        <f t="shared" ca="1" si="3"/>
        <v>70</v>
      </c>
      <c r="B91" s="847" t="str">
        <f t="shared" ca="1" si="4"/>
        <v>1d6 doses de teinture noire/bleue/rouge/jaune</v>
      </c>
      <c r="C91" s="847"/>
      <c r="D91" s="847"/>
      <c r="E91" s="847" t="str">
        <f t="shared" ca="1" si="2"/>
        <v>d3=2 D10*=1 d6=2 D10=10</v>
      </c>
      <c r="F91" s="1407"/>
    </row>
    <row r="92" spans="1:6">
      <c r="A92" s="1406">
        <f t="shared" ca="1" si="3"/>
        <v>20</v>
      </c>
      <c r="B92" s="847" t="str">
        <f t="shared" ca="1" si="4"/>
        <v>Matériel de fabrication de serrure/piège/gemme</v>
      </c>
      <c r="C92" s="847"/>
      <c r="D92" s="847"/>
      <c r="E92" s="847" t="str">
        <f t="shared" ca="1" si="2"/>
        <v>d3=1 D10*=1 d6=3 D10=1</v>
      </c>
      <c r="F92" s="1407"/>
    </row>
    <row r="93" spans="1:6">
      <c r="A93" s="1406">
        <f t="shared" ca="1" si="3"/>
        <v>15</v>
      </c>
      <c r="B93" s="847" t="str">
        <f t="shared" ca="1" si="4"/>
        <v>Rouleau de lin/laine/soie jaune finement tissée</v>
      </c>
      <c r="C93" s="847"/>
      <c r="D93" s="847"/>
      <c r="E93" s="847" t="str">
        <f t="shared" ca="1" si="2"/>
        <v>d3=2 D10*=2 d6=2 D10=8</v>
      </c>
      <c r="F93" s="1407"/>
    </row>
    <row r="94" spans="1:6">
      <c r="A94" s="1406">
        <f t="shared" ca="1" si="3"/>
        <v>60</v>
      </c>
      <c r="B94" s="847" t="str">
        <f t="shared" ca="1" si="4"/>
        <v>Pince en fer/cuivre/argent/or pour joaillier</v>
      </c>
      <c r="C94" s="847"/>
      <c r="D94" s="847"/>
      <c r="E94" s="847" t="str">
        <f t="shared" ca="1" si="2"/>
        <v>d3=2 D10*=3 d6=3 D10=4</v>
      </c>
      <c r="F94" s="1407"/>
    </row>
    <row r="95" spans="1:6">
      <c r="A95" s="1406">
        <f t="shared" ca="1" si="3"/>
        <v>80</v>
      </c>
      <c r="B95" s="847" t="str">
        <f t="shared" ca="1" si="4"/>
        <v>1d6kg de charbon/fer/bronze/argent</v>
      </c>
      <c r="C95" s="847"/>
      <c r="D95" s="847"/>
      <c r="E95" s="847" t="str">
        <f t="shared" ca="1" si="2"/>
        <v>d3=1 D10*=2 d6=3 D10=6</v>
      </c>
      <c r="F95" s="1407"/>
    </row>
    <row r="96" spans="1:6">
      <c r="A96" s="1406">
        <f t="shared" ca="1" si="3"/>
        <v>55</v>
      </c>
      <c r="B96" s="847" t="str">
        <f t="shared" ca="1" si="4"/>
        <v>Alcool utilisé pour les préparations des plantes</v>
      </c>
      <c r="C96" s="847"/>
      <c r="D96" s="847"/>
      <c r="E96" s="847" t="str">
        <f t="shared" ca="1" si="2"/>
        <v>d3=3 D10*=1 d6=2 D10=3</v>
      </c>
      <c r="F96" s="1407"/>
    </row>
    <row r="97" spans="1:6">
      <c r="A97" s="1406">
        <f t="shared" ca="1" si="3"/>
        <v>20</v>
      </c>
      <c r="B97" s="847" t="str">
        <f t="shared" ca="1" si="4"/>
        <v>Jouet en bois/ivoire/métal figurant un animal</v>
      </c>
      <c r="C97" s="847"/>
      <c r="D97" s="847"/>
      <c r="E97" s="847" t="str">
        <f t="shared" ca="1" si="2"/>
        <v>d3=1 D10*=3 d6=2 D10=6</v>
      </c>
      <c r="F97" s="1407"/>
    </row>
    <row r="98" spans="1:6">
      <c r="A98" s="1406">
        <f t="shared" ca="1" si="3"/>
        <v>35</v>
      </c>
      <c r="B98" s="847" t="str">
        <f t="shared" ca="1" si="4"/>
        <v>Etude des plantes des marais/montagne/forêt</v>
      </c>
      <c r="C98" s="847"/>
      <c r="D98" s="847"/>
      <c r="E98" s="847" t="str">
        <f t="shared" ca="1" si="2"/>
        <v>d3=3 D10*=1 d6=3 D10=10</v>
      </c>
      <c r="F98" s="1407"/>
    </row>
    <row r="99" spans="1:6">
      <c r="A99" s="1406">
        <f t="shared" ca="1" si="3"/>
        <v>60</v>
      </c>
      <c r="B99" s="847" t="str">
        <f t="shared" ca="1" si="4"/>
        <v>Une peau de loup brute/traitée/précieuse/rare</v>
      </c>
      <c r="C99" s="847"/>
      <c r="D99" s="847"/>
      <c r="E99" s="847" t="str">
        <f t="shared" ca="1" si="2"/>
        <v>d3=2 D10*=1 d6=1 D10=1</v>
      </c>
      <c r="F99" s="1407"/>
    </row>
    <row r="100" spans="1:6">
      <c r="A100" s="1406">
        <f t="shared" ca="1" si="3"/>
        <v>25</v>
      </c>
      <c r="B100" s="847" t="str">
        <f t="shared" ca="1" si="4"/>
        <v>Eau/alcool/PN/poison bénit</v>
      </c>
      <c r="C100" s="847"/>
      <c r="D100" s="847"/>
      <c r="E100" s="847" t="str">
        <f t="shared" ca="1" si="2"/>
        <v>d3=2 D10*=1 d6=2 D10=4</v>
      </c>
      <c r="F100" s="1407"/>
    </row>
    <row r="101" spans="1:6">
      <c r="A101" s="1406">
        <f t="shared" ca="1" si="3"/>
        <v>5</v>
      </c>
      <c r="B101" s="847" t="str">
        <f t="shared" ca="1" si="4"/>
        <v>Huile de préparation des produits d’animaux</v>
      </c>
      <c r="C101" s="847"/>
      <c r="D101" s="847"/>
      <c r="E101" s="847" t="str">
        <f t="shared" ca="1" si="2"/>
        <v>d3=2 D10*=2 d6=2 D10=8</v>
      </c>
      <c r="F101" s="1407"/>
    </row>
    <row r="102" spans="1:6">
      <c r="A102" s="1406">
        <f t="shared" ca="1" si="3"/>
        <v>35</v>
      </c>
      <c r="B102" s="847" t="str">
        <f t="shared" ca="1" si="4"/>
        <v>Couteau de tanneur/chasseur/bourreau/tueur</v>
      </c>
      <c r="C102" s="847"/>
      <c r="D102" s="847"/>
      <c r="E102" s="847" t="str">
        <f t="shared" ca="1" si="2"/>
        <v>d3=2 D10*=3 d6=2 D10=7</v>
      </c>
      <c r="F102" s="1407"/>
    </row>
    <row r="103" spans="1:6">
      <c r="A103" s="1406">
        <f t="shared" ca="1" si="3"/>
        <v>55</v>
      </c>
      <c r="B103" s="847" t="str">
        <f t="shared" ca="1" si="4"/>
        <v>Inventaire/comptes d’une échoppe d’herboriste</v>
      </c>
      <c r="C103" s="847"/>
      <c r="D103" s="847"/>
      <c r="E103" s="847" t="str">
        <f t="shared" ca="1" si="2"/>
        <v>d3=2 D10*=1 d6=1 D10=5</v>
      </c>
      <c r="F103" s="1407"/>
    </row>
    <row r="104" spans="1:6" ht="15" thickBot="1">
      <c r="A104" s="1419">
        <f t="shared" ca="1" si="3"/>
        <v>30</v>
      </c>
      <c r="B104" s="1416" t="str">
        <f t="shared" ca="1" si="4"/>
        <v>Alambic en cuivre fin/gravé/serti</v>
      </c>
      <c r="C104" s="1416"/>
      <c r="D104" s="1416"/>
      <c r="E104" s="1416" t="str">
        <f t="shared" ca="1" si="2"/>
        <v>d3=2 D10*=1 d6=3 D10=5</v>
      </c>
      <c r="F104" s="1420"/>
    </row>
    <row r="105" spans="1:6">
      <c r="A105" s="1417">
        <v>0</v>
      </c>
      <c r="B105" s="1404" t="str">
        <f t="shared" ref="B105:B137" ca="1" si="5">LOOKUP(RANDBETWEEN(1,100)+(A105),treHumD,treHumNEC)</f>
        <v>Plomée de mercenaire royal +marque armurier</v>
      </c>
      <c r="C105" s="1404"/>
      <c r="D105" s="1404"/>
      <c r="E105" s="1404" t="str">
        <f t="shared" ca="1" si="2"/>
        <v>d3=2 D10*=2 d6=3 D10=2</v>
      </c>
      <c r="F105" s="1405"/>
    </row>
    <row r="106" spans="1:6">
      <c r="A106" s="1418">
        <v>0</v>
      </c>
      <c r="B106" s="847" t="str">
        <f t="shared" ca="1" si="5"/>
        <v>Grand chien blanc I + 2 commandes</v>
      </c>
      <c r="C106" s="847"/>
      <c r="D106" s="847"/>
      <c r="E106" s="847" t="str">
        <f t="shared" ca="1" si="2"/>
        <v>d3=3 D10*=2 d6=3 D10=5</v>
      </c>
      <c r="F106" s="1407"/>
    </row>
    <row r="107" spans="1:6">
      <c r="A107" s="1418">
        <v>1</v>
      </c>
      <c r="B107" s="847" t="str">
        <f t="shared" ca="1" si="5"/>
        <v>Gants de maille légère renforcée (M) de cuir clouté</v>
      </c>
      <c r="C107" s="847"/>
      <c r="D107" s="847"/>
      <c r="E107" s="847" t="str">
        <f t="shared" ca="1" si="2"/>
        <v>d3=1 D10*=1 d6=2 D10=4</v>
      </c>
      <c r="F107" s="1407"/>
    </row>
    <row r="108" spans="1:6">
      <c r="A108" s="1418">
        <v>1</v>
      </c>
      <c r="B108" s="847" t="str">
        <f t="shared" ca="1" si="5"/>
        <v>Casque de cuir (T) +gaine de fer</v>
      </c>
      <c r="C108" s="847"/>
      <c r="D108" s="847"/>
      <c r="E108" s="847" t="str">
        <f t="shared" ca="1" si="2"/>
        <v>d3=2 D10*=3 d6=3 D10=8</v>
      </c>
      <c r="F108" s="1407"/>
    </row>
    <row r="109" spans="1:6">
      <c r="A109" s="1418">
        <v>2</v>
      </c>
      <c r="B109" s="847" t="str">
        <f t="shared" ca="1" si="5"/>
        <v>Fronde en cuir travaillé+ 1D10 pierres</v>
      </c>
      <c r="C109" s="847"/>
      <c r="D109" s="847"/>
      <c r="E109" s="847" t="str">
        <f t="shared" ca="1" si="2"/>
        <v>d3=1 D10*=3 d6=3 D10=6</v>
      </c>
      <c r="F109" s="1407"/>
    </row>
    <row r="110" spans="1:6">
      <c r="A110" s="1418">
        <v>2</v>
      </c>
      <c r="B110" s="847" t="str">
        <f t="shared" ca="1" si="5"/>
        <v>Dague de plat+ fourreau cuir ocre</v>
      </c>
      <c r="C110" s="847"/>
      <c r="D110" s="847"/>
      <c r="E110" s="847" t="str">
        <f t="shared" ca="1" si="2"/>
        <v>d3=2 D10*=3 d6=2 D10=7</v>
      </c>
      <c r="F110" s="1407"/>
    </row>
    <row r="111" spans="1:6">
      <c r="A111" s="1418">
        <v>3</v>
      </c>
      <c r="B111" s="847" t="str">
        <f t="shared" ca="1" si="5"/>
        <v>Haubert de cuir renforcé (Th B V)+3 caches secrets</v>
      </c>
      <c r="C111" s="847"/>
      <c r="D111" s="847"/>
      <c r="E111" s="847" t="str">
        <f t="shared" ca="1" si="2"/>
        <v>d3=1 D10*=1 d6=1 D10=6</v>
      </c>
      <c r="F111" s="1407"/>
    </row>
    <row r="112" spans="1:6">
      <c r="A112" s="1418">
        <v>3</v>
      </c>
      <c r="B112" s="847" t="str">
        <f t="shared" ca="1" si="5"/>
        <v>Chausses (J) de cuir bouilli + 1 fourreau à épée</v>
      </c>
      <c r="C112" s="847"/>
      <c r="D112" s="847"/>
      <c r="E112" s="847" t="str">
        <f t="shared" ca="1" si="2"/>
        <v>d3=1 D10*=2 d6=1 D10=10</v>
      </c>
      <c r="F112" s="1407"/>
    </row>
    <row r="113" spans="1:6">
      <c r="A113" s="1418">
        <v>4</v>
      </c>
      <c r="B113" s="847" t="str">
        <f t="shared" ca="1" si="5"/>
        <v>Fléau de bois clair +fer renforcé</v>
      </c>
      <c r="C113" s="847"/>
      <c r="D113" s="847"/>
      <c r="E113" s="847" t="str">
        <f t="shared" ca="1" si="2"/>
        <v>d3=3 D10*=1 d6=3 D10=8</v>
      </c>
      <c r="F113" s="1407"/>
    </row>
    <row r="114" spans="1:6">
      <c r="A114" s="1418">
        <v>3</v>
      </c>
      <c r="B114" s="847" t="str">
        <f t="shared" ca="1" si="5"/>
        <v>Fronde en cuir travaillé+ 1D10 pierres</v>
      </c>
      <c r="C114" s="847"/>
      <c r="D114" s="847"/>
      <c r="E114" s="847" t="str">
        <f t="shared" ca="1" si="2"/>
        <v>d3=2 D10*=2 d6=2 D10=6</v>
      </c>
      <c r="F114" s="1407"/>
    </row>
    <row r="115" spans="1:6">
      <c r="A115" s="1418">
        <v>4</v>
      </c>
      <c r="B115" s="847" t="str">
        <f t="shared" ca="1" si="5"/>
        <v>1d3 bœufs de charroi +sangles</v>
      </c>
      <c r="C115" s="847"/>
      <c r="D115" s="847"/>
      <c r="E115" s="847" t="str">
        <f t="shared" ca="1" si="2"/>
        <v>d3=3 D10*=2 d6=1 D10=9</v>
      </c>
      <c r="F115" s="1407"/>
    </row>
    <row r="116" spans="1:6">
      <c r="A116" s="1418">
        <v>4</v>
      </c>
      <c r="B116" s="847" t="str">
        <f t="shared" ca="1" si="5"/>
        <v>2 brassards (B) de brigandine de mercenaire</v>
      </c>
      <c r="C116" s="847"/>
      <c r="D116" s="847"/>
      <c r="E116" s="847" t="str">
        <f t="shared" ca="1" si="2"/>
        <v>d3=1 D10*=3 d6=3 D10=4</v>
      </c>
      <c r="F116" s="1407"/>
    </row>
    <row r="117" spans="1:6">
      <c r="A117" s="1418">
        <v>4</v>
      </c>
      <c r="B117" s="847" t="str">
        <f t="shared" ca="1" si="5"/>
        <v>Epieu ferré +gaine cuir clair+corde de poignée</v>
      </c>
      <c r="C117" s="847"/>
      <c r="D117" s="847"/>
      <c r="E117" s="847" t="str">
        <f t="shared" ref="E117:E148" ca="1" si="6">"d3="&amp;RANDBETWEEN(1,3)&amp;" D10*="&amp;LOOKUP(RANDBETWEEN(1,10),TRED10S,tred10)&amp;" d6="&amp;RANDBETWEEN(1,3)&amp;" D10="&amp;RANDBETWEEN(1,10)</f>
        <v>d3=2 D10*=1 d6=2 D10=5</v>
      </c>
      <c r="F117" s="1407"/>
    </row>
    <row r="118" spans="1:6">
      <c r="A118" s="1418">
        <v>4</v>
      </c>
      <c r="B118" s="847" t="str">
        <f t="shared" ca="1" si="5"/>
        <v>Grand chien blanc I + 2 commandes</v>
      </c>
      <c r="C118" s="847"/>
      <c r="D118" s="847"/>
      <c r="E118" s="847" t="str">
        <f t="shared" ca="1" si="6"/>
        <v>d3=2 D10*=2 d6=3 D10=4</v>
      </c>
      <c r="F118" s="1407"/>
    </row>
    <row r="119" spans="1:6">
      <c r="A119" s="1418">
        <v>4</v>
      </c>
      <c r="B119" s="847" t="str">
        <f t="shared" ca="1" si="5"/>
        <v>Casque de cuir (T) +gaine de fer</v>
      </c>
      <c r="C119" s="847"/>
      <c r="D119" s="847"/>
      <c r="E119" s="847" t="str">
        <f t="shared" ca="1" si="6"/>
        <v>d3=1 D10*=2 d6=1 D10=5</v>
      </c>
      <c r="F119" s="1407"/>
    </row>
    <row r="120" spans="1:6">
      <c r="A120" s="1418">
        <v>5</v>
      </c>
      <c r="B120" s="847" t="str">
        <f t="shared" ca="1" si="5"/>
        <v>Armet (T) et visière de fer</v>
      </c>
      <c r="C120" s="847"/>
      <c r="D120" s="847"/>
      <c r="E120" s="847" t="str">
        <f t="shared" ca="1" si="6"/>
        <v>d3=1 D10*=3 d6=3 D10=2</v>
      </c>
      <c r="F120" s="1407"/>
    </row>
    <row r="121" spans="1:6">
      <c r="A121" s="1418">
        <v>5</v>
      </c>
      <c r="B121" s="847" t="str">
        <f t="shared" ca="1" si="5"/>
        <v>Matériel d’entretien pour épée +huile+pierre</v>
      </c>
      <c r="C121" s="847"/>
      <c r="D121" s="847"/>
      <c r="E121" s="847" t="str">
        <f t="shared" ca="1" si="6"/>
        <v>d3=2 D10*=1 d6=2 D10=7</v>
      </c>
      <c r="F121" s="1407"/>
    </row>
    <row r="122" spans="1:6">
      <c r="A122" s="1418">
        <v>5</v>
      </c>
      <c r="B122" s="847" t="str">
        <f t="shared" ca="1" si="5"/>
        <v>Cimeterre à lame ciselée +fourreau</v>
      </c>
      <c r="C122" s="847"/>
      <c r="D122" s="847"/>
      <c r="E122" s="847" t="str">
        <f t="shared" ca="1" si="6"/>
        <v>d3=2 D10*=1 d6=3 D10=8</v>
      </c>
      <c r="F122" s="1407"/>
    </row>
    <row r="123" spans="1:6">
      <c r="A123" s="1418">
        <v>5</v>
      </c>
      <c r="B123" s="847" t="str">
        <f t="shared" ca="1" si="5"/>
        <v>Rondache brun sombre + pointe avant</v>
      </c>
      <c r="C123" s="847"/>
      <c r="D123" s="847"/>
      <c r="E123" s="847" t="str">
        <f t="shared" ca="1" si="6"/>
        <v>d3=1 D10*=2 d6=2 D10=10</v>
      </c>
      <c r="F123" s="1407"/>
    </row>
    <row r="124" spans="1:6">
      <c r="A124" s="1418">
        <v>5</v>
      </c>
      <c r="B124" s="847" t="str">
        <f t="shared" ca="1" si="5"/>
        <v>Trois chiens bruns II +cuir + ‘tuer’</v>
      </c>
      <c r="C124" s="847"/>
      <c r="D124" s="847"/>
      <c r="E124" s="847" t="str">
        <f t="shared" ca="1" si="6"/>
        <v>d3=2 D10*=2 d6=1 D10=10</v>
      </c>
      <c r="F124" s="1407"/>
    </row>
    <row r="125" spans="1:6">
      <c r="A125" s="1418">
        <v>6</v>
      </c>
      <c r="B125" s="847" t="str">
        <f t="shared" ca="1" si="5"/>
        <v>Casque de cuir (T) +gaine de fer</v>
      </c>
      <c r="C125" s="847"/>
      <c r="D125" s="847"/>
      <c r="E125" s="847" t="str">
        <f t="shared" ca="1" si="6"/>
        <v>d3=3 D10*=4 d6=2 D10=1</v>
      </c>
      <c r="F125" s="1407"/>
    </row>
    <row r="126" spans="1:6">
      <c r="A126" s="1418">
        <v>7</v>
      </c>
      <c r="B126" s="847" t="str">
        <f t="shared" ca="1" si="5"/>
        <v>Epée large de chevalier +blason sur pommeau</v>
      </c>
      <c r="C126" s="847"/>
      <c r="D126" s="847"/>
      <c r="E126" s="847" t="str">
        <f t="shared" ca="1" si="6"/>
        <v>d3=1 D10*=3 d6=2 D10=9</v>
      </c>
      <c r="F126" s="1407"/>
    </row>
    <row r="127" spans="1:6">
      <c r="A127" s="1418">
        <v>6</v>
      </c>
      <c r="B127" s="847" t="str">
        <f t="shared" ca="1" si="5"/>
        <v>Petit bouclier de bois noir à bord blanc</v>
      </c>
      <c r="C127" s="847"/>
      <c r="D127" s="847"/>
      <c r="E127" s="847" t="str">
        <f t="shared" ca="1" si="6"/>
        <v>d3=2 D10*=1 d6=1 D10=2</v>
      </c>
      <c r="F127" s="1407"/>
    </row>
    <row r="128" spans="1:6">
      <c r="A128" s="1418">
        <v>6</v>
      </c>
      <c r="B128" s="847" t="str">
        <f t="shared" ca="1" si="5"/>
        <v>Chausses (J) de cuir bouilli + 1 fourreau à épée</v>
      </c>
      <c r="C128" s="847"/>
      <c r="D128" s="847"/>
      <c r="E128" s="847" t="str">
        <f t="shared" ca="1" si="6"/>
        <v>d3=1 D10*=3 d6=3 D10=6</v>
      </c>
      <c r="F128" s="1407"/>
    </row>
    <row r="129" spans="1:6">
      <c r="A129" s="1418">
        <v>7</v>
      </c>
      <c r="B129" s="847" t="str">
        <f t="shared" ca="1" si="5"/>
        <v>Poing en cuivre +2 pointes</v>
      </c>
      <c r="C129" s="847"/>
      <c r="D129" s="847"/>
      <c r="E129" s="847" t="str">
        <f t="shared" ca="1" si="6"/>
        <v>d3=1 D10*=2 d6=3 D10=5</v>
      </c>
      <c r="F129" s="1407"/>
    </row>
    <row r="130" spans="1:6">
      <c r="A130" s="1418">
        <v>7</v>
      </c>
      <c r="B130" s="847" t="str">
        <f t="shared" ca="1" si="5"/>
        <v>Trois chiens bruns II +cuir + ‘tuer’</v>
      </c>
      <c r="C130" s="847"/>
      <c r="D130" s="847"/>
      <c r="E130" s="847" t="str">
        <f t="shared" ca="1" si="6"/>
        <v>d3=2 D10*=1 d6=3 D10=5</v>
      </c>
      <c r="F130" s="1407"/>
    </row>
    <row r="131" spans="1:6">
      <c r="A131" s="1418">
        <v>7</v>
      </c>
      <c r="B131" s="847" t="str">
        <f t="shared" ca="1" si="5"/>
        <v>Matériel d’entretien pour épée +huile+pierre</v>
      </c>
      <c r="C131" s="847"/>
      <c r="D131" s="847"/>
      <c r="E131" s="847" t="str">
        <f t="shared" ca="1" si="6"/>
        <v>d3=2 D10*=3 d6=2 D10=2</v>
      </c>
      <c r="F131" s="1407"/>
    </row>
    <row r="132" spans="1:6">
      <c r="A132" s="1418">
        <v>8</v>
      </c>
      <c r="B132" s="847" t="str">
        <f t="shared" ca="1" si="5"/>
        <v>Vouge massive +poignées de cuir</v>
      </c>
      <c r="C132" s="847"/>
      <c r="D132" s="847"/>
      <c r="E132" s="847" t="str">
        <f t="shared" ca="1" si="6"/>
        <v>d3=1 D10*=3 d6=2 D10=1</v>
      </c>
      <c r="F132" s="1407"/>
    </row>
    <row r="133" spans="1:6">
      <c r="A133" s="1418">
        <v>8</v>
      </c>
      <c r="B133" s="847" t="str">
        <f t="shared" ca="1" si="5"/>
        <v>Jambières (J) de cuir souple marquée d’un signe</v>
      </c>
      <c r="C133" s="847"/>
      <c r="D133" s="847"/>
      <c r="E133" s="847" t="str">
        <f t="shared" ca="1" si="6"/>
        <v>d3=1 D10*=1 d6=2 D10=7</v>
      </c>
      <c r="F133" s="1407"/>
    </row>
    <row r="134" spans="1:6">
      <c r="A134" s="1418">
        <v>9</v>
      </c>
      <c r="B134" s="847" t="str">
        <f t="shared" ca="1" si="5"/>
        <v>Cheval blessé brun +selle +fourreau</v>
      </c>
      <c r="C134" s="847"/>
      <c r="D134" s="847"/>
      <c r="E134" s="847" t="str">
        <f t="shared" ca="1" si="6"/>
        <v>d3=2 D10*=3 d6=1 D10=7</v>
      </c>
      <c r="F134" s="1407"/>
    </row>
    <row r="135" spans="1:6">
      <c r="A135" s="1418">
        <v>9</v>
      </c>
      <c r="B135" s="847" t="str">
        <f t="shared" ca="1" si="5"/>
        <v>Plomée de mercenaire royal +marque armurier</v>
      </c>
      <c r="C135" s="847"/>
      <c r="D135" s="847"/>
      <c r="E135" s="847" t="str">
        <f t="shared" ca="1" si="6"/>
        <v>d3=3 D10*=3 d6=3 D10=6</v>
      </c>
      <c r="F135" s="1407"/>
    </row>
    <row r="136" spans="1:6">
      <c r="A136" s="1418">
        <v>10</v>
      </c>
      <c r="B136" s="847" t="str">
        <f t="shared" ca="1" si="5"/>
        <v>Destrier ocre +selle +maille avant</v>
      </c>
      <c r="C136" s="847"/>
      <c r="D136" s="847"/>
      <c r="E136" s="847" t="str">
        <f t="shared" ca="1" si="6"/>
        <v>d3=2 D10*=3 d6=2 D10=5</v>
      </c>
      <c r="F136" s="1407"/>
    </row>
    <row r="137" spans="1:6" ht="15" thickBot="1">
      <c r="A137" s="1421">
        <v>10</v>
      </c>
      <c r="B137" s="1416" t="str">
        <f t="shared" ca="1" si="5"/>
        <v>2 brassards (B) de brigandine de mercenaire</v>
      </c>
      <c r="C137" s="1416"/>
      <c r="D137" s="1416"/>
      <c r="E137" s="1416" t="str">
        <f t="shared" ca="1" si="6"/>
        <v>d3=3 D10*=1 d6=3 D10=9</v>
      </c>
      <c r="F137" s="1420"/>
    </row>
    <row r="138" spans="1:6">
      <c r="A138" s="1422">
        <v>0</v>
      </c>
      <c r="B138" s="1404" t="str">
        <f t="shared" ref="B138:B156" ca="1" si="7">LOOKUP(RANDBETWEEN(1,100)+(A138*2),treHumD,treHumNem)</f>
        <v>Parchemins+ plume + encre noire</v>
      </c>
      <c r="C138" s="1404"/>
      <c r="D138" s="1404"/>
      <c r="E138" s="1404" t="str">
        <f t="shared" ca="1" si="6"/>
        <v>d3=3 D10*=2 d6=3 D10=5</v>
      </c>
      <c r="F138" s="1405"/>
    </row>
    <row r="139" spans="1:6">
      <c r="A139" s="1423">
        <v>1</v>
      </c>
      <c r="B139" s="847" t="str">
        <f t="shared" ca="1" si="7"/>
        <v>Bracelet en bronze doré à l’effigie du Dieu</v>
      </c>
      <c r="C139" s="847"/>
      <c r="D139" s="847"/>
      <c r="E139" s="847" t="str">
        <f t="shared" ca="1" si="6"/>
        <v>d3=2 D10*=4 d6=2 D10=1</v>
      </c>
      <c r="F139" s="1407"/>
    </row>
    <row r="140" spans="1:6">
      <c r="A140" s="1423">
        <v>2</v>
      </c>
      <c r="B140" s="847" t="str">
        <f t="shared" ca="1" si="7"/>
        <v>Ceinturon d’or avec deux profils de dragons</v>
      </c>
      <c r="C140" s="847"/>
      <c r="D140" s="847"/>
      <c r="E140" s="847" t="str">
        <f t="shared" ca="1" si="6"/>
        <v>d3=2 D10*=1 d6=3 D10=9</v>
      </c>
      <c r="F140" s="1407"/>
    </row>
    <row r="141" spans="1:6">
      <c r="A141" s="1423">
        <v>2</v>
      </c>
      <c r="B141" s="847" t="str">
        <f t="shared" ca="1" si="7"/>
        <v>Ecrits EI 5/7 malédiction mentale : fanatique</v>
      </c>
      <c r="C141" s="847"/>
      <c r="D141" s="847"/>
      <c r="E141" s="847" t="str">
        <f t="shared" ca="1" si="6"/>
        <v>d3=2 D10*=1 d6=3 D10=7</v>
      </c>
      <c r="F141" s="1407"/>
    </row>
    <row r="142" spans="1:6">
      <c r="A142" s="1423">
        <v>3</v>
      </c>
      <c r="B142" s="847" t="str">
        <f t="shared" ca="1" si="7"/>
        <v>Gemme EO 6/6 : sort Nuage de Mort</v>
      </c>
      <c r="C142" s="847"/>
      <c r="D142" s="847"/>
      <c r="E142" s="847" t="str">
        <f t="shared" ca="1" si="6"/>
        <v>d3=2 D10*=2 d6=3 D10=4</v>
      </c>
      <c r="F142" s="1407"/>
    </row>
    <row r="143" spans="1:6">
      <c r="A143" s="1423">
        <v>3</v>
      </c>
      <c r="B143" s="847" t="str">
        <f t="shared" ca="1" si="7"/>
        <v>Bracelet en bronze doré à l’effigie du Dieu</v>
      </c>
      <c r="C143" s="847"/>
      <c r="D143" s="847"/>
      <c r="E143" s="847" t="str">
        <f t="shared" ca="1" si="6"/>
        <v>d3=2 D10*=2 d6=1 D10=5</v>
      </c>
      <c r="F143" s="1407"/>
    </row>
    <row r="144" spans="1:6">
      <c r="A144" s="1423">
        <v>4</v>
      </c>
      <c r="B144" s="847" t="str">
        <f t="shared" ca="1" si="7"/>
        <v>Poudre EA 5/6 attribut : éthéré 6h</v>
      </c>
      <c r="C144" s="847"/>
      <c r="D144" s="847"/>
      <c r="E144" s="847" t="str">
        <f t="shared" ca="1" si="6"/>
        <v>d3=2 D10*=1 d6=2 D10=5</v>
      </c>
      <c r="F144" s="1407"/>
    </row>
    <row r="145" spans="1:6">
      <c r="A145" s="1423">
        <v>4</v>
      </c>
      <c r="B145" s="847" t="str">
        <f t="shared" ca="1" si="7"/>
        <v>Pierre focus pour tous pouvoirs EI, bonus +1d3</v>
      </c>
      <c r="C145" s="847"/>
      <c r="D145" s="847"/>
      <c r="E145" s="847" t="str">
        <f t="shared" ca="1" si="6"/>
        <v>d3=3 D10*=3 d6=2 D10=7</v>
      </c>
      <c r="F145" s="1407"/>
    </row>
    <row r="146" spans="1:6">
      <c r="A146" s="1423">
        <v>5</v>
      </c>
      <c r="B146" s="847" t="str">
        <f t="shared" ca="1" si="7"/>
        <v>1d3 gemmes utilisées dans la magie EA</v>
      </c>
      <c r="C146" s="847"/>
      <c r="D146" s="847"/>
      <c r="E146" s="847" t="str">
        <f t="shared" ca="1" si="6"/>
        <v>d3=1 D10*=2 d6=1 D10=10</v>
      </c>
      <c r="F146" s="1407"/>
    </row>
    <row r="147" spans="1:6">
      <c r="A147" s="1423">
        <v>5</v>
      </c>
      <c r="B147" s="847" t="str">
        <f t="shared" ca="1" si="7"/>
        <v>Simple couronne de cuivre</v>
      </c>
      <c r="C147" s="847"/>
      <c r="D147" s="847"/>
      <c r="E147" s="847" t="str">
        <f t="shared" ca="1" si="6"/>
        <v>d3=1 D10*=1 d6=1 D10=3</v>
      </c>
      <c r="F147" s="1407"/>
    </row>
    <row r="148" spans="1:6">
      <c r="A148" s="1423">
        <v>6</v>
      </c>
      <c r="B148" s="847" t="str">
        <f t="shared" ca="1" si="7"/>
        <v>Ecrits EI 5/7 malédiction mentale : fanatique</v>
      </c>
      <c r="C148" s="847"/>
      <c r="D148" s="847"/>
      <c r="E148" s="847" t="str">
        <f t="shared" ca="1" si="6"/>
        <v>d3=2 D10*=1 d6=1 D10=8</v>
      </c>
      <c r="F148" s="1407"/>
    </row>
    <row r="149" spans="1:6">
      <c r="A149" s="1423">
        <v>6</v>
      </c>
      <c r="B149" s="847" t="str">
        <f t="shared" ca="1" si="7"/>
        <v>1D10 plantes pour lancer des sorts EE</v>
      </c>
      <c r="C149" s="847"/>
      <c r="D149" s="847"/>
      <c r="E149" s="847" t="str">
        <f t="shared" ref="E149:E156" ca="1" si="8">"d3="&amp;RANDBETWEEN(1,3)&amp;" D10*="&amp;LOOKUP(RANDBETWEEN(1,10),TRED10S,tred10)&amp;" d6="&amp;RANDBETWEEN(1,3)&amp;" D10="&amp;RANDBETWEEN(1,10)</f>
        <v>d3=2 D10*=2 d6=2 D10=1</v>
      </c>
      <c r="F149" s="1407"/>
    </row>
    <row r="150" spans="1:6">
      <c r="A150" s="1423">
        <v>7</v>
      </c>
      <c r="B150" s="847" t="str">
        <f t="shared" ca="1" si="7"/>
        <v>1d6 pierres utilisées dans la magie EA, EI ou EE</v>
      </c>
      <c r="C150" s="847"/>
      <c r="D150" s="847"/>
      <c r="E150" s="847" t="str">
        <f t="shared" ca="1" si="8"/>
        <v>d3=2 D10*=3 d6=2 D10=7</v>
      </c>
      <c r="F150" s="1407"/>
    </row>
    <row r="151" spans="1:6">
      <c r="A151" s="1423">
        <v>7</v>
      </c>
      <c r="B151" s="847" t="str">
        <f t="shared" ca="1" si="7"/>
        <v>Jade sertie à une grosse bague en argent</v>
      </c>
      <c r="C151" s="847"/>
      <c r="D151" s="847"/>
      <c r="E151" s="847" t="str">
        <f t="shared" ca="1" si="8"/>
        <v>d3=1 D10*=4 d6=1 D10=8</v>
      </c>
      <c r="F151" s="1407"/>
    </row>
    <row r="152" spans="1:6">
      <c r="A152" s="1423">
        <v>8</v>
      </c>
      <c r="B152" s="847" t="str">
        <f t="shared" ca="1" si="7"/>
        <v>1d3 Herbe de Dharba préparée avec parfum trompeur</v>
      </c>
      <c r="C152" s="847"/>
      <c r="D152" s="847"/>
      <c r="E152" s="847" t="str">
        <f t="shared" ca="1" si="8"/>
        <v>d3=1 D10*=1 d6=2 D10=6</v>
      </c>
      <c r="F152" s="1407"/>
    </row>
    <row r="153" spans="1:6">
      <c r="A153" s="1423">
        <v>8</v>
      </c>
      <c r="B153" s="847" t="str">
        <f t="shared" ca="1" si="7"/>
        <v>Épaulière d’argent sertie de deux silex enchantés</v>
      </c>
      <c r="C153" s="847"/>
      <c r="D153" s="847"/>
      <c r="E153" s="847" t="str">
        <f t="shared" ca="1" si="8"/>
        <v>d3=2 D10*=1 d6=1 D10=8</v>
      </c>
      <c r="F153" s="1407"/>
    </row>
    <row r="154" spans="1:6">
      <c r="A154" s="1423">
        <v>9</v>
      </c>
      <c r="B154" s="847" t="str">
        <f t="shared" ca="1" si="7"/>
        <v>Jaspe préparée +mouchoir soie blanche</v>
      </c>
      <c r="C154" s="847"/>
      <c r="D154" s="847"/>
      <c r="E154" s="847" t="str">
        <f t="shared" ca="1" si="8"/>
        <v>d3=3 D10*=2 d6=3 D10=10</v>
      </c>
      <c r="F154" s="1407"/>
    </row>
    <row r="155" spans="1:6">
      <c r="A155" s="1423">
        <v>9</v>
      </c>
      <c r="B155" s="847" t="str">
        <f t="shared" ca="1" si="7"/>
        <v>Épaulière d’argent sertie de deux silex enchantés</v>
      </c>
      <c r="C155" s="847"/>
      <c r="D155" s="847"/>
      <c r="E155" s="847" t="str">
        <f t="shared" ca="1" si="8"/>
        <v>d3=2 D10*=1 d6=1 D10=2</v>
      </c>
      <c r="F155" s="1407"/>
    </row>
    <row r="156" spans="1:6" ht="15" thickBot="1">
      <c r="A156" s="1424">
        <v>10</v>
      </c>
      <c r="B156" s="1408" t="str">
        <f t="shared" ca="1" si="7"/>
        <v xml:space="preserve">1d6 doses encre invisible spéciale </v>
      </c>
      <c r="C156" s="1408"/>
      <c r="D156" s="1408"/>
      <c r="E156" s="1408" t="str">
        <f t="shared" ca="1" si="8"/>
        <v>d3=1 D10*=1 d6=2 D10=7</v>
      </c>
      <c r="F156" s="1409"/>
    </row>
  </sheetData>
  <pageMargins left="0.23622047244094491" right="0.23622047244094491" top="0.55118110236220474" bottom="0.55118110236220474" header="0.31496062992125984" footer="0.31496062992125984"/>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335"/>
  <sheetViews>
    <sheetView topLeftCell="A107" zoomScaleNormal="100" workbookViewId="0">
      <selection activeCell="U139" sqref="U139"/>
    </sheetView>
  </sheetViews>
  <sheetFormatPr baseColWidth="10" defaultColWidth="9.109375" defaultRowHeight="10.199999999999999"/>
  <cols>
    <col min="1" max="1" width="4.109375" style="78" customWidth="1"/>
    <col min="2" max="2" width="3.6640625" style="78" customWidth="1"/>
    <col min="3" max="3" width="9.109375" style="78"/>
    <col min="4" max="4" width="6" style="78" customWidth="1"/>
    <col min="5" max="6" width="9.109375" style="78"/>
    <col min="7" max="7" width="8.33203125" style="78" customWidth="1"/>
    <col min="8" max="8" width="5.33203125" style="78" customWidth="1"/>
    <col min="9" max="9" width="9.109375" style="78"/>
    <col min="10" max="10" width="6" style="78" customWidth="1"/>
    <col min="11" max="11" width="5.5546875" style="78" customWidth="1"/>
    <col min="12" max="12" width="9.109375" style="78"/>
    <col min="13" max="14" width="5.44140625" style="78" customWidth="1"/>
    <col min="15" max="15" width="5.6640625" style="187" customWidth="1"/>
    <col min="16" max="16" width="6.5546875" style="187" customWidth="1"/>
    <col min="17" max="17" width="7.109375" style="187" customWidth="1"/>
    <col min="18" max="18" width="5.44140625" style="187" customWidth="1"/>
    <col min="19" max="19" width="6.44140625" style="78" customWidth="1"/>
    <col min="20" max="20" width="8.6640625" style="78" customWidth="1"/>
    <col min="21" max="21" width="6.33203125" style="187" customWidth="1"/>
    <col min="22" max="22" width="5.33203125" style="78" customWidth="1"/>
    <col min="23" max="23" width="7.5546875" style="78" customWidth="1"/>
    <col min="24" max="24" width="7.6640625" style="78" customWidth="1"/>
    <col min="25" max="25" width="4.6640625" style="78" customWidth="1"/>
    <col min="26" max="27" width="8.6640625" style="78" customWidth="1"/>
    <col min="28" max="28" width="5.6640625" style="187" customWidth="1"/>
    <col min="29" max="29" width="9.109375" style="78" hidden="1" customWidth="1"/>
    <col min="30" max="30" width="6" style="78" hidden="1" customWidth="1"/>
    <col min="31" max="31" width="4.6640625" style="78" hidden="1" customWidth="1"/>
    <col min="32" max="32" width="4.33203125" style="78" hidden="1" customWidth="1"/>
    <col min="33" max="33" width="7.33203125" style="78" hidden="1" customWidth="1"/>
    <col min="34" max="34" width="3.5546875" style="78" hidden="1" customWidth="1"/>
    <col min="35" max="36" width="9.109375" style="78" hidden="1" customWidth="1"/>
    <col min="37" max="37" width="8.109375" style="78" hidden="1" customWidth="1"/>
    <col min="38" max="38" width="7.88671875" style="78" hidden="1" customWidth="1"/>
    <col min="39" max="39" width="7.33203125" style="78" hidden="1" customWidth="1"/>
    <col min="40" max="40" width="8" style="78" hidden="1" customWidth="1"/>
    <col min="41" max="41" width="7.109375" style="78" hidden="1" customWidth="1"/>
    <col min="42" max="55" width="9.109375" style="78" hidden="1" customWidth="1"/>
    <col min="56" max="56" width="15.88671875" style="78" hidden="1" customWidth="1"/>
    <col min="57" max="57" width="9.109375" style="78" hidden="1" customWidth="1"/>
    <col min="58" max="58" width="15.33203125" style="78" hidden="1" customWidth="1"/>
    <col min="59" max="59" width="9.109375" style="78" hidden="1" customWidth="1"/>
    <col min="60" max="60" width="15.88671875" style="78" hidden="1" customWidth="1"/>
    <col min="61" max="61" width="9.109375" style="78" customWidth="1"/>
    <col min="62" max="16384" width="9.109375" style="78"/>
  </cols>
  <sheetData>
    <row r="1" spans="1:54" hidden="1">
      <c r="A1" s="78">
        <v>1</v>
      </c>
      <c r="B1" s="78" t="s">
        <v>344</v>
      </c>
      <c r="C1" s="78">
        <v>1</v>
      </c>
      <c r="D1" s="78" t="s">
        <v>887</v>
      </c>
      <c r="E1" s="78" t="s">
        <v>887</v>
      </c>
      <c r="F1" s="78" t="s">
        <v>887</v>
      </c>
      <c r="G1" s="78" t="s">
        <v>887</v>
      </c>
      <c r="H1" s="78" t="s">
        <v>887</v>
      </c>
      <c r="I1" s="78" t="s">
        <v>887</v>
      </c>
      <c r="J1" s="78" t="s">
        <v>887</v>
      </c>
      <c r="K1" s="78" t="s">
        <v>887</v>
      </c>
      <c r="L1" s="78" t="s">
        <v>887</v>
      </c>
      <c r="M1" s="78" t="s">
        <v>887</v>
      </c>
      <c r="N1" s="78" t="s">
        <v>887</v>
      </c>
      <c r="O1" s="187" t="s">
        <v>887</v>
      </c>
      <c r="P1" s="187" t="s">
        <v>887</v>
      </c>
      <c r="Q1" s="187" t="s">
        <v>984</v>
      </c>
      <c r="R1" s="187" t="s">
        <v>135</v>
      </c>
      <c r="S1" s="78" t="s">
        <v>896</v>
      </c>
      <c r="T1" s="78" t="s">
        <v>277</v>
      </c>
      <c r="U1" s="187" t="s">
        <v>1026</v>
      </c>
      <c r="V1" s="78" t="s">
        <v>2089</v>
      </c>
      <c r="W1" s="78">
        <v>5</v>
      </c>
      <c r="X1" s="78" t="s">
        <v>2090</v>
      </c>
      <c r="Y1" s="78" t="s">
        <v>882</v>
      </c>
      <c r="Z1" s="78" t="s">
        <v>2091</v>
      </c>
      <c r="AA1" s="78">
        <v>0.5</v>
      </c>
      <c r="AB1" s="187" t="s">
        <v>772</v>
      </c>
      <c r="AC1" s="78" t="s">
        <v>624</v>
      </c>
      <c r="AD1" s="78">
        <v>0</v>
      </c>
      <c r="AE1" s="78">
        <v>0</v>
      </c>
      <c r="AF1" s="78">
        <v>40</v>
      </c>
      <c r="AG1" s="78" t="s">
        <v>880</v>
      </c>
      <c r="AH1" s="78">
        <v>0.1</v>
      </c>
      <c r="AI1" s="78" t="s">
        <v>878</v>
      </c>
      <c r="AJ1" s="78" t="s">
        <v>881</v>
      </c>
      <c r="AK1" s="78" t="s">
        <v>882</v>
      </c>
      <c r="AL1" s="109" t="s">
        <v>883</v>
      </c>
      <c r="AM1" s="78">
        <v>0</v>
      </c>
      <c r="AN1" s="78" t="s">
        <v>884</v>
      </c>
      <c r="AO1" s="78" t="s">
        <v>885</v>
      </c>
      <c r="AP1" s="78" t="s">
        <v>880</v>
      </c>
      <c r="AQ1" s="78" t="s">
        <v>886</v>
      </c>
      <c r="AR1" s="78" t="s">
        <v>872</v>
      </c>
      <c r="AS1" s="109" t="s">
        <v>561</v>
      </c>
      <c r="AU1" s="78">
        <v>1</v>
      </c>
      <c r="AV1" s="186" t="s">
        <v>887</v>
      </c>
      <c r="AW1" s="78">
        <v>1</v>
      </c>
      <c r="AX1" s="183">
        <v>0</v>
      </c>
      <c r="AY1" s="183">
        <v>0</v>
      </c>
      <c r="AZ1" s="179">
        <v>0</v>
      </c>
      <c r="BA1" s="78">
        <v>0</v>
      </c>
      <c r="BB1" s="78">
        <v>0</v>
      </c>
    </row>
    <row r="2" spans="1:54" hidden="1">
      <c r="A2" s="78">
        <v>2</v>
      </c>
      <c r="B2" s="78" t="s">
        <v>343</v>
      </c>
      <c r="C2" s="78">
        <v>1</v>
      </c>
      <c r="D2" s="78" t="s">
        <v>887</v>
      </c>
      <c r="E2" s="78" t="s">
        <v>887</v>
      </c>
      <c r="F2" s="78" t="s">
        <v>887</v>
      </c>
      <c r="G2" s="78" t="s">
        <v>887</v>
      </c>
      <c r="H2" s="78" t="s">
        <v>887</v>
      </c>
      <c r="I2" s="78" t="s">
        <v>887</v>
      </c>
      <c r="J2" s="78" t="s">
        <v>887</v>
      </c>
      <c r="K2" s="78" t="s">
        <v>887</v>
      </c>
      <c r="L2" s="78" t="s">
        <v>887</v>
      </c>
      <c r="M2" s="78" t="s">
        <v>887</v>
      </c>
      <c r="N2" s="78" t="s">
        <v>887</v>
      </c>
      <c r="O2" s="187" t="s">
        <v>887</v>
      </c>
      <c r="P2" s="187" t="s">
        <v>887</v>
      </c>
      <c r="Q2" s="187" t="s">
        <v>984</v>
      </c>
      <c r="R2" s="187" t="s">
        <v>135</v>
      </c>
      <c r="S2" s="78" t="s">
        <v>896</v>
      </c>
      <c r="T2" s="78" t="s">
        <v>277</v>
      </c>
      <c r="U2" s="187" t="s">
        <v>1026</v>
      </c>
      <c r="V2" s="78" t="s">
        <v>2089</v>
      </c>
      <c r="W2" s="78">
        <v>1</v>
      </c>
      <c r="X2" s="78" t="s">
        <v>2090</v>
      </c>
      <c r="Y2" s="78" t="s">
        <v>882</v>
      </c>
      <c r="Z2" s="78" t="s">
        <v>2091</v>
      </c>
      <c r="AA2" s="78">
        <v>0.5</v>
      </c>
      <c r="AB2" s="187" t="s">
        <v>772</v>
      </c>
      <c r="AC2" s="78" t="s">
        <v>624</v>
      </c>
      <c r="AD2" s="78">
        <v>0</v>
      </c>
      <c r="AE2" s="78">
        <v>0</v>
      </c>
      <c r="AF2" s="78">
        <v>40</v>
      </c>
      <c r="AG2" s="78" t="s">
        <v>891</v>
      </c>
      <c r="AH2" s="78">
        <v>0.5</v>
      </c>
      <c r="AI2" s="78" t="s">
        <v>878</v>
      </c>
      <c r="AJ2" s="78" t="s">
        <v>892</v>
      </c>
      <c r="AK2" s="78" t="s">
        <v>893</v>
      </c>
      <c r="AL2" s="78" t="s">
        <v>883</v>
      </c>
      <c r="AM2" s="78">
        <v>0</v>
      </c>
      <c r="AN2" s="78" t="s">
        <v>884</v>
      </c>
      <c r="AO2" s="78" t="s">
        <v>885</v>
      </c>
      <c r="AP2" s="78" t="s">
        <v>880</v>
      </c>
      <c r="AQ2" s="78" t="s">
        <v>894</v>
      </c>
      <c r="AR2" s="78" t="s">
        <v>872</v>
      </c>
      <c r="AS2" s="109" t="s">
        <v>561</v>
      </c>
      <c r="AU2" s="78">
        <v>2</v>
      </c>
      <c r="AV2" s="186" t="s">
        <v>621</v>
      </c>
      <c r="AW2" s="78">
        <v>2</v>
      </c>
      <c r="AX2" s="510" t="s">
        <v>895</v>
      </c>
      <c r="AY2" s="510" t="s">
        <v>320</v>
      </c>
      <c r="AZ2" s="193" t="s">
        <v>896</v>
      </c>
    </row>
    <row r="3" spans="1:54" hidden="1">
      <c r="A3" s="78">
        <v>3</v>
      </c>
      <c r="B3" s="78" t="s">
        <v>343</v>
      </c>
      <c r="C3" s="78">
        <v>1</v>
      </c>
      <c r="D3" s="78" t="s">
        <v>887</v>
      </c>
      <c r="E3" s="78" t="s">
        <v>887</v>
      </c>
      <c r="F3" s="78" t="s">
        <v>887</v>
      </c>
      <c r="G3" s="78" t="s">
        <v>887</v>
      </c>
      <c r="H3" s="78" t="s">
        <v>887</v>
      </c>
      <c r="I3" s="78" t="s">
        <v>887</v>
      </c>
      <c r="J3" s="78" t="s">
        <v>887</v>
      </c>
      <c r="K3" s="78" t="s">
        <v>887</v>
      </c>
      <c r="L3" s="78" t="s">
        <v>887</v>
      </c>
      <c r="M3" s="78" t="s">
        <v>887</v>
      </c>
      <c r="N3" s="78" t="s">
        <v>887</v>
      </c>
      <c r="O3" s="187" t="s">
        <v>887</v>
      </c>
      <c r="P3" s="187" t="s">
        <v>887</v>
      </c>
      <c r="Q3" s="187" t="s">
        <v>984</v>
      </c>
      <c r="R3" s="187" t="s">
        <v>135</v>
      </c>
      <c r="S3" s="78" t="s">
        <v>896</v>
      </c>
      <c r="T3" s="78" t="s">
        <v>277</v>
      </c>
      <c r="U3" s="187" t="s">
        <v>1026</v>
      </c>
      <c r="V3" s="78" t="s">
        <v>2089</v>
      </c>
      <c r="W3" s="78">
        <v>1</v>
      </c>
      <c r="X3" s="78" t="s">
        <v>2090</v>
      </c>
      <c r="Y3" s="78" t="s">
        <v>900</v>
      </c>
      <c r="Z3" s="78" t="s">
        <v>2091</v>
      </c>
      <c r="AA3" s="78">
        <v>0.5</v>
      </c>
      <c r="AB3" s="187" t="s">
        <v>772</v>
      </c>
      <c r="AC3" s="78" t="s">
        <v>624</v>
      </c>
      <c r="AD3" s="78">
        <v>0</v>
      </c>
      <c r="AE3" s="78">
        <v>0</v>
      </c>
      <c r="AF3" s="78">
        <v>40</v>
      </c>
      <c r="AG3" s="78" t="s">
        <v>891</v>
      </c>
      <c r="AH3" s="78">
        <v>0.5</v>
      </c>
      <c r="AI3" s="78" t="s">
        <v>878</v>
      </c>
      <c r="AJ3" s="78" t="s">
        <v>892</v>
      </c>
      <c r="AK3" s="78" t="s">
        <v>900</v>
      </c>
      <c r="AL3" s="109" t="s">
        <v>883</v>
      </c>
      <c r="AM3" s="78">
        <v>0</v>
      </c>
      <c r="AN3" s="78" t="s">
        <v>884</v>
      </c>
      <c r="AO3" s="78" t="s">
        <v>885</v>
      </c>
      <c r="AP3" s="78" t="s">
        <v>891</v>
      </c>
      <c r="AQ3" s="78" t="s">
        <v>894</v>
      </c>
      <c r="AR3" s="78" t="s">
        <v>872</v>
      </c>
      <c r="AS3" s="109" t="s">
        <v>561</v>
      </c>
      <c r="AU3" s="78">
        <v>3</v>
      </c>
      <c r="AV3" s="186" t="s">
        <v>901</v>
      </c>
      <c r="AW3" s="78">
        <v>3</v>
      </c>
      <c r="AX3" s="510" t="s">
        <v>878</v>
      </c>
      <c r="AY3" s="510" t="s">
        <v>310</v>
      </c>
      <c r="AZ3" s="193" t="s">
        <v>546</v>
      </c>
    </row>
    <row r="4" spans="1:54" hidden="1">
      <c r="A4" s="78">
        <v>4</v>
      </c>
      <c r="B4" s="78" t="s">
        <v>343</v>
      </c>
      <c r="C4" s="78">
        <v>1</v>
      </c>
      <c r="D4" s="78" t="s">
        <v>887</v>
      </c>
      <c r="E4" s="78" t="s">
        <v>887</v>
      </c>
      <c r="F4" s="78" t="s">
        <v>887</v>
      </c>
      <c r="G4" s="78" t="s">
        <v>887</v>
      </c>
      <c r="H4" s="78" t="s">
        <v>621</v>
      </c>
      <c r="I4" s="78" t="s">
        <v>887</v>
      </c>
      <c r="J4" s="78" t="s">
        <v>887</v>
      </c>
      <c r="K4" s="78" t="s">
        <v>887</v>
      </c>
      <c r="L4" s="78" t="s">
        <v>887</v>
      </c>
      <c r="M4" s="78" t="s">
        <v>887</v>
      </c>
      <c r="N4" s="78" t="s">
        <v>621</v>
      </c>
      <c r="O4" s="187" t="s">
        <v>887</v>
      </c>
      <c r="P4" s="187" t="s">
        <v>887</v>
      </c>
      <c r="Q4" s="187" t="s">
        <v>984</v>
      </c>
      <c r="R4" s="187" t="s">
        <v>135</v>
      </c>
      <c r="S4" s="78" t="s">
        <v>17</v>
      </c>
      <c r="T4" s="78" t="s">
        <v>264</v>
      </c>
      <c r="U4" s="187" t="s">
        <v>38</v>
      </c>
      <c r="V4" s="78" t="s">
        <v>2089</v>
      </c>
      <c r="W4" s="78">
        <v>1</v>
      </c>
      <c r="X4" s="78" t="s">
        <v>2090</v>
      </c>
      <c r="Y4" s="78" t="s">
        <v>681</v>
      </c>
      <c r="Z4" s="78" t="s">
        <v>2091</v>
      </c>
      <c r="AA4" s="78">
        <v>0.5</v>
      </c>
      <c r="AB4" s="187" t="s">
        <v>769</v>
      </c>
      <c r="AC4" s="78" t="s">
        <v>624</v>
      </c>
      <c r="AD4" s="78">
        <v>0</v>
      </c>
      <c r="AE4" s="78">
        <v>0</v>
      </c>
      <c r="AF4" s="78">
        <v>40</v>
      </c>
      <c r="AG4" s="78" t="s">
        <v>891</v>
      </c>
      <c r="AH4" s="78">
        <v>0.5</v>
      </c>
      <c r="AI4" s="78" t="s">
        <v>878</v>
      </c>
      <c r="AJ4" s="78" t="s">
        <v>907</v>
      </c>
      <c r="AK4" s="78" t="s">
        <v>681</v>
      </c>
      <c r="AL4" s="78" t="s">
        <v>883</v>
      </c>
      <c r="AM4" s="78">
        <v>0</v>
      </c>
      <c r="AN4" s="78" t="s">
        <v>884</v>
      </c>
      <c r="AO4" s="78" t="s">
        <v>885</v>
      </c>
      <c r="AP4" s="78" t="s">
        <v>891</v>
      </c>
      <c r="AQ4" s="78" t="s">
        <v>309</v>
      </c>
      <c r="AR4" s="78" t="s">
        <v>872</v>
      </c>
      <c r="AS4" s="109" t="s">
        <v>561</v>
      </c>
      <c r="AU4" s="78">
        <v>4</v>
      </c>
      <c r="AV4" s="186" t="s">
        <v>895</v>
      </c>
      <c r="AW4" s="78">
        <v>4</v>
      </c>
      <c r="AX4" s="510" t="s">
        <v>621</v>
      </c>
      <c r="AY4" s="510" t="s">
        <v>303</v>
      </c>
      <c r="AZ4" s="193" t="s">
        <v>908</v>
      </c>
    </row>
    <row r="5" spans="1:54" hidden="1">
      <c r="A5" s="78">
        <v>5</v>
      </c>
      <c r="B5" s="78" t="s">
        <v>343</v>
      </c>
      <c r="C5" s="78">
        <v>2</v>
      </c>
      <c r="D5" s="78" t="s">
        <v>887</v>
      </c>
      <c r="E5" s="78" t="s">
        <v>621</v>
      </c>
      <c r="F5" s="78" t="s">
        <v>887</v>
      </c>
      <c r="G5" s="78" t="s">
        <v>887</v>
      </c>
      <c r="H5" s="78" t="s">
        <v>621</v>
      </c>
      <c r="I5" s="78" t="s">
        <v>887</v>
      </c>
      <c r="J5" s="78" t="s">
        <v>887</v>
      </c>
      <c r="K5" s="78" t="s">
        <v>887</v>
      </c>
      <c r="L5" s="78" t="s">
        <v>621</v>
      </c>
      <c r="M5" s="78" t="s">
        <v>887</v>
      </c>
      <c r="N5" s="78" t="s">
        <v>621</v>
      </c>
      <c r="O5" s="187" t="s">
        <v>887</v>
      </c>
      <c r="P5" s="187" t="s">
        <v>621</v>
      </c>
      <c r="Q5" s="187" t="s">
        <v>984</v>
      </c>
      <c r="R5" s="187" t="s">
        <v>135</v>
      </c>
      <c r="S5" s="78" t="s">
        <v>152</v>
      </c>
      <c r="T5" s="78" t="s">
        <v>1039</v>
      </c>
      <c r="U5" s="187" t="s">
        <v>25</v>
      </c>
      <c r="V5" s="78" t="s">
        <v>2092</v>
      </c>
      <c r="W5" s="78">
        <v>1</v>
      </c>
      <c r="X5" s="78" t="s">
        <v>2090</v>
      </c>
      <c r="Y5" s="78" t="s">
        <v>2093</v>
      </c>
      <c r="Z5" s="78" t="s">
        <v>2091</v>
      </c>
      <c r="AA5" s="78">
        <v>0.5</v>
      </c>
      <c r="AB5" s="187" t="s">
        <v>769</v>
      </c>
      <c r="AC5" s="78" t="s">
        <v>624</v>
      </c>
      <c r="AD5" s="78">
        <v>0</v>
      </c>
      <c r="AE5" s="78">
        <v>0</v>
      </c>
      <c r="AF5" s="78">
        <v>40</v>
      </c>
      <c r="AG5" s="78" t="s">
        <v>891</v>
      </c>
      <c r="AH5" s="78">
        <v>0.5</v>
      </c>
      <c r="AI5" s="78" t="s">
        <v>878</v>
      </c>
      <c r="AJ5" s="78" t="s">
        <v>907</v>
      </c>
      <c r="AK5" s="78" t="s">
        <v>915</v>
      </c>
      <c r="AL5" s="109" t="s">
        <v>883</v>
      </c>
      <c r="AM5" s="78">
        <v>0</v>
      </c>
      <c r="AN5" s="78" t="s">
        <v>916</v>
      </c>
      <c r="AO5" s="78" t="s">
        <v>917</v>
      </c>
      <c r="AP5" s="78" t="s">
        <v>891</v>
      </c>
      <c r="AQ5" s="78" t="s">
        <v>309</v>
      </c>
      <c r="AR5" s="78" t="s">
        <v>888</v>
      </c>
      <c r="AS5" s="78" t="s">
        <v>846</v>
      </c>
      <c r="AU5" s="78">
        <v>5</v>
      </c>
      <c r="AV5" s="186" t="s">
        <v>918</v>
      </c>
      <c r="AW5" s="78">
        <v>5</v>
      </c>
      <c r="AX5" s="510" t="s">
        <v>901</v>
      </c>
      <c r="AY5" s="510" t="s">
        <v>919</v>
      </c>
      <c r="AZ5" s="193" t="s">
        <v>920</v>
      </c>
    </row>
    <row r="6" spans="1:54" hidden="1">
      <c r="A6" s="78">
        <v>6</v>
      </c>
      <c r="B6" s="78" t="s">
        <v>343</v>
      </c>
      <c r="C6" s="78">
        <v>2</v>
      </c>
      <c r="D6" s="78" t="s">
        <v>887</v>
      </c>
      <c r="E6" s="78" t="s">
        <v>621</v>
      </c>
      <c r="F6" s="78" t="s">
        <v>887</v>
      </c>
      <c r="G6" s="78" t="s">
        <v>887</v>
      </c>
      <c r="H6" s="78" t="s">
        <v>621</v>
      </c>
      <c r="I6" s="78" t="s">
        <v>887</v>
      </c>
      <c r="J6" s="78" t="s">
        <v>887</v>
      </c>
      <c r="K6" s="78" t="s">
        <v>887</v>
      </c>
      <c r="L6" s="78" t="s">
        <v>621</v>
      </c>
      <c r="M6" s="78" t="s">
        <v>887</v>
      </c>
      <c r="N6" s="78" t="s">
        <v>621</v>
      </c>
      <c r="O6" s="187" t="s">
        <v>887</v>
      </c>
      <c r="P6" s="187" t="s">
        <v>621</v>
      </c>
      <c r="Q6" s="187" t="s">
        <v>984</v>
      </c>
      <c r="R6" s="187" t="s">
        <v>135</v>
      </c>
      <c r="S6" s="78" t="s">
        <v>152</v>
      </c>
      <c r="T6" s="78" t="s">
        <v>1039</v>
      </c>
      <c r="U6" s="187" t="s">
        <v>25</v>
      </c>
      <c r="V6" s="78" t="s">
        <v>2092</v>
      </c>
      <c r="W6" s="78">
        <v>1</v>
      </c>
      <c r="X6" s="78" t="s">
        <v>2090</v>
      </c>
      <c r="Y6" s="78" t="s">
        <v>681</v>
      </c>
      <c r="Z6" s="78" t="s">
        <v>2091</v>
      </c>
      <c r="AA6" s="78">
        <v>0.5</v>
      </c>
      <c r="AB6" s="187" t="s">
        <v>769</v>
      </c>
      <c r="AC6" s="78" t="s">
        <v>624</v>
      </c>
      <c r="AD6" s="78">
        <v>0</v>
      </c>
      <c r="AE6" s="78">
        <v>0</v>
      </c>
      <c r="AF6" s="78">
        <v>40</v>
      </c>
      <c r="AG6" s="78" t="s">
        <v>891</v>
      </c>
      <c r="AH6" s="78">
        <v>0.5</v>
      </c>
      <c r="AI6" s="78" t="s">
        <v>878</v>
      </c>
      <c r="AJ6" s="78" t="s">
        <v>907</v>
      </c>
      <c r="AK6" s="78" t="s">
        <v>681</v>
      </c>
      <c r="AL6" s="78" t="s">
        <v>926</v>
      </c>
      <c r="AM6" s="78">
        <v>0</v>
      </c>
      <c r="AN6" s="78" t="s">
        <v>211</v>
      </c>
      <c r="AO6" s="78" t="s">
        <v>917</v>
      </c>
      <c r="AP6" s="78" t="s">
        <v>309</v>
      </c>
      <c r="AQ6" s="78" t="s">
        <v>309</v>
      </c>
      <c r="AR6" s="78" t="s">
        <v>888</v>
      </c>
      <c r="AS6" s="78" t="s">
        <v>846</v>
      </c>
      <c r="AU6" s="78">
        <v>6</v>
      </c>
      <c r="AV6" s="186" t="s">
        <v>927</v>
      </c>
      <c r="AW6" s="78">
        <v>6</v>
      </c>
      <c r="AX6" s="510" t="s">
        <v>928</v>
      </c>
      <c r="AY6" s="510" t="s">
        <v>280</v>
      </c>
      <c r="AZ6" s="193" t="s">
        <v>87</v>
      </c>
    </row>
    <row r="7" spans="1:54" hidden="1">
      <c r="A7" s="78">
        <v>7</v>
      </c>
      <c r="B7" s="78" t="s">
        <v>343</v>
      </c>
      <c r="C7" s="78">
        <v>2</v>
      </c>
      <c r="D7" s="78" t="s">
        <v>887</v>
      </c>
      <c r="E7" s="78" t="s">
        <v>621</v>
      </c>
      <c r="F7" s="78" t="s">
        <v>887</v>
      </c>
      <c r="G7" s="78" t="s">
        <v>887</v>
      </c>
      <c r="H7" s="78" t="s">
        <v>621</v>
      </c>
      <c r="I7" s="78" t="s">
        <v>887</v>
      </c>
      <c r="J7" s="78" t="s">
        <v>887</v>
      </c>
      <c r="K7" s="78" t="s">
        <v>887</v>
      </c>
      <c r="L7" s="78" t="s">
        <v>621</v>
      </c>
      <c r="M7" s="78" t="s">
        <v>887</v>
      </c>
      <c r="N7" s="78" t="s">
        <v>621</v>
      </c>
      <c r="O7" s="187" t="s">
        <v>887</v>
      </c>
      <c r="P7" s="187" t="s">
        <v>621</v>
      </c>
      <c r="Q7" s="187" t="s">
        <v>984</v>
      </c>
      <c r="R7" s="187" t="s">
        <v>135</v>
      </c>
      <c r="S7" s="78" t="s">
        <v>152</v>
      </c>
      <c r="T7" s="78" t="s">
        <v>1039</v>
      </c>
      <c r="U7" s="187" t="s">
        <v>25</v>
      </c>
      <c r="V7" s="78" t="s">
        <v>2092</v>
      </c>
      <c r="W7" s="78">
        <v>1</v>
      </c>
      <c r="X7" s="78" t="s">
        <v>2090</v>
      </c>
      <c r="Y7" s="78" t="s">
        <v>933</v>
      </c>
      <c r="Z7" s="78" t="s">
        <v>2091</v>
      </c>
      <c r="AA7" s="78">
        <v>0.5</v>
      </c>
      <c r="AB7" s="187" t="s">
        <v>769</v>
      </c>
      <c r="AC7" s="78" t="s">
        <v>624</v>
      </c>
      <c r="AD7" s="78">
        <v>0</v>
      </c>
      <c r="AE7" s="78">
        <v>0</v>
      </c>
      <c r="AF7" s="78">
        <v>40</v>
      </c>
      <c r="AG7" s="78" t="s">
        <v>891</v>
      </c>
      <c r="AH7" s="78">
        <v>0.5</v>
      </c>
      <c r="AI7" s="78" t="s">
        <v>878</v>
      </c>
      <c r="AJ7" s="78" t="s">
        <v>907</v>
      </c>
      <c r="AK7" s="78" t="s">
        <v>933</v>
      </c>
      <c r="AL7" s="78" t="s">
        <v>926</v>
      </c>
      <c r="AM7" s="78">
        <v>1</v>
      </c>
      <c r="AN7" s="78" t="s">
        <v>934</v>
      </c>
      <c r="AO7" s="78" t="s">
        <v>917</v>
      </c>
      <c r="AP7" s="78" t="s">
        <v>309</v>
      </c>
      <c r="AQ7" s="78" t="s">
        <v>309</v>
      </c>
      <c r="AR7" s="78" t="s">
        <v>902</v>
      </c>
      <c r="AS7" s="78" t="s">
        <v>846</v>
      </c>
      <c r="AU7" s="78">
        <v>7</v>
      </c>
      <c r="AV7" s="186" t="s">
        <v>878</v>
      </c>
      <c r="AW7" s="78">
        <v>7</v>
      </c>
      <c r="AX7" s="510" t="s">
        <v>918</v>
      </c>
      <c r="AY7" s="510" t="s">
        <v>22</v>
      </c>
      <c r="AZ7" s="193" t="s">
        <v>22</v>
      </c>
    </row>
    <row r="8" spans="1:54" hidden="1">
      <c r="A8" s="78">
        <v>8</v>
      </c>
      <c r="B8" s="78" t="s">
        <v>343</v>
      </c>
      <c r="C8" s="78">
        <v>3</v>
      </c>
      <c r="D8" s="78" t="s">
        <v>887</v>
      </c>
      <c r="E8" s="78" t="s">
        <v>621</v>
      </c>
      <c r="F8" s="78" t="s">
        <v>887</v>
      </c>
      <c r="G8" s="78" t="s">
        <v>887</v>
      </c>
      <c r="H8" s="78" t="s">
        <v>621</v>
      </c>
      <c r="I8" s="78" t="s">
        <v>621</v>
      </c>
      <c r="J8" s="78" t="s">
        <v>887</v>
      </c>
      <c r="K8" s="78" t="s">
        <v>887</v>
      </c>
      <c r="L8" s="78" t="s">
        <v>621</v>
      </c>
      <c r="M8" s="78" t="s">
        <v>887</v>
      </c>
      <c r="N8" s="78" t="s">
        <v>621</v>
      </c>
      <c r="O8" s="187" t="s">
        <v>887</v>
      </c>
      <c r="P8" s="187" t="s">
        <v>621</v>
      </c>
      <c r="Q8" s="187" t="s">
        <v>984</v>
      </c>
      <c r="R8" s="187" t="s">
        <v>135</v>
      </c>
      <c r="S8" s="78" t="s">
        <v>152</v>
      </c>
      <c r="T8" s="78" t="s">
        <v>1039</v>
      </c>
      <c r="U8" s="187" t="s">
        <v>25</v>
      </c>
      <c r="V8" s="78" t="s">
        <v>2094</v>
      </c>
      <c r="W8" s="78">
        <v>1</v>
      </c>
      <c r="X8" s="78" t="s">
        <v>2090</v>
      </c>
      <c r="Y8" s="78" t="s">
        <v>719</v>
      </c>
      <c r="Z8" s="78" t="s">
        <v>2091</v>
      </c>
      <c r="AA8" s="78">
        <v>0.5</v>
      </c>
      <c r="AB8" s="187" t="s">
        <v>769</v>
      </c>
      <c r="AC8" s="78" t="s">
        <v>624</v>
      </c>
      <c r="AD8" s="78">
        <v>0</v>
      </c>
      <c r="AE8" s="78">
        <v>0</v>
      </c>
      <c r="AF8" s="78">
        <v>40</v>
      </c>
      <c r="AG8" s="78" t="s">
        <v>891</v>
      </c>
      <c r="AH8" s="78">
        <v>0.5</v>
      </c>
      <c r="AI8" s="78" t="s">
        <v>878</v>
      </c>
      <c r="AJ8" s="78" t="s">
        <v>907</v>
      </c>
      <c r="AK8" s="78" t="s">
        <v>942</v>
      </c>
      <c r="AL8" s="78" t="s">
        <v>926</v>
      </c>
      <c r="AM8" s="78">
        <v>1</v>
      </c>
      <c r="AN8" s="78" t="s">
        <v>943</v>
      </c>
      <c r="AO8" s="78" t="s">
        <v>944</v>
      </c>
      <c r="AP8" s="78" t="s">
        <v>309</v>
      </c>
      <c r="AQ8" s="78" t="s">
        <v>945</v>
      </c>
      <c r="AR8" s="78" t="s">
        <v>902</v>
      </c>
      <c r="AS8" s="78" t="s">
        <v>946</v>
      </c>
      <c r="AU8" s="78">
        <v>8</v>
      </c>
      <c r="AV8" s="186" t="s">
        <v>947</v>
      </c>
      <c r="AW8" s="78">
        <v>8</v>
      </c>
      <c r="AX8" s="510" t="s">
        <v>887</v>
      </c>
      <c r="AY8" s="510" t="s">
        <v>948</v>
      </c>
      <c r="AZ8" s="193" t="s">
        <v>949</v>
      </c>
    </row>
    <row r="9" spans="1:54" hidden="1">
      <c r="A9" s="78">
        <v>9</v>
      </c>
      <c r="B9" s="78" t="s">
        <v>343</v>
      </c>
      <c r="C9" s="78">
        <v>3</v>
      </c>
      <c r="D9" s="78" t="s">
        <v>887</v>
      </c>
      <c r="E9" s="78" t="s">
        <v>621</v>
      </c>
      <c r="F9" s="78" t="s">
        <v>887</v>
      </c>
      <c r="G9" s="78" t="s">
        <v>887</v>
      </c>
      <c r="H9" s="78" t="s">
        <v>621</v>
      </c>
      <c r="I9" s="78" t="s">
        <v>621</v>
      </c>
      <c r="J9" s="78" t="s">
        <v>887</v>
      </c>
      <c r="K9" s="78" t="s">
        <v>887</v>
      </c>
      <c r="L9" s="78" t="s">
        <v>621</v>
      </c>
      <c r="M9" s="78" t="s">
        <v>887</v>
      </c>
      <c r="N9" s="78" t="s">
        <v>621</v>
      </c>
      <c r="O9" s="187" t="s">
        <v>887</v>
      </c>
      <c r="P9" s="187" t="s">
        <v>621</v>
      </c>
      <c r="Q9" s="187" t="s">
        <v>984</v>
      </c>
      <c r="R9" s="187" t="s">
        <v>135</v>
      </c>
      <c r="S9" s="78" t="s">
        <v>152</v>
      </c>
      <c r="T9" s="78" t="s">
        <v>1039</v>
      </c>
      <c r="U9" s="187" t="s">
        <v>25</v>
      </c>
      <c r="V9" s="78" t="s">
        <v>2094</v>
      </c>
      <c r="W9" s="78">
        <v>1</v>
      </c>
      <c r="X9" s="78" t="s">
        <v>2090</v>
      </c>
      <c r="Y9" s="78" t="s">
        <v>329</v>
      </c>
      <c r="Z9" s="78" t="s">
        <v>2091</v>
      </c>
      <c r="AA9" s="78">
        <v>0.5</v>
      </c>
      <c r="AB9" s="187" t="s">
        <v>769</v>
      </c>
      <c r="AC9" s="78" t="s">
        <v>624</v>
      </c>
      <c r="AD9" s="78">
        <v>0</v>
      </c>
      <c r="AE9" s="78">
        <v>0</v>
      </c>
      <c r="AF9" s="78">
        <v>40</v>
      </c>
      <c r="AG9" s="78" t="s">
        <v>891</v>
      </c>
      <c r="AH9" s="78">
        <v>0.5</v>
      </c>
      <c r="AI9" s="78" t="s">
        <v>878</v>
      </c>
      <c r="AJ9" s="78" t="s">
        <v>907</v>
      </c>
      <c r="AK9" s="78" t="s">
        <v>329</v>
      </c>
      <c r="AL9" s="78" t="s">
        <v>954</v>
      </c>
      <c r="AM9" s="78">
        <v>1</v>
      </c>
      <c r="AN9" s="78" t="s">
        <v>955</v>
      </c>
      <c r="AO9" s="78" t="s">
        <v>934</v>
      </c>
      <c r="AP9" s="78" t="s">
        <v>309</v>
      </c>
      <c r="AQ9" s="78" t="s">
        <v>945</v>
      </c>
      <c r="AR9" s="78" t="s">
        <v>902</v>
      </c>
      <c r="AS9" s="78" t="s">
        <v>946</v>
      </c>
      <c r="AU9" s="78">
        <v>9</v>
      </c>
      <c r="AV9" s="186" t="s">
        <v>928</v>
      </c>
      <c r="AW9" s="78">
        <v>9</v>
      </c>
      <c r="AX9" s="510" t="s">
        <v>927</v>
      </c>
      <c r="AY9" s="510" t="s">
        <v>956</v>
      </c>
      <c r="AZ9" s="193" t="s">
        <v>158</v>
      </c>
    </row>
    <row r="10" spans="1:54" s="208" customFormat="1" ht="10.8" hidden="1" thickBot="1">
      <c r="A10" s="208">
        <v>10</v>
      </c>
      <c r="B10" s="208" t="s">
        <v>343</v>
      </c>
      <c r="C10" s="208">
        <v>4</v>
      </c>
      <c r="D10" s="208" t="s">
        <v>621</v>
      </c>
      <c r="E10" s="78" t="s">
        <v>621</v>
      </c>
      <c r="F10" s="208" t="s">
        <v>887</v>
      </c>
      <c r="G10" s="208" t="s">
        <v>887</v>
      </c>
      <c r="H10" s="78" t="s">
        <v>621</v>
      </c>
      <c r="I10" s="78" t="s">
        <v>621</v>
      </c>
      <c r="J10" s="208" t="s">
        <v>887</v>
      </c>
      <c r="K10" s="208" t="s">
        <v>887</v>
      </c>
      <c r="L10" s="78" t="s">
        <v>621</v>
      </c>
      <c r="M10" s="208" t="s">
        <v>887</v>
      </c>
      <c r="N10" s="78" t="s">
        <v>621</v>
      </c>
      <c r="O10" s="187" t="s">
        <v>887</v>
      </c>
      <c r="P10" s="187" t="s">
        <v>621</v>
      </c>
      <c r="Q10" s="187" t="s">
        <v>984</v>
      </c>
      <c r="R10" s="187" t="s">
        <v>135</v>
      </c>
      <c r="S10" s="78" t="s">
        <v>152</v>
      </c>
      <c r="T10" s="78" t="s">
        <v>1039</v>
      </c>
      <c r="U10" s="187" t="s">
        <v>25</v>
      </c>
      <c r="V10" s="78" t="s">
        <v>2095</v>
      </c>
      <c r="W10" s="78">
        <v>1</v>
      </c>
      <c r="X10" s="78" t="s">
        <v>2090</v>
      </c>
      <c r="Y10" s="208" t="s">
        <v>2096</v>
      </c>
      <c r="Z10" s="78" t="s">
        <v>2091</v>
      </c>
      <c r="AA10" s="78">
        <v>0.5</v>
      </c>
      <c r="AB10" s="187" t="s">
        <v>769</v>
      </c>
      <c r="AC10" s="78" t="s">
        <v>624</v>
      </c>
      <c r="AD10" s="78">
        <v>0</v>
      </c>
      <c r="AE10" s="78">
        <v>0</v>
      </c>
      <c r="AF10" s="78">
        <v>40</v>
      </c>
      <c r="AG10" s="78" t="s">
        <v>891</v>
      </c>
      <c r="AH10" s="78">
        <v>0.5</v>
      </c>
      <c r="AI10" s="78" t="s">
        <v>878</v>
      </c>
      <c r="AJ10" s="78" t="s">
        <v>907</v>
      </c>
      <c r="AK10" s="78" t="s">
        <v>915</v>
      </c>
      <c r="AL10" s="78" t="s">
        <v>954</v>
      </c>
      <c r="AM10" s="78">
        <v>1</v>
      </c>
      <c r="AN10" s="78" t="s">
        <v>965</v>
      </c>
      <c r="AO10" s="78" t="s">
        <v>966</v>
      </c>
      <c r="AP10" s="78" t="s">
        <v>967</v>
      </c>
      <c r="AQ10" s="78" t="s">
        <v>644</v>
      </c>
      <c r="AR10" s="208" t="s">
        <v>902</v>
      </c>
      <c r="AS10" s="78" t="s">
        <v>968</v>
      </c>
      <c r="AU10" s="78">
        <v>10</v>
      </c>
      <c r="AV10" s="186" t="s">
        <v>969</v>
      </c>
      <c r="AW10" s="78">
        <v>10</v>
      </c>
      <c r="AX10" s="510" t="s">
        <v>947</v>
      </c>
      <c r="AY10" s="510" t="s">
        <v>970</v>
      </c>
      <c r="AZ10" s="193" t="s">
        <v>277</v>
      </c>
    </row>
    <row r="11" spans="1:54" ht="10.8" hidden="1" thickBot="1">
      <c r="A11" s="78">
        <v>11</v>
      </c>
      <c r="B11" s="78" t="s">
        <v>343</v>
      </c>
      <c r="C11" s="511" t="s">
        <v>971</v>
      </c>
      <c r="D11" s="78" t="s">
        <v>621</v>
      </c>
      <c r="E11" s="78" t="s">
        <v>621</v>
      </c>
      <c r="F11" s="78" t="s">
        <v>887</v>
      </c>
      <c r="G11" s="78" t="s">
        <v>887</v>
      </c>
      <c r="H11" s="78" t="s">
        <v>621</v>
      </c>
      <c r="I11" s="78" t="s">
        <v>621</v>
      </c>
      <c r="J11" s="78" t="s">
        <v>887</v>
      </c>
      <c r="K11" s="78" t="s">
        <v>887</v>
      </c>
      <c r="L11" s="78" t="s">
        <v>621</v>
      </c>
      <c r="M11" s="78" t="s">
        <v>887</v>
      </c>
      <c r="N11" s="78" t="s">
        <v>621</v>
      </c>
      <c r="O11" s="187" t="s">
        <v>887</v>
      </c>
      <c r="P11" s="187" t="s">
        <v>621</v>
      </c>
      <c r="Q11" s="187" t="s">
        <v>984</v>
      </c>
      <c r="R11" s="187" t="s">
        <v>135</v>
      </c>
      <c r="S11" s="78" t="s">
        <v>152</v>
      </c>
      <c r="T11" s="78" t="s">
        <v>1039</v>
      </c>
      <c r="U11" s="187" t="s">
        <v>25</v>
      </c>
      <c r="V11" s="205" t="s">
        <v>2097</v>
      </c>
      <c r="W11" s="78">
        <v>1</v>
      </c>
      <c r="X11" s="78" t="s">
        <v>2090</v>
      </c>
      <c r="Y11" s="94" t="s">
        <v>2098</v>
      </c>
      <c r="Z11" s="78" t="s">
        <v>800</v>
      </c>
      <c r="AA11" s="78">
        <v>0.8</v>
      </c>
      <c r="AB11" s="187" t="s">
        <v>816</v>
      </c>
      <c r="AC11" s="78" t="s">
        <v>624</v>
      </c>
      <c r="AD11" s="78">
        <v>0</v>
      </c>
      <c r="AE11" s="78">
        <v>0</v>
      </c>
      <c r="AF11" s="78">
        <v>40</v>
      </c>
      <c r="AG11" s="78" t="s">
        <v>309</v>
      </c>
      <c r="AH11" s="78">
        <v>1</v>
      </c>
      <c r="AI11" s="78" t="s">
        <v>878</v>
      </c>
      <c r="AJ11" s="78" t="s">
        <v>907</v>
      </c>
      <c r="AK11" s="205" t="s">
        <v>977</v>
      </c>
      <c r="AL11" s="205" t="s">
        <v>978</v>
      </c>
      <c r="AM11" s="78">
        <v>1</v>
      </c>
      <c r="AN11" s="205" t="s">
        <v>979</v>
      </c>
      <c r="AO11" s="205" t="s">
        <v>980</v>
      </c>
      <c r="AP11" s="205" t="s">
        <v>981</v>
      </c>
      <c r="AQ11" s="205" t="s">
        <v>982</v>
      </c>
      <c r="AR11" s="78" t="s">
        <v>936</v>
      </c>
      <c r="AS11" s="205" t="s">
        <v>983</v>
      </c>
      <c r="AU11" s="78">
        <v>11</v>
      </c>
      <c r="AV11" s="186" t="s">
        <v>984</v>
      </c>
      <c r="AW11" s="78">
        <v>11</v>
      </c>
      <c r="AX11" s="512" t="s">
        <v>969</v>
      </c>
      <c r="AY11" s="510" t="s">
        <v>985</v>
      </c>
      <c r="AZ11" s="193" t="s">
        <v>986</v>
      </c>
    </row>
    <row r="12" spans="1:54" hidden="1">
      <c r="A12" s="78">
        <v>12</v>
      </c>
      <c r="B12" s="78" t="s">
        <v>1642</v>
      </c>
      <c r="C12" s="109" t="s">
        <v>872</v>
      </c>
      <c r="D12" s="78" t="s">
        <v>621</v>
      </c>
      <c r="E12" s="78" t="s">
        <v>621</v>
      </c>
      <c r="F12" s="78" t="s">
        <v>887</v>
      </c>
      <c r="G12" s="78" t="s">
        <v>887</v>
      </c>
      <c r="H12" s="78" t="s">
        <v>621</v>
      </c>
      <c r="I12" s="78" t="s">
        <v>621</v>
      </c>
      <c r="J12" s="78" t="s">
        <v>621</v>
      </c>
      <c r="K12" s="78" t="s">
        <v>887</v>
      </c>
      <c r="L12" s="78" t="s">
        <v>621</v>
      </c>
      <c r="M12" s="78" t="s">
        <v>887</v>
      </c>
      <c r="N12" s="78" t="s">
        <v>901</v>
      </c>
      <c r="O12" s="187" t="s">
        <v>621</v>
      </c>
      <c r="P12" s="187" t="s">
        <v>621</v>
      </c>
      <c r="Q12" s="187" t="s">
        <v>984</v>
      </c>
      <c r="R12" s="187" t="s">
        <v>135</v>
      </c>
      <c r="S12" s="78" t="s">
        <v>87</v>
      </c>
      <c r="T12" s="78" t="s">
        <v>1021</v>
      </c>
      <c r="U12" s="187" t="s">
        <v>1047</v>
      </c>
      <c r="W12" s="78">
        <v>0</v>
      </c>
      <c r="X12" s="78" t="s">
        <v>2090</v>
      </c>
      <c r="Z12" s="78" t="s">
        <v>800</v>
      </c>
      <c r="AA12" s="78">
        <v>0.8</v>
      </c>
      <c r="AB12" s="187" t="s">
        <v>816</v>
      </c>
      <c r="AC12" s="78" t="s">
        <v>624</v>
      </c>
      <c r="AD12" s="78">
        <v>0</v>
      </c>
      <c r="AE12" s="78">
        <v>0</v>
      </c>
      <c r="AF12" s="78">
        <v>40</v>
      </c>
      <c r="AG12" s="78" t="s">
        <v>309</v>
      </c>
      <c r="AH12" s="78">
        <v>1</v>
      </c>
      <c r="AI12" s="78" t="s">
        <v>878</v>
      </c>
      <c r="AJ12" s="78" t="s">
        <v>991</v>
      </c>
      <c r="AM12" s="78">
        <v>1</v>
      </c>
      <c r="AR12" s="78" t="s">
        <v>936</v>
      </c>
      <c r="AU12" s="78">
        <v>12</v>
      </c>
      <c r="AV12" s="186" t="s">
        <v>222</v>
      </c>
      <c r="AW12" s="78">
        <v>12</v>
      </c>
      <c r="AX12" s="106" t="s">
        <v>992</v>
      </c>
      <c r="AY12" s="510" t="s">
        <v>993</v>
      </c>
      <c r="AZ12" s="193" t="s">
        <v>994</v>
      </c>
    </row>
    <row r="13" spans="1:54" hidden="1">
      <c r="A13" s="78">
        <v>13</v>
      </c>
      <c r="B13" s="78" t="s">
        <v>1642</v>
      </c>
      <c r="C13" s="109" t="s">
        <v>888</v>
      </c>
      <c r="D13" s="78" t="s">
        <v>621</v>
      </c>
      <c r="E13" s="78" t="s">
        <v>621</v>
      </c>
      <c r="F13" s="78" t="s">
        <v>887</v>
      </c>
      <c r="G13" s="78" t="s">
        <v>887</v>
      </c>
      <c r="H13" s="78" t="s">
        <v>621</v>
      </c>
      <c r="I13" s="78" t="s">
        <v>621</v>
      </c>
      <c r="J13" s="78" t="s">
        <v>621</v>
      </c>
      <c r="K13" s="78" t="s">
        <v>887</v>
      </c>
      <c r="L13" s="78" t="s">
        <v>621</v>
      </c>
      <c r="M13" s="78" t="s">
        <v>887</v>
      </c>
      <c r="N13" s="78" t="s">
        <v>901</v>
      </c>
      <c r="O13" s="187" t="s">
        <v>621</v>
      </c>
      <c r="P13" s="187" t="s">
        <v>621</v>
      </c>
      <c r="Q13" s="187" t="s">
        <v>984</v>
      </c>
      <c r="R13" s="187" t="s">
        <v>135</v>
      </c>
      <c r="S13" s="78" t="s">
        <v>87</v>
      </c>
      <c r="T13" s="78" t="s">
        <v>1021</v>
      </c>
      <c r="U13" s="187" t="s">
        <v>1047</v>
      </c>
      <c r="W13" s="78">
        <v>0</v>
      </c>
      <c r="X13" s="78" t="s">
        <v>2090</v>
      </c>
      <c r="Z13" s="78" t="s">
        <v>800</v>
      </c>
      <c r="AA13" s="78">
        <v>0.8</v>
      </c>
      <c r="AB13" s="187" t="s">
        <v>816</v>
      </c>
      <c r="AC13" s="78" t="s">
        <v>624</v>
      </c>
      <c r="AD13" s="78">
        <v>0</v>
      </c>
      <c r="AE13" s="78">
        <v>0</v>
      </c>
      <c r="AF13" s="78">
        <v>40</v>
      </c>
      <c r="AG13" s="78" t="s">
        <v>309</v>
      </c>
      <c r="AH13" s="78">
        <v>1</v>
      </c>
      <c r="AI13" s="78" t="s">
        <v>878</v>
      </c>
      <c r="AJ13" s="78" t="s">
        <v>991</v>
      </c>
      <c r="AM13" s="78">
        <v>1</v>
      </c>
      <c r="AR13" s="78" t="s">
        <v>958</v>
      </c>
      <c r="AU13" s="78">
        <v>13</v>
      </c>
      <c r="AV13" s="186" t="s">
        <v>997</v>
      </c>
      <c r="AW13" s="78">
        <v>13</v>
      </c>
      <c r="AY13" s="510" t="s">
        <v>135</v>
      </c>
      <c r="AZ13" s="188" t="s">
        <v>264</v>
      </c>
    </row>
    <row r="14" spans="1:54" hidden="1">
      <c r="A14" s="78">
        <v>14</v>
      </c>
      <c r="B14" s="78" t="s">
        <v>1642</v>
      </c>
      <c r="C14" s="109" t="s">
        <v>888</v>
      </c>
      <c r="D14" s="78" t="s">
        <v>621</v>
      </c>
      <c r="E14" s="78" t="s">
        <v>621</v>
      </c>
      <c r="F14" s="78" t="s">
        <v>887</v>
      </c>
      <c r="G14" s="78" t="s">
        <v>887</v>
      </c>
      <c r="H14" s="78" t="s">
        <v>621</v>
      </c>
      <c r="I14" s="78" t="s">
        <v>621</v>
      </c>
      <c r="J14" s="78" t="s">
        <v>621</v>
      </c>
      <c r="K14" s="78" t="s">
        <v>621</v>
      </c>
      <c r="L14" s="78" t="s">
        <v>621</v>
      </c>
      <c r="M14" s="78" t="s">
        <v>887</v>
      </c>
      <c r="N14" s="78" t="s">
        <v>901</v>
      </c>
      <c r="O14" s="187" t="s">
        <v>621</v>
      </c>
      <c r="P14" s="187" t="s">
        <v>621</v>
      </c>
      <c r="Q14" s="187" t="s">
        <v>984</v>
      </c>
      <c r="R14" s="187" t="s">
        <v>135</v>
      </c>
      <c r="S14" s="78" t="s">
        <v>87</v>
      </c>
      <c r="T14" s="78" t="s">
        <v>1021</v>
      </c>
      <c r="U14" s="187" t="s">
        <v>1047</v>
      </c>
      <c r="W14" s="78">
        <v>0</v>
      </c>
      <c r="X14" s="78" t="s">
        <v>2090</v>
      </c>
      <c r="Z14" s="78" t="s">
        <v>800</v>
      </c>
      <c r="AA14" s="78">
        <v>0.8</v>
      </c>
      <c r="AB14" s="187" t="s">
        <v>816</v>
      </c>
      <c r="AC14" s="78" t="s">
        <v>624</v>
      </c>
      <c r="AD14" s="78">
        <v>0</v>
      </c>
      <c r="AE14" s="78">
        <v>0</v>
      </c>
      <c r="AF14" s="78">
        <v>40</v>
      </c>
      <c r="AG14" s="78" t="s">
        <v>309</v>
      </c>
      <c r="AH14" s="78">
        <v>1</v>
      </c>
      <c r="AI14" s="78" t="s">
        <v>878</v>
      </c>
      <c r="AJ14" s="78" t="s">
        <v>991</v>
      </c>
      <c r="AM14" s="78">
        <v>1</v>
      </c>
      <c r="AR14" s="78" t="s">
        <v>958</v>
      </c>
      <c r="AU14" s="78">
        <v>14</v>
      </c>
      <c r="AV14" s="186" t="s">
        <v>310</v>
      </c>
      <c r="AW14" s="78">
        <v>14</v>
      </c>
      <c r="AY14" s="510" t="s">
        <v>1001</v>
      </c>
      <c r="AZ14" s="193" t="s">
        <v>1002</v>
      </c>
    </row>
    <row r="15" spans="1:54" hidden="1">
      <c r="A15" s="78">
        <v>15</v>
      </c>
      <c r="B15" s="78" t="s">
        <v>1642</v>
      </c>
      <c r="C15" s="109" t="s">
        <v>902</v>
      </c>
      <c r="D15" s="78" t="s">
        <v>621</v>
      </c>
      <c r="E15" s="78" t="s">
        <v>621</v>
      </c>
      <c r="F15" s="78" t="s">
        <v>887</v>
      </c>
      <c r="G15" s="78" t="s">
        <v>887</v>
      </c>
      <c r="H15" s="78" t="s">
        <v>901</v>
      </c>
      <c r="I15" s="78" t="s">
        <v>621</v>
      </c>
      <c r="J15" s="78" t="s">
        <v>621</v>
      </c>
      <c r="K15" s="78" t="s">
        <v>621</v>
      </c>
      <c r="L15" s="78" t="s">
        <v>621</v>
      </c>
      <c r="M15" s="78" t="s">
        <v>887</v>
      </c>
      <c r="N15" s="78" t="s">
        <v>901</v>
      </c>
      <c r="O15" s="187" t="s">
        <v>901</v>
      </c>
      <c r="P15" s="187" t="s">
        <v>621</v>
      </c>
      <c r="Q15" s="187" t="s">
        <v>984</v>
      </c>
      <c r="R15" s="187" t="s">
        <v>135</v>
      </c>
      <c r="S15" s="78" t="s">
        <v>87</v>
      </c>
      <c r="T15" s="78" t="s">
        <v>1021</v>
      </c>
      <c r="U15" s="187" t="s">
        <v>1047</v>
      </c>
      <c r="W15" s="78">
        <v>0</v>
      </c>
      <c r="X15" s="78" t="s">
        <v>2090</v>
      </c>
      <c r="Z15" s="78" t="s">
        <v>800</v>
      </c>
      <c r="AA15" s="78">
        <v>0.8</v>
      </c>
      <c r="AB15" s="187" t="s">
        <v>816</v>
      </c>
      <c r="AC15" s="78" t="s">
        <v>624</v>
      </c>
      <c r="AD15" s="78">
        <v>0</v>
      </c>
      <c r="AE15" s="78">
        <v>0</v>
      </c>
      <c r="AF15" s="78">
        <v>40</v>
      </c>
      <c r="AG15" s="78" t="s">
        <v>309</v>
      </c>
      <c r="AH15" s="78">
        <v>1</v>
      </c>
      <c r="AI15" s="78" t="s">
        <v>878</v>
      </c>
      <c r="AJ15" s="78" t="s">
        <v>1006</v>
      </c>
      <c r="AM15" s="78">
        <v>1</v>
      </c>
      <c r="AR15" s="78" t="s">
        <v>958</v>
      </c>
      <c r="AU15" s="78">
        <v>15</v>
      </c>
      <c r="AV15" s="186" t="s">
        <v>303</v>
      </c>
      <c r="AW15" s="78">
        <v>15</v>
      </c>
      <c r="AY15" s="510" t="s">
        <v>1007</v>
      </c>
      <c r="AZ15" s="193" t="s">
        <v>1008</v>
      </c>
    </row>
    <row r="16" spans="1:54" hidden="1">
      <c r="A16" s="78">
        <v>16</v>
      </c>
      <c r="B16" s="78" t="s">
        <v>1642</v>
      </c>
      <c r="C16" s="109" t="s">
        <v>902</v>
      </c>
      <c r="D16" s="78" t="s">
        <v>621</v>
      </c>
      <c r="E16" s="78" t="s">
        <v>621</v>
      </c>
      <c r="F16" s="78" t="s">
        <v>887</v>
      </c>
      <c r="G16" s="78" t="s">
        <v>887</v>
      </c>
      <c r="H16" s="78" t="s">
        <v>901</v>
      </c>
      <c r="I16" s="78" t="s">
        <v>621</v>
      </c>
      <c r="J16" s="78" t="s">
        <v>621</v>
      </c>
      <c r="K16" s="78" t="s">
        <v>621</v>
      </c>
      <c r="L16" s="78" t="s">
        <v>901</v>
      </c>
      <c r="M16" s="78" t="s">
        <v>887</v>
      </c>
      <c r="N16" s="78" t="s">
        <v>901</v>
      </c>
      <c r="O16" s="187" t="s">
        <v>901</v>
      </c>
      <c r="P16" s="187" t="s">
        <v>621</v>
      </c>
      <c r="Q16" s="187" t="s">
        <v>222</v>
      </c>
      <c r="R16" s="187" t="s">
        <v>956</v>
      </c>
      <c r="S16" s="78" t="s">
        <v>87</v>
      </c>
      <c r="T16" s="78" t="s">
        <v>1021</v>
      </c>
      <c r="U16" s="187" t="s">
        <v>1047</v>
      </c>
      <c r="W16" s="78">
        <v>0</v>
      </c>
      <c r="X16" s="78" t="s">
        <v>2090</v>
      </c>
      <c r="Z16" s="78" t="s">
        <v>800</v>
      </c>
      <c r="AA16" s="78">
        <v>0.8</v>
      </c>
      <c r="AB16" s="187" t="s">
        <v>816</v>
      </c>
      <c r="AC16" s="78" t="s">
        <v>624</v>
      </c>
      <c r="AD16" s="78">
        <v>0</v>
      </c>
      <c r="AE16" s="78">
        <v>0</v>
      </c>
      <c r="AF16" s="78">
        <v>40</v>
      </c>
      <c r="AG16" s="78" t="s">
        <v>309</v>
      </c>
      <c r="AH16" s="78">
        <v>1</v>
      </c>
      <c r="AI16" s="78" t="s">
        <v>1012</v>
      </c>
      <c r="AJ16" s="78" t="s">
        <v>1006</v>
      </c>
      <c r="AM16" s="78">
        <v>2</v>
      </c>
      <c r="AR16" s="78" t="s">
        <v>958</v>
      </c>
      <c r="AU16" s="78">
        <v>16</v>
      </c>
      <c r="AV16" s="186" t="s">
        <v>320</v>
      </c>
      <c r="AW16" s="78">
        <v>16</v>
      </c>
      <c r="AY16" s="510" t="s">
        <v>222</v>
      </c>
      <c r="AZ16" s="193" t="s">
        <v>1013</v>
      </c>
    </row>
    <row r="17" spans="1:52" hidden="1">
      <c r="A17" s="78">
        <v>17</v>
      </c>
      <c r="B17" s="78" t="s">
        <v>1642</v>
      </c>
      <c r="C17" s="109" t="s">
        <v>902</v>
      </c>
      <c r="D17" s="78" t="s">
        <v>621</v>
      </c>
      <c r="E17" s="78" t="s">
        <v>621</v>
      </c>
      <c r="F17" s="78" t="s">
        <v>887</v>
      </c>
      <c r="G17" s="78" t="s">
        <v>887</v>
      </c>
      <c r="H17" s="78" t="s">
        <v>901</v>
      </c>
      <c r="I17" s="78" t="s">
        <v>621</v>
      </c>
      <c r="J17" s="78" t="s">
        <v>621</v>
      </c>
      <c r="K17" s="78" t="s">
        <v>621</v>
      </c>
      <c r="L17" s="78" t="s">
        <v>901</v>
      </c>
      <c r="M17" s="78" t="s">
        <v>887</v>
      </c>
      <c r="N17" s="78" t="s">
        <v>901</v>
      </c>
      <c r="O17" s="187" t="s">
        <v>901</v>
      </c>
      <c r="P17" s="187" t="s">
        <v>621</v>
      </c>
      <c r="Q17" s="187" t="s">
        <v>222</v>
      </c>
      <c r="R17" s="187" t="s">
        <v>956</v>
      </c>
      <c r="S17" s="78" t="s">
        <v>87</v>
      </c>
      <c r="T17" s="78" t="s">
        <v>1021</v>
      </c>
      <c r="U17" s="187" t="s">
        <v>1047</v>
      </c>
      <c r="W17" s="78">
        <v>0</v>
      </c>
      <c r="X17" s="78" t="s">
        <v>2090</v>
      </c>
      <c r="Z17" s="78" t="s">
        <v>800</v>
      </c>
      <c r="AA17" s="78">
        <v>0.8</v>
      </c>
      <c r="AB17" s="187" t="s">
        <v>816</v>
      </c>
      <c r="AC17" s="78" t="s">
        <v>624</v>
      </c>
      <c r="AD17" s="78">
        <v>0</v>
      </c>
      <c r="AE17" s="78">
        <v>0</v>
      </c>
      <c r="AF17" s="78">
        <v>40</v>
      </c>
      <c r="AG17" s="78" t="s">
        <v>309</v>
      </c>
      <c r="AH17" s="78">
        <v>1</v>
      </c>
      <c r="AI17" s="78" t="s">
        <v>1012</v>
      </c>
      <c r="AJ17" s="78" t="s">
        <v>1006</v>
      </c>
      <c r="AM17" s="78">
        <v>2</v>
      </c>
      <c r="AR17" s="78" t="s">
        <v>958</v>
      </c>
      <c r="AU17" s="78">
        <v>17</v>
      </c>
      <c r="AV17" s="186" t="s">
        <v>993</v>
      </c>
      <c r="AW17" s="78">
        <v>17</v>
      </c>
      <c r="AY17" s="510" t="s">
        <v>984</v>
      </c>
      <c r="AZ17" s="193" t="s">
        <v>34</v>
      </c>
    </row>
    <row r="18" spans="1:52" hidden="1">
      <c r="A18" s="78">
        <v>18</v>
      </c>
      <c r="B18" s="78" t="s">
        <v>1642</v>
      </c>
      <c r="C18" s="109" t="s">
        <v>902</v>
      </c>
      <c r="D18" s="78" t="s">
        <v>621</v>
      </c>
      <c r="E18" s="78" t="s">
        <v>621</v>
      </c>
      <c r="F18" s="78" t="s">
        <v>887</v>
      </c>
      <c r="G18" s="78" t="s">
        <v>887</v>
      </c>
      <c r="H18" s="78" t="s">
        <v>901</v>
      </c>
      <c r="I18" s="78" t="s">
        <v>621</v>
      </c>
      <c r="J18" s="78" t="s">
        <v>621</v>
      </c>
      <c r="K18" s="78" t="s">
        <v>621</v>
      </c>
      <c r="L18" s="78" t="s">
        <v>901</v>
      </c>
      <c r="M18" s="78" t="s">
        <v>887</v>
      </c>
      <c r="N18" s="78" t="s">
        <v>901</v>
      </c>
      <c r="O18" s="187" t="s">
        <v>901</v>
      </c>
      <c r="P18" s="187" t="s">
        <v>621</v>
      </c>
      <c r="Q18" s="187" t="s">
        <v>222</v>
      </c>
      <c r="R18" s="187" t="s">
        <v>956</v>
      </c>
      <c r="S18" s="78" t="s">
        <v>87</v>
      </c>
      <c r="T18" s="78" t="s">
        <v>1021</v>
      </c>
      <c r="U18" s="187" t="s">
        <v>1047</v>
      </c>
      <c r="W18" s="78">
        <v>0</v>
      </c>
      <c r="X18" s="78" t="s">
        <v>2090</v>
      </c>
      <c r="Z18" s="78" t="s">
        <v>800</v>
      </c>
      <c r="AA18" s="78">
        <v>0.8</v>
      </c>
      <c r="AB18" s="187" t="s">
        <v>816</v>
      </c>
      <c r="AC18" s="78" t="s">
        <v>624</v>
      </c>
      <c r="AD18" s="78">
        <v>0</v>
      </c>
      <c r="AE18" s="78">
        <v>0</v>
      </c>
      <c r="AF18" s="78">
        <v>40</v>
      </c>
      <c r="AG18" s="78" t="s">
        <v>309</v>
      </c>
      <c r="AH18" s="78">
        <v>1</v>
      </c>
      <c r="AI18" s="78" t="s">
        <v>1012</v>
      </c>
      <c r="AJ18" s="78" t="s">
        <v>1006</v>
      </c>
      <c r="AM18" s="78">
        <v>2</v>
      </c>
      <c r="AR18" s="78" t="s">
        <v>958</v>
      </c>
      <c r="AU18" s="78">
        <v>18</v>
      </c>
      <c r="AV18" s="186" t="s">
        <v>280</v>
      </c>
      <c r="AW18" s="78">
        <v>18</v>
      </c>
      <c r="AY18" s="510" t="s">
        <v>1020</v>
      </c>
      <c r="AZ18" s="193" t="s">
        <v>1021</v>
      </c>
    </row>
    <row r="19" spans="1:52" hidden="1">
      <c r="A19" s="78">
        <v>19</v>
      </c>
      <c r="B19" s="78" t="s">
        <v>1642</v>
      </c>
      <c r="C19" s="109" t="s">
        <v>936</v>
      </c>
      <c r="D19" s="78" t="s">
        <v>901</v>
      </c>
      <c r="E19" s="78" t="s">
        <v>621</v>
      </c>
      <c r="F19" s="78" t="s">
        <v>887</v>
      </c>
      <c r="G19" s="78" t="s">
        <v>887</v>
      </c>
      <c r="H19" s="78" t="s">
        <v>901</v>
      </c>
      <c r="I19" s="78" t="s">
        <v>621</v>
      </c>
      <c r="J19" s="78" t="s">
        <v>621</v>
      </c>
      <c r="K19" s="78" t="s">
        <v>621</v>
      </c>
      <c r="L19" s="78" t="s">
        <v>901</v>
      </c>
      <c r="M19" s="78" t="s">
        <v>887</v>
      </c>
      <c r="N19" s="78" t="s">
        <v>901</v>
      </c>
      <c r="O19" s="187" t="s">
        <v>895</v>
      </c>
      <c r="P19" s="187" t="s">
        <v>621</v>
      </c>
      <c r="Q19" s="187" t="s">
        <v>222</v>
      </c>
      <c r="R19" s="187" t="s">
        <v>956</v>
      </c>
      <c r="S19" s="78" t="s">
        <v>87</v>
      </c>
      <c r="T19" s="78" t="s">
        <v>1021</v>
      </c>
      <c r="U19" s="187" t="s">
        <v>1047</v>
      </c>
      <c r="W19" s="78">
        <v>0</v>
      </c>
      <c r="X19" s="78" t="s">
        <v>2090</v>
      </c>
      <c r="Z19" s="78" t="s">
        <v>800</v>
      </c>
      <c r="AA19" s="78">
        <v>0.8</v>
      </c>
      <c r="AB19" s="187" t="s">
        <v>816</v>
      </c>
      <c r="AC19" s="78" t="s">
        <v>624</v>
      </c>
      <c r="AD19" s="78">
        <v>0</v>
      </c>
      <c r="AE19" s="78">
        <v>0</v>
      </c>
      <c r="AF19" s="78">
        <v>40</v>
      </c>
      <c r="AG19" s="78" t="s">
        <v>309</v>
      </c>
      <c r="AH19" s="78">
        <v>1</v>
      </c>
      <c r="AI19" s="78" t="s">
        <v>1012</v>
      </c>
      <c r="AJ19" s="78" t="s">
        <v>1006</v>
      </c>
      <c r="AM19" s="78">
        <v>2</v>
      </c>
      <c r="AR19" s="78" t="s">
        <v>958</v>
      </c>
      <c r="AU19" s="78">
        <v>19</v>
      </c>
      <c r="AV19" s="186" t="s">
        <v>919</v>
      </c>
      <c r="AW19" s="78">
        <v>19</v>
      </c>
      <c r="AY19" s="510" t="s">
        <v>1025</v>
      </c>
      <c r="AZ19" s="193" t="s">
        <v>1026</v>
      </c>
    </row>
    <row r="20" spans="1:52" s="208" customFormat="1" hidden="1">
      <c r="A20" s="208">
        <v>20</v>
      </c>
      <c r="B20" s="208" t="s">
        <v>1642</v>
      </c>
      <c r="C20" s="513" t="s">
        <v>936</v>
      </c>
      <c r="D20" s="208" t="s">
        <v>901</v>
      </c>
      <c r="E20" s="78" t="s">
        <v>621</v>
      </c>
      <c r="F20" s="208" t="s">
        <v>887</v>
      </c>
      <c r="G20" s="208" t="s">
        <v>887</v>
      </c>
      <c r="H20" s="78" t="s">
        <v>901</v>
      </c>
      <c r="I20" s="78" t="s">
        <v>621</v>
      </c>
      <c r="J20" s="78" t="s">
        <v>621</v>
      </c>
      <c r="K20" s="78" t="s">
        <v>621</v>
      </c>
      <c r="L20" s="78" t="s">
        <v>901</v>
      </c>
      <c r="M20" s="208" t="s">
        <v>887</v>
      </c>
      <c r="N20" s="78" t="s">
        <v>901</v>
      </c>
      <c r="O20" s="187" t="s">
        <v>895</v>
      </c>
      <c r="P20" s="187" t="s">
        <v>621</v>
      </c>
      <c r="Q20" s="187" t="s">
        <v>222</v>
      </c>
      <c r="R20" s="187" t="s">
        <v>956</v>
      </c>
      <c r="S20" s="78" t="s">
        <v>87</v>
      </c>
      <c r="T20" s="78" t="s">
        <v>1021</v>
      </c>
      <c r="U20" s="187" t="s">
        <v>1047</v>
      </c>
      <c r="W20" s="78">
        <v>0</v>
      </c>
      <c r="X20" s="78" t="s">
        <v>2090</v>
      </c>
      <c r="Z20" s="78" t="s">
        <v>800</v>
      </c>
      <c r="AA20" s="78">
        <v>0.8</v>
      </c>
      <c r="AB20" s="187" t="s">
        <v>816</v>
      </c>
      <c r="AC20" s="78" t="s">
        <v>624</v>
      </c>
      <c r="AD20" s="78">
        <v>0</v>
      </c>
      <c r="AE20" s="78">
        <v>0</v>
      </c>
      <c r="AF20" s="78">
        <v>40</v>
      </c>
      <c r="AG20" s="78" t="s">
        <v>309</v>
      </c>
      <c r="AH20" s="78">
        <v>1</v>
      </c>
      <c r="AI20" s="78" t="s">
        <v>1012</v>
      </c>
      <c r="AJ20" s="208" t="s">
        <v>1033</v>
      </c>
      <c r="AM20" s="78">
        <v>2</v>
      </c>
      <c r="AR20" s="78" t="s">
        <v>958</v>
      </c>
      <c r="AU20" s="78">
        <v>20</v>
      </c>
      <c r="AV20" s="186" t="s">
        <v>948</v>
      </c>
      <c r="AW20" s="78">
        <v>20</v>
      </c>
      <c r="AY20" s="510" t="s">
        <v>1034</v>
      </c>
      <c r="AZ20" s="188" t="s">
        <v>38</v>
      </c>
    </row>
    <row r="21" spans="1:52" ht="10.8" hidden="1" thickBot="1">
      <c r="A21" s="78">
        <v>21</v>
      </c>
      <c r="B21" s="78" t="s">
        <v>1642</v>
      </c>
      <c r="C21" s="109" t="s">
        <v>958</v>
      </c>
      <c r="D21" s="78" t="s">
        <v>895</v>
      </c>
      <c r="E21" s="78" t="s">
        <v>621</v>
      </c>
      <c r="F21" s="78" t="s">
        <v>887</v>
      </c>
      <c r="G21" s="78" t="s">
        <v>887</v>
      </c>
      <c r="H21" s="78" t="s">
        <v>901</v>
      </c>
      <c r="I21" s="78" t="s">
        <v>621</v>
      </c>
      <c r="J21" s="78" t="s">
        <v>621</v>
      </c>
      <c r="K21" s="78" t="s">
        <v>621</v>
      </c>
      <c r="L21" s="78" t="s">
        <v>901</v>
      </c>
      <c r="M21" s="78" t="s">
        <v>887</v>
      </c>
      <c r="N21" s="78" t="s">
        <v>901</v>
      </c>
      <c r="O21" s="187" t="s">
        <v>895</v>
      </c>
      <c r="P21" s="187" t="s">
        <v>901</v>
      </c>
      <c r="Q21" s="187" t="s">
        <v>222</v>
      </c>
      <c r="R21" s="187" t="s">
        <v>956</v>
      </c>
      <c r="S21" s="78" t="s">
        <v>87</v>
      </c>
      <c r="T21" s="78" t="s">
        <v>1021</v>
      </c>
      <c r="U21" s="187" t="s">
        <v>1047</v>
      </c>
      <c r="W21" s="78">
        <v>0</v>
      </c>
      <c r="X21" s="78" t="s">
        <v>2090</v>
      </c>
      <c r="Z21" s="78" t="s">
        <v>800</v>
      </c>
      <c r="AA21" s="78">
        <v>0.8</v>
      </c>
      <c r="AB21" s="187" t="s">
        <v>816</v>
      </c>
      <c r="AC21" s="78" t="s">
        <v>624</v>
      </c>
      <c r="AD21" s="78">
        <v>0</v>
      </c>
      <c r="AE21" s="78">
        <v>0</v>
      </c>
      <c r="AF21" s="78">
        <v>40</v>
      </c>
      <c r="AG21" s="78" t="s">
        <v>309</v>
      </c>
      <c r="AH21" s="78">
        <v>1</v>
      </c>
      <c r="AI21" s="78" t="s">
        <v>1012</v>
      </c>
      <c r="AJ21" s="208" t="s">
        <v>1033</v>
      </c>
      <c r="AM21" s="78">
        <v>2</v>
      </c>
      <c r="AR21" s="78" t="s">
        <v>958</v>
      </c>
      <c r="AU21" s="78">
        <v>21</v>
      </c>
      <c r="AV21" s="186" t="s">
        <v>135</v>
      </c>
      <c r="AW21" s="78">
        <v>21</v>
      </c>
      <c r="AY21" s="512" t="s">
        <v>997</v>
      </c>
      <c r="AZ21" s="193" t="s">
        <v>1036</v>
      </c>
    </row>
    <row r="22" spans="1:52" hidden="1">
      <c r="A22" s="78">
        <v>22</v>
      </c>
      <c r="B22" s="78" t="s">
        <v>1642</v>
      </c>
      <c r="C22" s="386" t="s">
        <v>179</v>
      </c>
      <c r="D22" s="78" t="s">
        <v>895</v>
      </c>
      <c r="E22" s="78" t="s">
        <v>901</v>
      </c>
      <c r="F22" s="78" t="s">
        <v>621</v>
      </c>
      <c r="G22" s="78" t="s">
        <v>887</v>
      </c>
      <c r="H22" s="78" t="s">
        <v>901</v>
      </c>
      <c r="I22" s="78" t="s">
        <v>621</v>
      </c>
      <c r="J22" s="78" t="s">
        <v>621</v>
      </c>
      <c r="K22" s="78" t="s">
        <v>621</v>
      </c>
      <c r="L22" s="78" t="s">
        <v>901</v>
      </c>
      <c r="M22" s="78" t="s">
        <v>887</v>
      </c>
      <c r="N22" s="78" t="s">
        <v>901</v>
      </c>
      <c r="O22" s="187" t="s">
        <v>918</v>
      </c>
      <c r="P22" s="187" t="s">
        <v>901</v>
      </c>
      <c r="Q22" s="187" t="s">
        <v>222</v>
      </c>
      <c r="R22" s="187" t="s">
        <v>956</v>
      </c>
      <c r="S22" s="78" t="s">
        <v>87</v>
      </c>
      <c r="T22" s="78" t="s">
        <v>1021</v>
      </c>
      <c r="U22" s="187" t="s">
        <v>1047</v>
      </c>
      <c r="W22" s="78">
        <v>0</v>
      </c>
      <c r="X22" s="78" t="s">
        <v>2090</v>
      </c>
      <c r="Z22" s="78" t="s">
        <v>800</v>
      </c>
      <c r="AA22" s="78">
        <v>0.8</v>
      </c>
      <c r="AB22" s="187" t="s">
        <v>816</v>
      </c>
      <c r="AC22" s="78" t="s">
        <v>624</v>
      </c>
      <c r="AD22" s="78">
        <v>0</v>
      </c>
      <c r="AE22" s="78">
        <v>0</v>
      </c>
      <c r="AF22" s="78">
        <v>40</v>
      </c>
      <c r="AG22" s="78" t="s">
        <v>309</v>
      </c>
      <c r="AH22" s="78">
        <v>1</v>
      </c>
      <c r="AI22" s="78" t="s">
        <v>1012</v>
      </c>
      <c r="AJ22" s="208" t="s">
        <v>1033</v>
      </c>
      <c r="AM22" s="78">
        <v>2</v>
      </c>
      <c r="AR22" s="78" t="s">
        <v>958</v>
      </c>
      <c r="AU22" s="78">
        <v>22</v>
      </c>
      <c r="AV22" s="186" t="s">
        <v>956</v>
      </c>
      <c r="AW22" s="78">
        <v>22</v>
      </c>
      <c r="AY22" s="106" t="s">
        <v>1038</v>
      </c>
      <c r="AZ22" s="193" t="s">
        <v>1039</v>
      </c>
    </row>
    <row r="23" spans="1:52" hidden="1">
      <c r="A23" s="78">
        <v>23</v>
      </c>
      <c r="B23" s="78" t="s">
        <v>1642</v>
      </c>
      <c r="D23" s="78" t="s">
        <v>918</v>
      </c>
      <c r="E23" s="78" t="s">
        <v>901</v>
      </c>
      <c r="F23" s="78" t="s">
        <v>621</v>
      </c>
      <c r="G23" s="78" t="s">
        <v>621</v>
      </c>
      <c r="H23" s="78" t="s">
        <v>895</v>
      </c>
      <c r="I23" s="78" t="s">
        <v>621</v>
      </c>
      <c r="J23" s="78" t="s">
        <v>621</v>
      </c>
      <c r="K23" s="78" t="s">
        <v>621</v>
      </c>
      <c r="L23" s="78" t="s">
        <v>901</v>
      </c>
      <c r="M23" s="78" t="s">
        <v>887</v>
      </c>
      <c r="N23" s="78" t="s">
        <v>901</v>
      </c>
      <c r="O23" s="187" t="s">
        <v>918</v>
      </c>
      <c r="P23" s="187" t="s">
        <v>901</v>
      </c>
      <c r="Q23" s="187" t="s">
        <v>222</v>
      </c>
      <c r="R23" s="187" t="s">
        <v>956</v>
      </c>
      <c r="S23" s="78" t="s">
        <v>87</v>
      </c>
      <c r="T23" s="78" t="s">
        <v>1021</v>
      </c>
      <c r="U23" s="187" t="s">
        <v>1047</v>
      </c>
      <c r="W23" s="78">
        <v>0</v>
      </c>
      <c r="X23" s="78" t="s">
        <v>2090</v>
      </c>
      <c r="Z23" s="78" t="s">
        <v>800</v>
      </c>
      <c r="AA23" s="78">
        <v>0.8</v>
      </c>
      <c r="AB23" s="187" t="s">
        <v>816</v>
      </c>
      <c r="AC23" s="78" t="s">
        <v>624</v>
      </c>
      <c r="AD23" s="78">
        <v>0</v>
      </c>
      <c r="AE23" s="78">
        <v>0</v>
      </c>
      <c r="AF23" s="78">
        <v>40</v>
      </c>
      <c r="AG23" s="78" t="s">
        <v>309</v>
      </c>
      <c r="AH23" s="78">
        <v>1</v>
      </c>
      <c r="AI23" s="78" t="s">
        <v>1012</v>
      </c>
      <c r="AJ23" s="208" t="s">
        <v>1033</v>
      </c>
      <c r="AM23" s="78">
        <v>2</v>
      </c>
      <c r="AR23" s="78" t="s">
        <v>958</v>
      </c>
      <c r="AU23" s="78">
        <v>23</v>
      </c>
      <c r="AV23" s="186" t="s">
        <v>1025</v>
      </c>
      <c r="AW23" s="78">
        <v>23</v>
      </c>
      <c r="AZ23" s="193" t="s">
        <v>1042</v>
      </c>
    </row>
    <row r="24" spans="1:52" hidden="1">
      <c r="A24" s="78">
        <v>24</v>
      </c>
      <c r="B24" s="78" t="s">
        <v>1642</v>
      </c>
      <c r="D24" s="78" t="s">
        <v>918</v>
      </c>
      <c r="E24" s="78" t="s">
        <v>901</v>
      </c>
      <c r="F24" s="78" t="s">
        <v>621</v>
      </c>
      <c r="G24" s="78" t="s">
        <v>621</v>
      </c>
      <c r="H24" s="78" t="s">
        <v>895</v>
      </c>
      <c r="I24" s="78" t="s">
        <v>901</v>
      </c>
      <c r="J24" s="78" t="s">
        <v>621</v>
      </c>
      <c r="K24" s="78" t="s">
        <v>621</v>
      </c>
      <c r="L24" s="78" t="s">
        <v>901</v>
      </c>
      <c r="M24" s="78" t="s">
        <v>887</v>
      </c>
      <c r="N24" s="78" t="s">
        <v>901</v>
      </c>
      <c r="O24" s="187" t="s">
        <v>918</v>
      </c>
      <c r="P24" s="187" t="s">
        <v>901</v>
      </c>
      <c r="Q24" s="187" t="s">
        <v>222</v>
      </c>
      <c r="R24" s="187" t="s">
        <v>956</v>
      </c>
      <c r="S24" s="78" t="s">
        <v>87</v>
      </c>
      <c r="T24" s="78" t="s">
        <v>1021</v>
      </c>
      <c r="U24" s="187" t="s">
        <v>1047</v>
      </c>
      <c r="W24" s="78">
        <v>0</v>
      </c>
      <c r="X24" s="78" t="s">
        <v>2090</v>
      </c>
      <c r="Z24" s="78" t="s">
        <v>800</v>
      </c>
      <c r="AA24" s="78">
        <v>0.8</v>
      </c>
      <c r="AB24" s="187" t="s">
        <v>816</v>
      </c>
      <c r="AC24" s="78" t="s">
        <v>624</v>
      </c>
      <c r="AD24" s="78">
        <v>0</v>
      </c>
      <c r="AE24" s="78">
        <v>0</v>
      </c>
      <c r="AF24" s="78">
        <v>40</v>
      </c>
      <c r="AG24" s="78" t="s">
        <v>309</v>
      </c>
      <c r="AH24" s="78">
        <v>1</v>
      </c>
      <c r="AI24" s="78" t="s">
        <v>1012</v>
      </c>
      <c r="AJ24" s="208" t="s">
        <v>1033</v>
      </c>
      <c r="AM24" s="78">
        <v>2</v>
      </c>
      <c r="AR24" s="78" t="s">
        <v>958</v>
      </c>
      <c r="AU24" s="78">
        <v>24</v>
      </c>
      <c r="AV24" s="186" t="s">
        <v>970</v>
      </c>
      <c r="AW24" s="78">
        <v>24</v>
      </c>
      <c r="AZ24" s="193" t="s">
        <v>1045</v>
      </c>
    </row>
    <row r="25" spans="1:52" hidden="1">
      <c r="A25" s="78">
        <v>25</v>
      </c>
      <c r="B25" s="78" t="s">
        <v>1642</v>
      </c>
      <c r="D25" s="78" t="s">
        <v>918</v>
      </c>
      <c r="E25" s="78" t="s">
        <v>901</v>
      </c>
      <c r="F25" s="78" t="s">
        <v>621</v>
      </c>
      <c r="G25" s="78" t="s">
        <v>621</v>
      </c>
      <c r="H25" s="78" t="s">
        <v>895</v>
      </c>
      <c r="I25" s="78" t="s">
        <v>901</v>
      </c>
      <c r="J25" s="78" t="s">
        <v>621</v>
      </c>
      <c r="K25" s="78" t="s">
        <v>621</v>
      </c>
      <c r="L25" s="78" t="s">
        <v>895</v>
      </c>
      <c r="M25" s="78" t="s">
        <v>887</v>
      </c>
      <c r="N25" s="78" t="s">
        <v>901</v>
      </c>
      <c r="O25" s="187" t="s">
        <v>918</v>
      </c>
      <c r="P25" s="187" t="s">
        <v>901</v>
      </c>
      <c r="Q25" s="187" t="s">
        <v>222</v>
      </c>
      <c r="R25" s="187" t="s">
        <v>956</v>
      </c>
      <c r="S25" s="78" t="s">
        <v>87</v>
      </c>
      <c r="T25" s="78" t="s">
        <v>1021</v>
      </c>
      <c r="U25" s="187" t="s">
        <v>1047</v>
      </c>
      <c r="W25" s="78">
        <v>0</v>
      </c>
      <c r="X25" s="78" t="s">
        <v>2090</v>
      </c>
      <c r="Z25" s="78" t="s">
        <v>800</v>
      </c>
      <c r="AA25" s="78">
        <v>0.8</v>
      </c>
      <c r="AB25" s="187" t="s">
        <v>816</v>
      </c>
      <c r="AC25" s="78" t="s">
        <v>624</v>
      </c>
      <c r="AD25" s="78">
        <v>0</v>
      </c>
      <c r="AE25" s="78">
        <v>0</v>
      </c>
      <c r="AF25" s="78">
        <v>40</v>
      </c>
      <c r="AG25" s="78" t="s">
        <v>309</v>
      </c>
      <c r="AH25" s="78">
        <v>1</v>
      </c>
      <c r="AI25" s="78" t="s">
        <v>1012</v>
      </c>
      <c r="AJ25" s="208" t="s">
        <v>1033</v>
      </c>
      <c r="AM25" s="78">
        <v>2</v>
      </c>
      <c r="AR25" s="78" t="s">
        <v>958</v>
      </c>
      <c r="AU25" s="78">
        <v>25</v>
      </c>
      <c r="AV25" s="186" t="s">
        <v>1001</v>
      </c>
      <c r="AW25" s="78">
        <v>25</v>
      </c>
      <c r="AZ25" s="193" t="s">
        <v>1047</v>
      </c>
    </row>
    <row r="26" spans="1:52" hidden="1">
      <c r="A26" s="78">
        <v>26</v>
      </c>
      <c r="B26" s="78" t="s">
        <v>1642</v>
      </c>
      <c r="D26" s="78" t="s">
        <v>918</v>
      </c>
      <c r="E26" s="78" t="s">
        <v>901</v>
      </c>
      <c r="F26" s="78" t="s">
        <v>621</v>
      </c>
      <c r="G26" s="78" t="s">
        <v>621</v>
      </c>
      <c r="H26" s="78" t="s">
        <v>895</v>
      </c>
      <c r="I26" s="78" t="s">
        <v>901</v>
      </c>
      <c r="J26" s="78" t="s">
        <v>621</v>
      </c>
      <c r="K26" s="78" t="s">
        <v>621</v>
      </c>
      <c r="L26" s="78" t="s">
        <v>895</v>
      </c>
      <c r="M26" s="78" t="s">
        <v>887</v>
      </c>
      <c r="N26" s="78" t="s">
        <v>901</v>
      </c>
      <c r="O26" s="187" t="s">
        <v>918</v>
      </c>
      <c r="P26" s="187" t="s">
        <v>901</v>
      </c>
      <c r="Q26" s="187" t="s">
        <v>222</v>
      </c>
      <c r="R26" s="187" t="s">
        <v>956</v>
      </c>
      <c r="S26" s="78" t="s">
        <v>87</v>
      </c>
      <c r="T26" s="78" t="s">
        <v>1021</v>
      </c>
      <c r="U26" s="187" t="s">
        <v>1047</v>
      </c>
      <c r="W26" s="78">
        <v>0</v>
      </c>
      <c r="X26" s="78" t="s">
        <v>2090</v>
      </c>
      <c r="Z26" s="78" t="s">
        <v>800</v>
      </c>
      <c r="AA26" s="78">
        <v>0.8</v>
      </c>
      <c r="AB26" s="187" t="s">
        <v>816</v>
      </c>
      <c r="AC26" s="78" t="s">
        <v>624</v>
      </c>
      <c r="AD26" s="78">
        <v>0</v>
      </c>
      <c r="AE26" s="78">
        <v>0</v>
      </c>
      <c r="AF26" s="78">
        <v>40</v>
      </c>
      <c r="AG26" s="78" t="s">
        <v>309</v>
      </c>
      <c r="AH26" s="78">
        <v>1</v>
      </c>
      <c r="AI26" s="78" t="s">
        <v>1012</v>
      </c>
      <c r="AJ26" s="208" t="s">
        <v>1033</v>
      </c>
      <c r="AM26" s="78">
        <v>2</v>
      </c>
      <c r="AR26" s="78" t="s">
        <v>1050</v>
      </c>
      <c r="AU26" s="78">
        <v>26</v>
      </c>
      <c r="AV26" s="186" t="s">
        <v>1034</v>
      </c>
      <c r="AW26" s="78">
        <v>26</v>
      </c>
      <c r="AZ26" s="193" t="s">
        <v>152</v>
      </c>
    </row>
    <row r="27" spans="1:52" hidden="1">
      <c r="A27" s="78">
        <v>27</v>
      </c>
      <c r="B27" s="78" t="s">
        <v>342</v>
      </c>
      <c r="D27" s="78" t="s">
        <v>918</v>
      </c>
      <c r="E27" s="78" t="s">
        <v>901</v>
      </c>
      <c r="F27" s="78" t="s">
        <v>621</v>
      </c>
      <c r="G27" s="78" t="s">
        <v>621</v>
      </c>
      <c r="H27" s="78" t="s">
        <v>895</v>
      </c>
      <c r="I27" s="78" t="s">
        <v>901</v>
      </c>
      <c r="J27" s="78" t="s">
        <v>901</v>
      </c>
      <c r="K27" s="78" t="s">
        <v>621</v>
      </c>
      <c r="L27" s="78" t="s">
        <v>895</v>
      </c>
      <c r="M27" s="78" t="s">
        <v>887</v>
      </c>
      <c r="N27" s="78" t="s">
        <v>901</v>
      </c>
      <c r="O27" s="187" t="s">
        <v>918</v>
      </c>
      <c r="P27" s="187" t="s">
        <v>901</v>
      </c>
      <c r="Q27" s="187" t="s">
        <v>222</v>
      </c>
      <c r="R27" s="187" t="s">
        <v>956</v>
      </c>
      <c r="S27" s="78" t="s">
        <v>87</v>
      </c>
      <c r="T27" s="78" t="s">
        <v>1021</v>
      </c>
      <c r="U27" s="187" t="s">
        <v>1047</v>
      </c>
      <c r="W27" s="78">
        <v>-1</v>
      </c>
      <c r="X27" s="78" t="s">
        <v>2099</v>
      </c>
      <c r="Z27" s="78" t="s">
        <v>800</v>
      </c>
      <c r="AA27" s="78">
        <v>0.8</v>
      </c>
      <c r="AB27" s="187" t="s">
        <v>816</v>
      </c>
      <c r="AC27" s="78" t="s">
        <v>624</v>
      </c>
      <c r="AD27" s="78">
        <v>0</v>
      </c>
      <c r="AE27" s="78">
        <v>0</v>
      </c>
      <c r="AF27" s="78">
        <v>40</v>
      </c>
      <c r="AG27" s="78" t="s">
        <v>309</v>
      </c>
      <c r="AH27" s="78">
        <v>1</v>
      </c>
      <c r="AI27" s="78" t="s">
        <v>1012</v>
      </c>
      <c r="AJ27" s="208" t="s">
        <v>1033</v>
      </c>
      <c r="AM27" s="78">
        <v>2</v>
      </c>
      <c r="AU27" s="78">
        <v>27</v>
      </c>
      <c r="AV27" s="186" t="s">
        <v>1007</v>
      </c>
      <c r="AW27" s="78">
        <v>27</v>
      </c>
      <c r="AZ27" s="193" t="s">
        <v>25</v>
      </c>
    </row>
    <row r="28" spans="1:52" hidden="1">
      <c r="A28" s="78">
        <v>28</v>
      </c>
      <c r="B28" s="78" t="s">
        <v>342</v>
      </c>
      <c r="D28" s="78" t="s">
        <v>918</v>
      </c>
      <c r="E28" s="78" t="s">
        <v>901</v>
      </c>
      <c r="F28" s="78" t="s">
        <v>621</v>
      </c>
      <c r="G28" s="78" t="s">
        <v>621</v>
      </c>
      <c r="H28" s="78" t="s">
        <v>918</v>
      </c>
      <c r="I28" s="78" t="s">
        <v>901</v>
      </c>
      <c r="J28" s="78" t="s">
        <v>901</v>
      </c>
      <c r="K28" s="78" t="s">
        <v>621</v>
      </c>
      <c r="L28" s="78" t="s">
        <v>895</v>
      </c>
      <c r="M28" s="78" t="s">
        <v>887</v>
      </c>
      <c r="N28" s="78" t="s">
        <v>901</v>
      </c>
      <c r="O28" s="187" t="s">
        <v>918</v>
      </c>
      <c r="P28" s="187" t="s">
        <v>901</v>
      </c>
      <c r="Q28" s="187" t="s">
        <v>222</v>
      </c>
      <c r="R28" s="187" t="s">
        <v>956</v>
      </c>
      <c r="S28" s="78" t="s">
        <v>87</v>
      </c>
      <c r="T28" s="78" t="s">
        <v>1021</v>
      </c>
      <c r="U28" s="187" t="s">
        <v>1047</v>
      </c>
      <c r="W28" s="78">
        <v>-1</v>
      </c>
      <c r="X28" s="78" t="s">
        <v>2099</v>
      </c>
      <c r="Z28" s="78" t="s">
        <v>800</v>
      </c>
      <c r="AA28" s="78">
        <v>0.8</v>
      </c>
      <c r="AB28" s="187" t="s">
        <v>816</v>
      </c>
      <c r="AC28" s="78" t="s">
        <v>624</v>
      </c>
      <c r="AD28" s="78">
        <v>0</v>
      </c>
      <c r="AE28" s="78">
        <v>0</v>
      </c>
      <c r="AF28" s="78">
        <v>40</v>
      </c>
      <c r="AG28" s="78" t="s">
        <v>309</v>
      </c>
      <c r="AH28" s="78">
        <v>1</v>
      </c>
      <c r="AI28" s="78" t="s">
        <v>1012</v>
      </c>
      <c r="AJ28" s="208" t="s">
        <v>1033</v>
      </c>
      <c r="AM28" s="78">
        <v>2</v>
      </c>
      <c r="AU28" s="78">
        <v>28</v>
      </c>
      <c r="AV28" s="186" t="s">
        <v>985</v>
      </c>
      <c r="AW28" s="78">
        <v>28</v>
      </c>
      <c r="AZ28" s="188" t="s">
        <v>17</v>
      </c>
    </row>
    <row r="29" spans="1:52" hidden="1">
      <c r="A29" s="78">
        <v>29</v>
      </c>
      <c r="B29" s="78" t="s">
        <v>342</v>
      </c>
      <c r="D29" s="78" t="s">
        <v>918</v>
      </c>
      <c r="E29" s="78" t="s">
        <v>901</v>
      </c>
      <c r="F29" s="78" t="s">
        <v>621</v>
      </c>
      <c r="G29" s="78" t="s">
        <v>621</v>
      </c>
      <c r="H29" s="78" t="s">
        <v>918</v>
      </c>
      <c r="I29" s="78" t="s">
        <v>901</v>
      </c>
      <c r="J29" s="78" t="s">
        <v>901</v>
      </c>
      <c r="K29" s="78" t="s">
        <v>901</v>
      </c>
      <c r="L29" s="78" t="s">
        <v>895</v>
      </c>
      <c r="M29" s="78" t="s">
        <v>887</v>
      </c>
      <c r="N29" s="78" t="s">
        <v>901</v>
      </c>
      <c r="O29" s="187" t="s">
        <v>918</v>
      </c>
      <c r="P29" s="187" t="s">
        <v>901</v>
      </c>
      <c r="Q29" s="187" t="s">
        <v>222</v>
      </c>
      <c r="R29" s="187" t="s">
        <v>956</v>
      </c>
      <c r="S29" s="78" t="s">
        <v>87</v>
      </c>
      <c r="T29" s="78" t="s">
        <v>1021</v>
      </c>
      <c r="U29" s="187" t="s">
        <v>1047</v>
      </c>
      <c r="W29" s="78">
        <v>-1</v>
      </c>
      <c r="X29" s="78" t="s">
        <v>2099</v>
      </c>
      <c r="Z29" s="78" t="s">
        <v>800</v>
      </c>
      <c r="AA29" s="78">
        <v>0.8</v>
      </c>
      <c r="AB29" s="187" t="s">
        <v>816</v>
      </c>
      <c r="AC29" s="78" t="s">
        <v>624</v>
      </c>
      <c r="AD29" s="78">
        <v>0</v>
      </c>
      <c r="AE29" s="78">
        <v>0</v>
      </c>
      <c r="AF29" s="78">
        <v>40</v>
      </c>
      <c r="AG29" s="78" t="s">
        <v>309</v>
      </c>
      <c r="AH29" s="78">
        <v>1</v>
      </c>
      <c r="AI29" s="78" t="s">
        <v>1012</v>
      </c>
      <c r="AJ29" s="208" t="s">
        <v>1033</v>
      </c>
      <c r="AM29" s="78">
        <v>2</v>
      </c>
      <c r="AU29" s="78">
        <v>29</v>
      </c>
      <c r="AV29" s="186" t="s">
        <v>1020</v>
      </c>
      <c r="AW29" s="78">
        <v>29</v>
      </c>
      <c r="AZ29" s="193" t="s">
        <v>1054</v>
      </c>
    </row>
    <row r="30" spans="1:52" s="208" customFormat="1" ht="10.8" hidden="1" thickBot="1">
      <c r="A30" s="208">
        <v>30</v>
      </c>
      <c r="B30" s="208" t="s">
        <v>342</v>
      </c>
      <c r="C30" s="78"/>
      <c r="D30" s="208" t="s">
        <v>918</v>
      </c>
      <c r="E30" s="78" t="s">
        <v>901</v>
      </c>
      <c r="F30" s="78" t="s">
        <v>621</v>
      </c>
      <c r="G30" s="78" t="s">
        <v>621</v>
      </c>
      <c r="H30" s="78" t="s">
        <v>918</v>
      </c>
      <c r="I30" s="78" t="s">
        <v>901</v>
      </c>
      <c r="J30" s="78" t="s">
        <v>901</v>
      </c>
      <c r="K30" s="78" t="s">
        <v>901</v>
      </c>
      <c r="L30" s="78" t="s">
        <v>895</v>
      </c>
      <c r="M30" s="208" t="s">
        <v>887</v>
      </c>
      <c r="N30" s="78" t="s">
        <v>901</v>
      </c>
      <c r="O30" s="187" t="s">
        <v>918</v>
      </c>
      <c r="P30" s="187" t="s">
        <v>901</v>
      </c>
      <c r="Q30" s="187" t="s">
        <v>222</v>
      </c>
      <c r="R30" s="187" t="s">
        <v>956</v>
      </c>
      <c r="S30" s="78" t="s">
        <v>87</v>
      </c>
      <c r="T30" s="78" t="s">
        <v>1021</v>
      </c>
      <c r="U30" s="187" t="s">
        <v>1047</v>
      </c>
      <c r="W30" s="78">
        <v>-1</v>
      </c>
      <c r="X30" s="78" t="s">
        <v>2099</v>
      </c>
      <c r="Z30" s="78" t="s">
        <v>800</v>
      </c>
      <c r="AA30" s="78">
        <v>0.8</v>
      </c>
      <c r="AB30" s="187" t="s">
        <v>816</v>
      </c>
      <c r="AC30" s="78" t="s">
        <v>624</v>
      </c>
      <c r="AD30" s="78">
        <v>0</v>
      </c>
      <c r="AE30" s="78">
        <v>0</v>
      </c>
      <c r="AF30" s="78">
        <v>40</v>
      </c>
      <c r="AG30" s="78" t="s">
        <v>309</v>
      </c>
      <c r="AH30" s="78">
        <v>1</v>
      </c>
      <c r="AI30" s="78" t="s">
        <v>1012</v>
      </c>
      <c r="AJ30" s="208" t="s">
        <v>1033</v>
      </c>
      <c r="AM30" s="78">
        <v>2</v>
      </c>
      <c r="AU30" s="78">
        <v>30</v>
      </c>
      <c r="AV30" s="186" t="s">
        <v>22</v>
      </c>
      <c r="AW30" s="78">
        <v>30</v>
      </c>
      <c r="AZ30" s="193" t="s">
        <v>968</v>
      </c>
    </row>
    <row r="31" spans="1:52" ht="10.8" hidden="1" thickBot="1">
      <c r="A31" s="78">
        <v>31</v>
      </c>
      <c r="B31" s="78" t="s">
        <v>342</v>
      </c>
      <c r="C31" s="514">
        <v>0</v>
      </c>
      <c r="D31" s="78" t="s">
        <v>918</v>
      </c>
      <c r="E31" s="78" t="s">
        <v>901</v>
      </c>
      <c r="F31" s="78" t="s">
        <v>621</v>
      </c>
      <c r="G31" s="78" t="s">
        <v>621</v>
      </c>
      <c r="H31" s="78" t="s">
        <v>918</v>
      </c>
      <c r="I31" s="78" t="s">
        <v>901</v>
      </c>
      <c r="J31" s="78" t="s">
        <v>901</v>
      </c>
      <c r="K31" s="78" t="s">
        <v>901</v>
      </c>
      <c r="L31" s="78" t="s">
        <v>895</v>
      </c>
      <c r="M31" s="78" t="s">
        <v>887</v>
      </c>
      <c r="N31" s="78" t="s">
        <v>901</v>
      </c>
      <c r="O31" s="187" t="s">
        <v>918</v>
      </c>
      <c r="P31" s="187" t="s">
        <v>901</v>
      </c>
      <c r="Q31" s="187" t="s">
        <v>997</v>
      </c>
      <c r="R31" s="187" t="s">
        <v>1025</v>
      </c>
      <c r="S31" s="78" t="s">
        <v>87</v>
      </c>
      <c r="T31" s="78" t="s">
        <v>1021</v>
      </c>
      <c r="U31" s="187" t="s">
        <v>1047</v>
      </c>
      <c r="W31" s="78">
        <v>-1</v>
      </c>
      <c r="X31" s="78" t="s">
        <v>2099</v>
      </c>
      <c r="Z31" s="78" t="s">
        <v>800</v>
      </c>
      <c r="AA31" s="78">
        <v>0.8</v>
      </c>
      <c r="AB31" s="187" t="s">
        <v>816</v>
      </c>
      <c r="AC31" s="78" t="s">
        <v>624</v>
      </c>
      <c r="AD31" s="78">
        <v>0</v>
      </c>
      <c r="AE31" s="78">
        <v>0</v>
      </c>
      <c r="AF31" s="78">
        <v>40</v>
      </c>
      <c r="AG31" s="78" t="s">
        <v>309</v>
      </c>
      <c r="AH31" s="78">
        <v>1</v>
      </c>
      <c r="AI31" s="78" t="s">
        <v>1012</v>
      </c>
      <c r="AJ31" s="78" t="s">
        <v>1056</v>
      </c>
      <c r="AM31" s="78">
        <v>3</v>
      </c>
      <c r="AU31" s="78">
        <v>31</v>
      </c>
      <c r="AV31" s="186" t="s">
        <v>896</v>
      </c>
      <c r="AW31" s="78">
        <v>31</v>
      </c>
      <c r="AZ31" s="204" t="s">
        <v>1057</v>
      </c>
    </row>
    <row r="32" spans="1:52" hidden="1">
      <c r="A32" s="78">
        <v>32</v>
      </c>
      <c r="B32" s="78" t="s">
        <v>342</v>
      </c>
      <c r="C32" s="514" t="s">
        <v>344</v>
      </c>
      <c r="D32" s="78" t="s">
        <v>918</v>
      </c>
      <c r="E32" s="78" t="s">
        <v>901</v>
      </c>
      <c r="F32" s="78" t="s">
        <v>621</v>
      </c>
      <c r="G32" s="78" t="s">
        <v>621</v>
      </c>
      <c r="H32" s="78" t="s">
        <v>918</v>
      </c>
      <c r="I32" s="78" t="s">
        <v>901</v>
      </c>
      <c r="J32" s="78" t="s">
        <v>901</v>
      </c>
      <c r="K32" s="78" t="s">
        <v>901</v>
      </c>
      <c r="L32" s="78" t="s">
        <v>895</v>
      </c>
      <c r="M32" s="78" t="s">
        <v>887</v>
      </c>
      <c r="N32" s="78" t="s">
        <v>901</v>
      </c>
      <c r="O32" s="187" t="s">
        <v>918</v>
      </c>
      <c r="P32" s="187" t="s">
        <v>901</v>
      </c>
      <c r="Q32" s="187" t="s">
        <v>997</v>
      </c>
      <c r="R32" s="187" t="s">
        <v>1025</v>
      </c>
      <c r="S32" s="78" t="s">
        <v>87</v>
      </c>
      <c r="T32" s="78" t="s">
        <v>1021</v>
      </c>
      <c r="U32" s="187" t="s">
        <v>1047</v>
      </c>
      <c r="W32" s="78">
        <v>-1</v>
      </c>
      <c r="X32" s="78" t="s">
        <v>2099</v>
      </c>
      <c r="Z32" s="78" t="s">
        <v>800</v>
      </c>
      <c r="AA32" s="78">
        <v>0.8</v>
      </c>
      <c r="AB32" s="187" t="s">
        <v>816</v>
      </c>
      <c r="AC32" s="78" t="s">
        <v>624</v>
      </c>
      <c r="AD32" s="78">
        <v>0</v>
      </c>
      <c r="AE32" s="78">
        <v>0</v>
      </c>
      <c r="AF32" s="78">
        <v>40</v>
      </c>
      <c r="AG32" s="78" t="s">
        <v>309</v>
      </c>
      <c r="AH32" s="78">
        <v>1</v>
      </c>
      <c r="AI32" s="78" t="s">
        <v>1012</v>
      </c>
      <c r="AJ32" s="78" t="s">
        <v>1056</v>
      </c>
      <c r="AM32" s="78">
        <v>3</v>
      </c>
      <c r="AU32" s="78">
        <v>32</v>
      </c>
      <c r="AV32" s="78" t="s">
        <v>17</v>
      </c>
      <c r="AW32" s="78">
        <v>32</v>
      </c>
      <c r="AZ32" s="78" t="s">
        <v>1058</v>
      </c>
    </row>
    <row r="33" spans="1:49" hidden="1">
      <c r="A33" s="78">
        <v>33</v>
      </c>
      <c r="B33" s="78" t="s">
        <v>342</v>
      </c>
      <c r="C33" s="515" t="s">
        <v>343</v>
      </c>
      <c r="D33" s="78" t="s">
        <v>918</v>
      </c>
      <c r="E33" s="78" t="s">
        <v>901</v>
      </c>
      <c r="F33" s="78" t="s">
        <v>621</v>
      </c>
      <c r="G33" s="78" t="s">
        <v>621</v>
      </c>
      <c r="H33" s="78" t="s">
        <v>918</v>
      </c>
      <c r="I33" s="78" t="s">
        <v>901</v>
      </c>
      <c r="J33" s="78" t="s">
        <v>901</v>
      </c>
      <c r="K33" s="78" t="s">
        <v>901</v>
      </c>
      <c r="L33" s="78" t="s">
        <v>895</v>
      </c>
      <c r="M33" s="78" t="s">
        <v>887</v>
      </c>
      <c r="N33" s="78" t="s">
        <v>901</v>
      </c>
      <c r="O33" s="187" t="s">
        <v>918</v>
      </c>
      <c r="P33" s="187" t="s">
        <v>901</v>
      </c>
      <c r="Q33" s="187" t="s">
        <v>997</v>
      </c>
      <c r="R33" s="187" t="s">
        <v>1025</v>
      </c>
      <c r="S33" s="78" t="s">
        <v>87</v>
      </c>
      <c r="T33" s="78" t="s">
        <v>1021</v>
      </c>
      <c r="U33" s="187" t="s">
        <v>1047</v>
      </c>
      <c r="W33" s="78">
        <v>-1</v>
      </c>
      <c r="X33" s="78" t="s">
        <v>2099</v>
      </c>
      <c r="Z33" s="78" t="s">
        <v>800</v>
      </c>
      <c r="AA33" s="78">
        <v>0.8</v>
      </c>
      <c r="AB33" s="187" t="s">
        <v>816</v>
      </c>
      <c r="AC33" s="78" t="s">
        <v>624</v>
      </c>
      <c r="AD33" s="78">
        <v>0</v>
      </c>
      <c r="AE33" s="78">
        <v>0</v>
      </c>
      <c r="AF33" s="78">
        <v>40</v>
      </c>
      <c r="AG33" s="78" t="s">
        <v>309</v>
      </c>
      <c r="AH33" s="78">
        <v>1</v>
      </c>
      <c r="AI33" s="78" t="s">
        <v>1012</v>
      </c>
      <c r="AJ33" s="78" t="s">
        <v>1056</v>
      </c>
      <c r="AM33" s="78">
        <v>3</v>
      </c>
      <c r="AU33" s="78">
        <v>33</v>
      </c>
      <c r="AV33" s="186" t="s">
        <v>152</v>
      </c>
      <c r="AW33" s="78">
        <v>33</v>
      </c>
    </row>
    <row r="34" spans="1:49" hidden="1">
      <c r="A34" s="78">
        <v>34</v>
      </c>
      <c r="B34" s="78" t="s">
        <v>342</v>
      </c>
      <c r="C34" s="515" t="s">
        <v>1642</v>
      </c>
      <c r="D34" s="78" t="s">
        <v>918</v>
      </c>
      <c r="E34" s="78" t="s">
        <v>901</v>
      </c>
      <c r="F34" s="78" t="s">
        <v>901</v>
      </c>
      <c r="G34" s="78" t="s">
        <v>621</v>
      </c>
      <c r="H34" s="78" t="s">
        <v>918</v>
      </c>
      <c r="I34" s="78" t="s">
        <v>901</v>
      </c>
      <c r="J34" s="78" t="s">
        <v>895</v>
      </c>
      <c r="K34" s="78" t="s">
        <v>901</v>
      </c>
      <c r="L34" s="78" t="s">
        <v>895</v>
      </c>
      <c r="M34" s="78" t="s">
        <v>887</v>
      </c>
      <c r="N34" s="78" t="s">
        <v>901</v>
      </c>
      <c r="O34" s="187" t="s">
        <v>918</v>
      </c>
      <c r="P34" s="187" t="s">
        <v>901</v>
      </c>
      <c r="Q34" s="187" t="s">
        <v>997</v>
      </c>
      <c r="R34" s="187" t="s">
        <v>1025</v>
      </c>
      <c r="S34" s="78" t="s">
        <v>546</v>
      </c>
      <c r="T34" s="78" t="s">
        <v>1054</v>
      </c>
      <c r="U34" s="187" t="s">
        <v>1013</v>
      </c>
      <c r="W34" s="78">
        <v>-1</v>
      </c>
      <c r="X34" s="78" t="s">
        <v>2099</v>
      </c>
      <c r="Z34" s="78" t="s">
        <v>800</v>
      </c>
      <c r="AA34" s="78">
        <v>0.8</v>
      </c>
      <c r="AB34" s="187" t="s">
        <v>816</v>
      </c>
      <c r="AC34" s="78" t="s">
        <v>624</v>
      </c>
      <c r="AD34" s="78">
        <v>0</v>
      </c>
      <c r="AE34" s="78">
        <v>0</v>
      </c>
      <c r="AF34" s="78">
        <v>40</v>
      </c>
      <c r="AG34" s="78" t="s">
        <v>309</v>
      </c>
      <c r="AH34" s="78">
        <v>1</v>
      </c>
      <c r="AI34" s="78" t="s">
        <v>1012</v>
      </c>
      <c r="AJ34" s="78" t="s">
        <v>1056</v>
      </c>
      <c r="AM34" s="78">
        <v>3</v>
      </c>
      <c r="AU34" s="78">
        <v>34</v>
      </c>
      <c r="AV34" s="186" t="s">
        <v>87</v>
      </c>
      <c r="AW34" s="78">
        <v>34</v>
      </c>
    </row>
    <row r="35" spans="1:49" hidden="1">
      <c r="A35" s="78">
        <v>35</v>
      </c>
      <c r="B35" s="78" t="s">
        <v>342</v>
      </c>
      <c r="C35" s="515" t="s">
        <v>342</v>
      </c>
      <c r="D35" s="78" t="s">
        <v>918</v>
      </c>
      <c r="E35" s="78" t="s">
        <v>901</v>
      </c>
      <c r="F35" s="78" t="s">
        <v>901</v>
      </c>
      <c r="G35" s="78" t="s">
        <v>621</v>
      </c>
      <c r="H35" s="78" t="s">
        <v>918</v>
      </c>
      <c r="I35" s="78" t="s">
        <v>895</v>
      </c>
      <c r="J35" s="78" t="s">
        <v>895</v>
      </c>
      <c r="K35" s="78" t="s">
        <v>895</v>
      </c>
      <c r="L35" s="78" t="s">
        <v>895</v>
      </c>
      <c r="M35" s="78" t="s">
        <v>887</v>
      </c>
      <c r="N35" s="78" t="s">
        <v>901</v>
      </c>
      <c r="O35" s="187" t="s">
        <v>918</v>
      </c>
      <c r="P35" s="187" t="s">
        <v>901</v>
      </c>
      <c r="Q35" s="187" t="s">
        <v>997</v>
      </c>
      <c r="R35" s="187" t="s">
        <v>1025</v>
      </c>
      <c r="S35" s="78" t="s">
        <v>546</v>
      </c>
      <c r="T35" s="78" t="s">
        <v>1054</v>
      </c>
      <c r="U35" s="187" t="s">
        <v>1013</v>
      </c>
      <c r="W35" s="78">
        <v>-1</v>
      </c>
      <c r="X35" s="78" t="s">
        <v>2099</v>
      </c>
      <c r="Z35" s="78" t="s">
        <v>800</v>
      </c>
      <c r="AA35" s="78">
        <v>0.8</v>
      </c>
      <c r="AB35" s="187" t="s">
        <v>816</v>
      </c>
      <c r="AC35" s="78" t="s">
        <v>624</v>
      </c>
      <c r="AD35" s="78">
        <v>0</v>
      </c>
      <c r="AE35" s="78">
        <v>0</v>
      </c>
      <c r="AF35" s="78">
        <v>40</v>
      </c>
      <c r="AG35" s="78" t="s">
        <v>309</v>
      </c>
      <c r="AH35" s="78">
        <v>1</v>
      </c>
      <c r="AI35" s="78" t="s">
        <v>1012</v>
      </c>
      <c r="AJ35" s="78" t="s">
        <v>1056</v>
      </c>
      <c r="AM35" s="78">
        <v>3</v>
      </c>
      <c r="AU35" s="78">
        <v>35</v>
      </c>
      <c r="AV35" s="186" t="s">
        <v>546</v>
      </c>
      <c r="AW35" s="78">
        <v>35</v>
      </c>
    </row>
    <row r="36" spans="1:49" hidden="1">
      <c r="A36" s="78">
        <v>36</v>
      </c>
      <c r="B36" s="78" t="s">
        <v>342</v>
      </c>
      <c r="C36" s="515" t="s">
        <v>341</v>
      </c>
      <c r="D36" s="78" t="s">
        <v>918</v>
      </c>
      <c r="E36" s="78" t="s">
        <v>895</v>
      </c>
      <c r="F36" s="78" t="s">
        <v>901</v>
      </c>
      <c r="G36" s="78" t="s">
        <v>621</v>
      </c>
      <c r="H36" s="78" t="s">
        <v>918</v>
      </c>
      <c r="I36" s="78" t="s">
        <v>895</v>
      </c>
      <c r="J36" s="78" t="s">
        <v>895</v>
      </c>
      <c r="K36" s="78" t="s">
        <v>895</v>
      </c>
      <c r="L36" s="78" t="s">
        <v>918</v>
      </c>
      <c r="M36" s="78" t="s">
        <v>887</v>
      </c>
      <c r="N36" s="78" t="s">
        <v>895</v>
      </c>
      <c r="O36" s="187" t="s">
        <v>918</v>
      </c>
      <c r="P36" s="187" t="s">
        <v>901</v>
      </c>
      <c r="Q36" s="187" t="s">
        <v>997</v>
      </c>
      <c r="R36" s="187" t="s">
        <v>1025</v>
      </c>
      <c r="S36" s="78" t="s">
        <v>546</v>
      </c>
      <c r="T36" s="78" t="s">
        <v>1054</v>
      </c>
      <c r="U36" s="187" t="s">
        <v>1013</v>
      </c>
      <c r="W36" s="78">
        <v>-1</v>
      </c>
      <c r="X36" s="78" t="s">
        <v>2099</v>
      </c>
      <c r="Z36" s="78" t="s">
        <v>800</v>
      </c>
      <c r="AA36" s="78">
        <v>0.8</v>
      </c>
      <c r="AB36" s="187" t="s">
        <v>816</v>
      </c>
      <c r="AC36" s="78" t="s">
        <v>624</v>
      </c>
      <c r="AD36" s="78">
        <v>0</v>
      </c>
      <c r="AE36" s="78">
        <v>0</v>
      </c>
      <c r="AF36" s="78">
        <v>40</v>
      </c>
      <c r="AG36" s="78" t="s">
        <v>309</v>
      </c>
      <c r="AH36" s="78">
        <v>1</v>
      </c>
      <c r="AI36" s="78" t="s">
        <v>1012</v>
      </c>
      <c r="AJ36" s="78" t="s">
        <v>1062</v>
      </c>
      <c r="AM36" s="78">
        <v>3</v>
      </c>
      <c r="AU36" s="78">
        <v>36</v>
      </c>
      <c r="AV36" s="186" t="s">
        <v>908</v>
      </c>
      <c r="AW36" s="78">
        <v>36</v>
      </c>
    </row>
    <row r="37" spans="1:49" hidden="1">
      <c r="A37" s="78">
        <v>37</v>
      </c>
      <c r="B37" s="78" t="s">
        <v>342</v>
      </c>
      <c r="C37" s="515" t="s">
        <v>340</v>
      </c>
      <c r="D37" s="78" t="s">
        <v>918</v>
      </c>
      <c r="E37" s="78" t="s">
        <v>895</v>
      </c>
      <c r="F37" s="78" t="s">
        <v>901</v>
      </c>
      <c r="G37" s="78" t="s">
        <v>901</v>
      </c>
      <c r="H37" s="78" t="s">
        <v>918</v>
      </c>
      <c r="I37" s="78" t="s">
        <v>895</v>
      </c>
      <c r="J37" s="78" t="s">
        <v>895</v>
      </c>
      <c r="K37" s="78" t="s">
        <v>895</v>
      </c>
      <c r="L37" s="78" t="s">
        <v>918</v>
      </c>
      <c r="M37" s="78" t="s">
        <v>887</v>
      </c>
      <c r="N37" s="78" t="s">
        <v>895</v>
      </c>
      <c r="O37" s="187" t="s">
        <v>918</v>
      </c>
      <c r="P37" s="187" t="s">
        <v>901</v>
      </c>
      <c r="Q37" s="187" t="s">
        <v>997</v>
      </c>
      <c r="R37" s="187" t="s">
        <v>1025</v>
      </c>
      <c r="S37" s="78" t="s">
        <v>546</v>
      </c>
      <c r="T37" s="78" t="s">
        <v>1054</v>
      </c>
      <c r="U37" s="187" t="s">
        <v>1013</v>
      </c>
      <c r="W37" s="78">
        <v>-1</v>
      </c>
      <c r="X37" s="78" t="s">
        <v>2099</v>
      </c>
      <c r="Z37" s="78" t="s">
        <v>800</v>
      </c>
      <c r="AA37" s="78">
        <v>0.8</v>
      </c>
      <c r="AB37" s="187" t="s">
        <v>816</v>
      </c>
      <c r="AC37" s="78" t="s">
        <v>624</v>
      </c>
      <c r="AD37" s="78">
        <v>0</v>
      </c>
      <c r="AE37" s="78">
        <v>0</v>
      </c>
      <c r="AF37" s="78">
        <v>40</v>
      </c>
      <c r="AG37" s="78" t="s">
        <v>309</v>
      </c>
      <c r="AH37" s="78">
        <v>1</v>
      </c>
      <c r="AI37" s="78" t="s">
        <v>1012</v>
      </c>
      <c r="AJ37" s="78" t="s">
        <v>1062</v>
      </c>
      <c r="AM37" s="78">
        <v>3</v>
      </c>
      <c r="AU37" s="78">
        <v>37</v>
      </c>
      <c r="AV37" s="186" t="s">
        <v>949</v>
      </c>
      <c r="AW37" s="78">
        <v>37</v>
      </c>
    </row>
    <row r="38" spans="1:49" hidden="1">
      <c r="A38" s="78">
        <v>38</v>
      </c>
      <c r="B38" s="78" t="s">
        <v>342</v>
      </c>
      <c r="C38" s="515" t="s">
        <v>338</v>
      </c>
      <c r="D38" s="78" t="s">
        <v>918</v>
      </c>
      <c r="E38" s="78" t="s">
        <v>895</v>
      </c>
      <c r="F38" s="78" t="s">
        <v>901</v>
      </c>
      <c r="G38" s="78" t="s">
        <v>901</v>
      </c>
      <c r="H38" s="78" t="s">
        <v>918</v>
      </c>
      <c r="I38" s="78" t="s">
        <v>895</v>
      </c>
      <c r="J38" s="78" t="s">
        <v>918</v>
      </c>
      <c r="K38" s="78" t="s">
        <v>918</v>
      </c>
      <c r="L38" s="78" t="s">
        <v>918</v>
      </c>
      <c r="M38" s="78" t="s">
        <v>887</v>
      </c>
      <c r="N38" s="78" t="s">
        <v>895</v>
      </c>
      <c r="O38" s="187" t="s">
        <v>918</v>
      </c>
      <c r="P38" s="187" t="s">
        <v>901</v>
      </c>
      <c r="Q38" s="187" t="s">
        <v>997</v>
      </c>
      <c r="R38" s="187" t="s">
        <v>1025</v>
      </c>
      <c r="S38" s="78" t="s">
        <v>546</v>
      </c>
      <c r="T38" s="78" t="s">
        <v>1054</v>
      </c>
      <c r="U38" s="187" t="s">
        <v>1013</v>
      </c>
      <c r="W38" s="78">
        <v>-1</v>
      </c>
      <c r="X38" s="78" t="s">
        <v>2099</v>
      </c>
      <c r="Z38" s="78" t="s">
        <v>800</v>
      </c>
      <c r="AA38" s="78">
        <v>0.8</v>
      </c>
      <c r="AB38" s="187" t="s">
        <v>816</v>
      </c>
      <c r="AC38" s="78" t="s">
        <v>624</v>
      </c>
      <c r="AD38" s="78">
        <v>0</v>
      </c>
      <c r="AE38" s="78">
        <v>0</v>
      </c>
      <c r="AF38" s="78">
        <v>40</v>
      </c>
      <c r="AG38" s="78" t="s">
        <v>309</v>
      </c>
      <c r="AH38" s="78">
        <v>1</v>
      </c>
      <c r="AI38" s="78" t="s">
        <v>1012</v>
      </c>
      <c r="AJ38" s="78" t="s">
        <v>1062</v>
      </c>
      <c r="AM38" s="78">
        <v>3</v>
      </c>
      <c r="AU38" s="78">
        <v>38</v>
      </c>
      <c r="AV38" s="186" t="s">
        <v>1002</v>
      </c>
      <c r="AW38" s="78">
        <v>38</v>
      </c>
    </row>
    <row r="39" spans="1:49" hidden="1">
      <c r="A39" s="78">
        <v>39</v>
      </c>
      <c r="B39" s="78" t="s">
        <v>342</v>
      </c>
      <c r="C39" s="515" t="s">
        <v>335</v>
      </c>
      <c r="D39" s="78" t="s">
        <v>918</v>
      </c>
      <c r="E39" s="78" t="s">
        <v>895</v>
      </c>
      <c r="F39" s="78" t="s">
        <v>901</v>
      </c>
      <c r="G39" s="78" t="s">
        <v>901</v>
      </c>
      <c r="H39" s="78" t="s">
        <v>918</v>
      </c>
      <c r="I39" s="78" t="s">
        <v>895</v>
      </c>
      <c r="J39" s="78" t="s">
        <v>918</v>
      </c>
      <c r="K39" s="78" t="s">
        <v>918</v>
      </c>
      <c r="L39" s="78" t="s">
        <v>918</v>
      </c>
      <c r="M39" s="78" t="s">
        <v>887</v>
      </c>
      <c r="N39" s="78" t="s">
        <v>895</v>
      </c>
      <c r="O39" s="187" t="s">
        <v>918</v>
      </c>
      <c r="P39" s="187" t="s">
        <v>895</v>
      </c>
      <c r="Q39" s="187" t="s">
        <v>997</v>
      </c>
      <c r="R39" s="187" t="s">
        <v>1025</v>
      </c>
      <c r="S39" s="78" t="s">
        <v>546</v>
      </c>
      <c r="T39" s="78" t="s">
        <v>1054</v>
      </c>
      <c r="U39" s="187" t="s">
        <v>1013</v>
      </c>
      <c r="W39" s="78">
        <v>-1</v>
      </c>
      <c r="X39" s="78" t="s">
        <v>2099</v>
      </c>
      <c r="Z39" s="78" t="s">
        <v>800</v>
      </c>
      <c r="AA39" s="78">
        <v>0.8</v>
      </c>
      <c r="AB39" s="187" t="s">
        <v>816</v>
      </c>
      <c r="AC39" s="78" t="s">
        <v>624</v>
      </c>
      <c r="AD39" s="78">
        <v>0</v>
      </c>
      <c r="AE39" s="78">
        <v>0</v>
      </c>
      <c r="AF39" s="78">
        <v>40</v>
      </c>
      <c r="AG39" s="78" t="s">
        <v>309</v>
      </c>
      <c r="AH39" s="78">
        <v>1</v>
      </c>
      <c r="AI39" s="78" t="s">
        <v>1012</v>
      </c>
      <c r="AJ39" s="78" t="s">
        <v>1062</v>
      </c>
      <c r="AM39" s="78">
        <v>3</v>
      </c>
      <c r="AU39" s="78">
        <v>39</v>
      </c>
      <c r="AV39" s="186" t="s">
        <v>1036</v>
      </c>
      <c r="AW39" s="78">
        <v>39</v>
      </c>
    </row>
    <row r="40" spans="1:49" s="208" customFormat="1" hidden="1">
      <c r="A40" s="208">
        <v>40</v>
      </c>
      <c r="B40" s="208" t="s">
        <v>342</v>
      </c>
      <c r="C40" s="515" t="s">
        <v>334</v>
      </c>
      <c r="D40" s="208" t="s">
        <v>918</v>
      </c>
      <c r="E40" s="78" t="s">
        <v>895</v>
      </c>
      <c r="F40" s="78" t="s">
        <v>901</v>
      </c>
      <c r="G40" s="78" t="s">
        <v>901</v>
      </c>
      <c r="H40" s="78" t="s">
        <v>918</v>
      </c>
      <c r="I40" s="78" t="s">
        <v>918</v>
      </c>
      <c r="J40" s="78" t="s">
        <v>918</v>
      </c>
      <c r="K40" s="78" t="s">
        <v>927</v>
      </c>
      <c r="L40" s="78" t="s">
        <v>918</v>
      </c>
      <c r="M40" s="78" t="s">
        <v>621</v>
      </c>
      <c r="N40" s="78" t="s">
        <v>895</v>
      </c>
      <c r="O40" s="187" t="s">
        <v>918</v>
      </c>
      <c r="P40" s="187" t="s">
        <v>895</v>
      </c>
      <c r="Q40" s="187" t="s">
        <v>997</v>
      </c>
      <c r="R40" s="187" t="s">
        <v>1025</v>
      </c>
      <c r="S40" s="78" t="s">
        <v>546</v>
      </c>
      <c r="T40" s="78" t="s">
        <v>1054</v>
      </c>
      <c r="U40" s="187" t="s">
        <v>1013</v>
      </c>
      <c r="W40" s="78">
        <v>-1</v>
      </c>
      <c r="X40" s="78" t="s">
        <v>2099</v>
      </c>
      <c r="Z40" s="208" t="s">
        <v>309</v>
      </c>
      <c r="AA40" s="208">
        <v>1</v>
      </c>
      <c r="AB40" s="187" t="s">
        <v>816</v>
      </c>
      <c r="AC40" s="78" t="s">
        <v>624</v>
      </c>
      <c r="AD40" s="78">
        <v>0</v>
      </c>
      <c r="AE40" s="78">
        <v>0</v>
      </c>
      <c r="AF40" s="78">
        <v>40</v>
      </c>
      <c r="AG40" s="78" t="s">
        <v>309</v>
      </c>
      <c r="AH40" s="78">
        <v>1</v>
      </c>
      <c r="AI40" s="78" t="s">
        <v>1012</v>
      </c>
      <c r="AJ40" s="78" t="s">
        <v>1062</v>
      </c>
      <c r="AM40" s="78">
        <v>3</v>
      </c>
      <c r="AU40" s="78">
        <v>40</v>
      </c>
      <c r="AV40" s="186" t="s">
        <v>158</v>
      </c>
      <c r="AW40" s="78">
        <v>40</v>
      </c>
    </row>
    <row r="41" spans="1:49" hidden="1">
      <c r="A41" s="78">
        <v>41</v>
      </c>
      <c r="B41" s="78" t="s">
        <v>342</v>
      </c>
      <c r="C41" s="515" t="s">
        <v>333</v>
      </c>
      <c r="D41" s="78" t="s">
        <v>927</v>
      </c>
      <c r="E41" s="78" t="s">
        <v>895</v>
      </c>
      <c r="F41" s="78" t="s">
        <v>901</v>
      </c>
      <c r="G41" s="78" t="s">
        <v>901</v>
      </c>
      <c r="H41" s="78" t="s">
        <v>927</v>
      </c>
      <c r="I41" s="78" t="s">
        <v>918</v>
      </c>
      <c r="J41" s="78" t="s">
        <v>918</v>
      </c>
      <c r="K41" s="78" t="s">
        <v>927</v>
      </c>
      <c r="L41" s="78" t="s">
        <v>918</v>
      </c>
      <c r="M41" s="78" t="s">
        <v>621</v>
      </c>
      <c r="N41" s="78" t="s">
        <v>895</v>
      </c>
      <c r="O41" s="187" t="s">
        <v>918</v>
      </c>
      <c r="P41" s="187" t="s">
        <v>895</v>
      </c>
      <c r="Q41" s="187" t="s">
        <v>997</v>
      </c>
      <c r="R41" s="187" t="s">
        <v>1025</v>
      </c>
      <c r="S41" s="78" t="s">
        <v>546</v>
      </c>
      <c r="T41" s="78" t="s">
        <v>1054</v>
      </c>
      <c r="U41" s="187" t="s">
        <v>1013</v>
      </c>
      <c r="W41" s="78">
        <v>-1</v>
      </c>
      <c r="X41" s="78" t="s">
        <v>2099</v>
      </c>
      <c r="Z41" s="208" t="s">
        <v>309</v>
      </c>
      <c r="AA41" s="78">
        <v>1</v>
      </c>
      <c r="AB41" s="187" t="s">
        <v>816</v>
      </c>
      <c r="AC41" s="78" t="s">
        <v>624</v>
      </c>
      <c r="AD41" s="78">
        <v>0</v>
      </c>
      <c r="AE41" s="78">
        <v>0</v>
      </c>
      <c r="AF41" s="78">
        <v>40</v>
      </c>
      <c r="AG41" s="78" t="s">
        <v>309</v>
      </c>
      <c r="AH41" s="78">
        <v>1</v>
      </c>
      <c r="AI41" s="78" t="s">
        <v>1012</v>
      </c>
      <c r="AJ41" s="78" t="s">
        <v>1062</v>
      </c>
      <c r="AM41" s="78">
        <v>3</v>
      </c>
      <c r="AU41" s="78">
        <v>41</v>
      </c>
      <c r="AV41" s="186" t="s">
        <v>277</v>
      </c>
      <c r="AW41" s="78">
        <v>41</v>
      </c>
    </row>
    <row r="42" spans="1:49" hidden="1">
      <c r="A42" s="78">
        <v>42</v>
      </c>
      <c r="B42" s="78" t="s">
        <v>342</v>
      </c>
      <c r="C42" s="515" t="s">
        <v>331</v>
      </c>
      <c r="D42" s="78" t="s">
        <v>927</v>
      </c>
      <c r="E42" s="78" t="s">
        <v>895</v>
      </c>
      <c r="F42" s="78" t="s">
        <v>901</v>
      </c>
      <c r="G42" s="78" t="s">
        <v>901</v>
      </c>
      <c r="H42" s="78" t="s">
        <v>927</v>
      </c>
      <c r="I42" s="78" t="s">
        <v>918</v>
      </c>
      <c r="J42" s="78" t="s">
        <v>927</v>
      </c>
      <c r="K42" s="78" t="s">
        <v>878</v>
      </c>
      <c r="L42" s="78" t="s">
        <v>918</v>
      </c>
      <c r="M42" s="78" t="s">
        <v>621</v>
      </c>
      <c r="N42" s="78" t="s">
        <v>895</v>
      </c>
      <c r="O42" s="187" t="s">
        <v>918</v>
      </c>
      <c r="P42" s="187" t="s">
        <v>895</v>
      </c>
      <c r="Q42" s="187" t="s">
        <v>997</v>
      </c>
      <c r="R42" s="187" t="s">
        <v>1025</v>
      </c>
      <c r="S42" s="78" t="s">
        <v>546</v>
      </c>
      <c r="T42" s="78" t="s">
        <v>1054</v>
      </c>
      <c r="U42" s="187" t="s">
        <v>1013</v>
      </c>
      <c r="W42" s="78">
        <v>-1</v>
      </c>
      <c r="X42" s="78" t="s">
        <v>2099</v>
      </c>
      <c r="Z42" s="208" t="s">
        <v>309</v>
      </c>
      <c r="AA42" s="208">
        <v>1</v>
      </c>
      <c r="AB42" s="187" t="s">
        <v>816</v>
      </c>
      <c r="AC42" s="78" t="s">
        <v>624</v>
      </c>
      <c r="AD42" s="78">
        <v>0</v>
      </c>
      <c r="AE42" s="78">
        <v>0</v>
      </c>
      <c r="AF42" s="78">
        <v>40</v>
      </c>
      <c r="AG42" s="78" t="s">
        <v>309</v>
      </c>
      <c r="AH42" s="78">
        <v>1</v>
      </c>
      <c r="AI42" s="78" t="s">
        <v>1012</v>
      </c>
      <c r="AJ42" s="78" t="s">
        <v>1062</v>
      </c>
      <c r="AM42" s="78">
        <v>3</v>
      </c>
      <c r="AU42" s="78">
        <v>42</v>
      </c>
      <c r="AV42" s="78" t="s">
        <v>264</v>
      </c>
      <c r="AW42" s="78">
        <v>42</v>
      </c>
    </row>
    <row r="43" spans="1:49" ht="10.8" hidden="1" thickBot="1">
      <c r="A43" s="78">
        <v>43</v>
      </c>
      <c r="B43" s="78" t="s">
        <v>342</v>
      </c>
      <c r="C43" s="516" t="s">
        <v>330</v>
      </c>
      <c r="D43" s="78" t="s">
        <v>927</v>
      </c>
      <c r="E43" s="78" t="s">
        <v>895</v>
      </c>
      <c r="F43" s="78" t="s">
        <v>901</v>
      </c>
      <c r="G43" s="78" t="s">
        <v>901</v>
      </c>
      <c r="H43" s="78" t="s">
        <v>927</v>
      </c>
      <c r="I43" s="78" t="s">
        <v>918</v>
      </c>
      <c r="J43" s="78" t="s">
        <v>927</v>
      </c>
      <c r="K43" s="78" t="s">
        <v>878</v>
      </c>
      <c r="L43" s="78" t="s">
        <v>918</v>
      </c>
      <c r="M43" s="78" t="s">
        <v>621</v>
      </c>
      <c r="N43" s="78" t="s">
        <v>895</v>
      </c>
      <c r="O43" s="187" t="s">
        <v>918</v>
      </c>
      <c r="P43" s="187" t="s">
        <v>895</v>
      </c>
      <c r="Q43" s="187" t="s">
        <v>310</v>
      </c>
      <c r="R43" s="187" t="s">
        <v>970</v>
      </c>
      <c r="S43" s="78" t="s">
        <v>546</v>
      </c>
      <c r="T43" s="78" t="s">
        <v>1054</v>
      </c>
      <c r="U43" s="187" t="s">
        <v>1013</v>
      </c>
      <c r="W43" s="78">
        <v>-1</v>
      </c>
      <c r="X43" s="78" t="s">
        <v>2099</v>
      </c>
      <c r="Z43" s="208" t="s">
        <v>309</v>
      </c>
      <c r="AA43" s="78">
        <v>1</v>
      </c>
      <c r="AB43" s="187" t="s">
        <v>816</v>
      </c>
      <c r="AC43" s="78" t="s">
        <v>624</v>
      </c>
      <c r="AD43" s="78">
        <v>0</v>
      </c>
      <c r="AE43" s="78">
        <v>0</v>
      </c>
      <c r="AF43" s="78">
        <v>40</v>
      </c>
      <c r="AG43" s="78" t="s">
        <v>309</v>
      </c>
      <c r="AH43" s="78">
        <v>1</v>
      </c>
      <c r="AI43" s="78" t="s">
        <v>1012</v>
      </c>
      <c r="AJ43" s="78" t="s">
        <v>1062</v>
      </c>
      <c r="AM43" s="78">
        <v>3</v>
      </c>
      <c r="AU43" s="78">
        <v>43</v>
      </c>
      <c r="AV43" s="186" t="s">
        <v>1039</v>
      </c>
      <c r="AW43" s="78">
        <v>43</v>
      </c>
    </row>
    <row r="44" spans="1:49" hidden="1">
      <c r="A44" s="78">
        <v>44</v>
      </c>
      <c r="B44" s="78" t="s">
        <v>342</v>
      </c>
      <c r="C44" s="106" t="s">
        <v>2100</v>
      </c>
      <c r="D44" s="78" t="s">
        <v>927</v>
      </c>
      <c r="E44" s="78" t="s">
        <v>895</v>
      </c>
      <c r="F44" s="78" t="s">
        <v>901</v>
      </c>
      <c r="G44" s="78" t="s">
        <v>901</v>
      </c>
      <c r="H44" s="78" t="s">
        <v>927</v>
      </c>
      <c r="I44" s="78" t="s">
        <v>918</v>
      </c>
      <c r="J44" s="78" t="s">
        <v>927</v>
      </c>
      <c r="K44" s="78" t="s">
        <v>878</v>
      </c>
      <c r="L44" s="78" t="s">
        <v>918</v>
      </c>
      <c r="M44" s="78" t="s">
        <v>621</v>
      </c>
      <c r="N44" s="78" t="s">
        <v>895</v>
      </c>
      <c r="O44" s="187" t="s">
        <v>927</v>
      </c>
      <c r="P44" s="187" t="s">
        <v>895</v>
      </c>
      <c r="Q44" s="187" t="s">
        <v>310</v>
      </c>
      <c r="R44" s="187" t="s">
        <v>970</v>
      </c>
      <c r="S44" s="78" t="s">
        <v>546</v>
      </c>
      <c r="T44" s="78" t="s">
        <v>1054</v>
      </c>
      <c r="U44" s="187" t="s">
        <v>1013</v>
      </c>
      <c r="W44" s="78">
        <v>-1</v>
      </c>
      <c r="X44" s="78" t="s">
        <v>2099</v>
      </c>
      <c r="Z44" s="208" t="s">
        <v>309</v>
      </c>
      <c r="AA44" s="208">
        <v>1</v>
      </c>
      <c r="AB44" s="187" t="s">
        <v>816</v>
      </c>
      <c r="AC44" s="78" t="s">
        <v>624</v>
      </c>
      <c r="AD44" s="78">
        <v>0</v>
      </c>
      <c r="AE44" s="78">
        <v>0</v>
      </c>
      <c r="AF44" s="78">
        <v>40</v>
      </c>
      <c r="AG44" s="78" t="s">
        <v>309</v>
      </c>
      <c r="AH44" s="78">
        <v>1</v>
      </c>
      <c r="AI44" s="78" t="s">
        <v>1012</v>
      </c>
      <c r="AJ44" s="78" t="s">
        <v>1062</v>
      </c>
      <c r="AM44" s="78">
        <v>3</v>
      </c>
      <c r="AU44" s="78">
        <v>44</v>
      </c>
      <c r="AV44" s="186" t="s">
        <v>1021</v>
      </c>
      <c r="AW44" s="78">
        <v>44</v>
      </c>
    </row>
    <row r="45" spans="1:49" hidden="1">
      <c r="A45" s="78">
        <v>45</v>
      </c>
      <c r="B45" s="78" t="s">
        <v>342</v>
      </c>
      <c r="D45" s="78" t="s">
        <v>927</v>
      </c>
      <c r="E45" s="78" t="s">
        <v>895</v>
      </c>
      <c r="F45" s="78" t="s">
        <v>901</v>
      </c>
      <c r="G45" s="78" t="s">
        <v>895</v>
      </c>
      <c r="H45" s="78" t="s">
        <v>927</v>
      </c>
      <c r="I45" s="78" t="s">
        <v>918</v>
      </c>
      <c r="J45" s="78" t="s">
        <v>927</v>
      </c>
      <c r="K45" s="78" t="s">
        <v>878</v>
      </c>
      <c r="L45" s="78" t="s">
        <v>918</v>
      </c>
      <c r="M45" s="78" t="s">
        <v>621</v>
      </c>
      <c r="N45" s="78" t="s">
        <v>895</v>
      </c>
      <c r="O45" s="187" t="s">
        <v>927</v>
      </c>
      <c r="P45" s="187" t="s">
        <v>895</v>
      </c>
      <c r="Q45" s="187" t="s">
        <v>310</v>
      </c>
      <c r="R45" s="187" t="s">
        <v>970</v>
      </c>
      <c r="S45" s="78" t="s">
        <v>908</v>
      </c>
      <c r="T45" s="78" t="s">
        <v>920</v>
      </c>
      <c r="U45" s="187" t="s">
        <v>994</v>
      </c>
      <c r="W45" s="78">
        <v>-1</v>
      </c>
      <c r="X45" s="78" t="s">
        <v>2099</v>
      </c>
      <c r="Z45" s="208" t="s">
        <v>309</v>
      </c>
      <c r="AA45" s="78">
        <v>1</v>
      </c>
      <c r="AB45" s="187" t="s">
        <v>816</v>
      </c>
      <c r="AC45" s="78" t="s">
        <v>624</v>
      </c>
      <c r="AD45" s="78">
        <v>0</v>
      </c>
      <c r="AE45" s="78">
        <v>0</v>
      </c>
      <c r="AF45" s="78">
        <v>40</v>
      </c>
      <c r="AG45" s="78" t="s">
        <v>309</v>
      </c>
      <c r="AH45" s="78">
        <v>1</v>
      </c>
      <c r="AI45" s="78" t="s">
        <v>1012</v>
      </c>
      <c r="AJ45" s="78" t="s">
        <v>1062</v>
      </c>
      <c r="AM45" s="78">
        <v>3</v>
      </c>
      <c r="AU45" s="78">
        <v>45</v>
      </c>
      <c r="AV45" s="186" t="s">
        <v>1054</v>
      </c>
      <c r="AW45" s="78">
        <v>45</v>
      </c>
    </row>
    <row r="46" spans="1:49" hidden="1">
      <c r="A46" s="78">
        <v>46</v>
      </c>
      <c r="B46" s="78" t="s">
        <v>342</v>
      </c>
      <c r="D46" s="78" t="s">
        <v>927</v>
      </c>
      <c r="E46" s="78" t="s">
        <v>918</v>
      </c>
      <c r="F46" s="78" t="s">
        <v>895</v>
      </c>
      <c r="G46" s="78" t="s">
        <v>895</v>
      </c>
      <c r="H46" s="78" t="s">
        <v>927</v>
      </c>
      <c r="I46" s="78" t="s">
        <v>927</v>
      </c>
      <c r="J46" s="78" t="s">
        <v>878</v>
      </c>
      <c r="K46" s="78" t="s">
        <v>878</v>
      </c>
      <c r="L46" s="78" t="s">
        <v>918</v>
      </c>
      <c r="M46" s="78" t="s">
        <v>621</v>
      </c>
      <c r="N46" s="78" t="s">
        <v>895</v>
      </c>
      <c r="O46" s="187" t="s">
        <v>927</v>
      </c>
      <c r="P46" s="187" t="s">
        <v>895</v>
      </c>
      <c r="Q46" s="187" t="s">
        <v>310</v>
      </c>
      <c r="R46" s="187" t="s">
        <v>970</v>
      </c>
      <c r="S46" s="78" t="s">
        <v>908</v>
      </c>
      <c r="T46" s="78" t="s">
        <v>920</v>
      </c>
      <c r="U46" s="187" t="s">
        <v>994</v>
      </c>
      <c r="W46" s="78">
        <v>-1</v>
      </c>
      <c r="X46" s="78" t="s">
        <v>2099</v>
      </c>
      <c r="Z46" s="208" t="s">
        <v>309</v>
      </c>
      <c r="AA46" s="208">
        <v>1</v>
      </c>
      <c r="AB46" s="187" t="s">
        <v>816</v>
      </c>
      <c r="AC46" s="78" t="s">
        <v>624</v>
      </c>
      <c r="AD46" s="78">
        <v>0</v>
      </c>
      <c r="AE46" s="78">
        <v>0</v>
      </c>
      <c r="AF46" s="78">
        <v>40</v>
      </c>
      <c r="AG46" s="78" t="s">
        <v>309</v>
      </c>
      <c r="AH46" s="78">
        <v>1</v>
      </c>
      <c r="AI46" s="78" t="s">
        <v>1012</v>
      </c>
      <c r="AJ46" s="78" t="s">
        <v>1062</v>
      </c>
      <c r="AM46" s="78">
        <v>3</v>
      </c>
      <c r="AU46" s="78">
        <v>46</v>
      </c>
      <c r="AV46" s="186" t="s">
        <v>920</v>
      </c>
      <c r="AW46" s="78">
        <v>46</v>
      </c>
    </row>
    <row r="47" spans="1:49" hidden="1">
      <c r="A47" s="78">
        <v>47</v>
      </c>
      <c r="B47" s="78" t="s">
        <v>342</v>
      </c>
      <c r="D47" s="78" t="s">
        <v>927</v>
      </c>
      <c r="E47" s="78" t="s">
        <v>918</v>
      </c>
      <c r="F47" s="78" t="s">
        <v>895</v>
      </c>
      <c r="G47" s="78" t="s">
        <v>895</v>
      </c>
      <c r="H47" s="78" t="s">
        <v>927</v>
      </c>
      <c r="I47" s="78" t="s">
        <v>927</v>
      </c>
      <c r="J47" s="78" t="s">
        <v>878</v>
      </c>
      <c r="K47" s="78" t="s">
        <v>878</v>
      </c>
      <c r="L47" s="78" t="s">
        <v>918</v>
      </c>
      <c r="M47" s="78" t="s">
        <v>621</v>
      </c>
      <c r="N47" s="78" t="s">
        <v>895</v>
      </c>
      <c r="O47" s="187" t="s">
        <v>927</v>
      </c>
      <c r="P47" s="187" t="s">
        <v>895</v>
      </c>
      <c r="Q47" s="187" t="s">
        <v>2476</v>
      </c>
      <c r="R47" s="187" t="s">
        <v>1001</v>
      </c>
      <c r="S47" s="78" t="s">
        <v>908</v>
      </c>
      <c r="T47" s="78" t="s">
        <v>920</v>
      </c>
      <c r="U47" s="187" t="s">
        <v>994</v>
      </c>
      <c r="W47" s="78">
        <v>-1</v>
      </c>
      <c r="X47" s="78" t="s">
        <v>2099</v>
      </c>
      <c r="Z47" s="208" t="s">
        <v>309</v>
      </c>
      <c r="AA47" s="78">
        <v>1</v>
      </c>
      <c r="AB47" s="187" t="s">
        <v>816</v>
      </c>
      <c r="AC47" s="78" t="s">
        <v>624</v>
      </c>
      <c r="AD47" s="78">
        <v>0</v>
      </c>
      <c r="AE47" s="78">
        <v>0</v>
      </c>
      <c r="AF47" s="78">
        <v>40</v>
      </c>
      <c r="AG47" s="78" t="s">
        <v>309</v>
      </c>
      <c r="AH47" s="78">
        <v>1</v>
      </c>
      <c r="AI47" s="78" t="s">
        <v>1012</v>
      </c>
      <c r="AJ47" s="78" t="s">
        <v>1062</v>
      </c>
      <c r="AM47" s="78">
        <v>3</v>
      </c>
      <c r="AU47" s="78">
        <v>47</v>
      </c>
      <c r="AV47" s="186" t="s">
        <v>986</v>
      </c>
      <c r="AW47" s="78">
        <v>47</v>
      </c>
    </row>
    <row r="48" spans="1:49" hidden="1">
      <c r="A48" s="78">
        <v>48</v>
      </c>
      <c r="B48" s="78" t="s">
        <v>342</v>
      </c>
      <c r="D48" s="78" t="s">
        <v>927</v>
      </c>
      <c r="E48" s="78" t="s">
        <v>918</v>
      </c>
      <c r="F48" s="78" t="s">
        <v>895</v>
      </c>
      <c r="G48" s="78" t="s">
        <v>895</v>
      </c>
      <c r="H48" s="78" t="s">
        <v>927</v>
      </c>
      <c r="I48" s="78" t="s">
        <v>927</v>
      </c>
      <c r="J48" s="78" t="s">
        <v>878</v>
      </c>
      <c r="K48" s="78" t="s">
        <v>878</v>
      </c>
      <c r="L48" s="78" t="s">
        <v>918</v>
      </c>
      <c r="M48" s="78" t="s">
        <v>621</v>
      </c>
      <c r="N48" s="78" t="s">
        <v>895</v>
      </c>
      <c r="O48" s="187" t="s">
        <v>927</v>
      </c>
      <c r="P48" s="187" t="s">
        <v>895</v>
      </c>
      <c r="Q48" s="187" t="s">
        <v>2476</v>
      </c>
      <c r="R48" s="187" t="s">
        <v>1001</v>
      </c>
      <c r="S48" s="78" t="s">
        <v>908</v>
      </c>
      <c r="T48" s="78" t="s">
        <v>920</v>
      </c>
      <c r="U48" s="187" t="s">
        <v>994</v>
      </c>
      <c r="W48" s="78">
        <v>-1</v>
      </c>
      <c r="X48" s="78" t="s">
        <v>922</v>
      </c>
      <c r="Z48" s="208" t="s">
        <v>309</v>
      </c>
      <c r="AA48" s="208">
        <v>1</v>
      </c>
      <c r="AB48" s="187" t="s">
        <v>816</v>
      </c>
      <c r="AC48" s="78" t="s">
        <v>624</v>
      </c>
      <c r="AD48" s="78">
        <v>0</v>
      </c>
      <c r="AE48" s="78">
        <v>0</v>
      </c>
      <c r="AF48" s="78">
        <v>40</v>
      </c>
      <c r="AG48" s="78" t="s">
        <v>309</v>
      </c>
      <c r="AH48" s="78">
        <v>1</v>
      </c>
      <c r="AI48" s="78" t="s">
        <v>1012</v>
      </c>
      <c r="AJ48" s="78" t="s">
        <v>1062</v>
      </c>
      <c r="AM48" s="78">
        <v>3</v>
      </c>
      <c r="AU48" s="78">
        <v>48</v>
      </c>
      <c r="AV48" s="186" t="s">
        <v>1042</v>
      </c>
      <c r="AW48" s="78">
        <v>48</v>
      </c>
    </row>
    <row r="49" spans="1:49" hidden="1">
      <c r="A49" s="78">
        <v>49</v>
      </c>
      <c r="B49" s="78" t="s">
        <v>342</v>
      </c>
      <c r="D49" s="78" t="s">
        <v>927</v>
      </c>
      <c r="E49" s="78" t="s">
        <v>918</v>
      </c>
      <c r="F49" s="78" t="s">
        <v>895</v>
      </c>
      <c r="G49" s="78" t="s">
        <v>895</v>
      </c>
      <c r="H49" s="78" t="s">
        <v>927</v>
      </c>
      <c r="I49" s="78" t="s">
        <v>927</v>
      </c>
      <c r="J49" s="78" t="s">
        <v>878</v>
      </c>
      <c r="K49" s="78" t="s">
        <v>878</v>
      </c>
      <c r="L49" s="78" t="s">
        <v>927</v>
      </c>
      <c r="M49" s="78" t="s">
        <v>621</v>
      </c>
      <c r="N49" s="78" t="s">
        <v>895</v>
      </c>
      <c r="O49" s="187" t="s">
        <v>927</v>
      </c>
      <c r="P49" s="187" t="s">
        <v>895</v>
      </c>
      <c r="Q49" s="187" t="s">
        <v>320</v>
      </c>
      <c r="R49" s="187" t="s">
        <v>2490</v>
      </c>
      <c r="S49" s="78" t="s">
        <v>908</v>
      </c>
      <c r="T49" s="78" t="s">
        <v>920</v>
      </c>
      <c r="U49" s="187" t="s">
        <v>994</v>
      </c>
      <c r="W49" s="78">
        <v>-1</v>
      </c>
      <c r="X49" s="78" t="s">
        <v>922</v>
      </c>
      <c r="Z49" s="208" t="s">
        <v>309</v>
      </c>
      <c r="AA49" s="78">
        <v>1</v>
      </c>
      <c r="AB49" s="187" t="s">
        <v>816</v>
      </c>
      <c r="AC49" s="78" t="s">
        <v>624</v>
      </c>
      <c r="AD49" s="78">
        <v>0</v>
      </c>
      <c r="AE49" s="78">
        <v>0</v>
      </c>
      <c r="AF49" s="78">
        <v>40</v>
      </c>
      <c r="AG49" s="78" t="s">
        <v>309</v>
      </c>
      <c r="AH49" s="78">
        <v>1</v>
      </c>
      <c r="AI49" s="78" t="s">
        <v>1012</v>
      </c>
      <c r="AJ49" s="78" t="s">
        <v>962</v>
      </c>
      <c r="AM49" s="78">
        <v>3</v>
      </c>
      <c r="AU49" s="78">
        <v>49</v>
      </c>
      <c r="AV49" s="186" t="s">
        <v>34</v>
      </c>
      <c r="AW49" s="78">
        <v>49</v>
      </c>
    </row>
    <row r="50" spans="1:49" s="208" customFormat="1" hidden="1">
      <c r="A50" s="208">
        <v>50</v>
      </c>
      <c r="B50" s="208" t="s">
        <v>342</v>
      </c>
      <c r="D50" s="208" t="s">
        <v>927</v>
      </c>
      <c r="E50" s="78" t="s">
        <v>918</v>
      </c>
      <c r="F50" s="78" t="s">
        <v>895</v>
      </c>
      <c r="G50" s="78" t="s">
        <v>895</v>
      </c>
      <c r="H50" s="78" t="s">
        <v>927</v>
      </c>
      <c r="I50" s="78" t="s">
        <v>927</v>
      </c>
      <c r="J50" s="78" t="s">
        <v>878</v>
      </c>
      <c r="K50" s="78" t="s">
        <v>878</v>
      </c>
      <c r="L50" s="78" t="s">
        <v>927</v>
      </c>
      <c r="M50" s="78" t="s">
        <v>621</v>
      </c>
      <c r="N50" s="78" t="s">
        <v>895</v>
      </c>
      <c r="O50" s="187" t="s">
        <v>927</v>
      </c>
      <c r="P50" s="187" t="s">
        <v>895</v>
      </c>
      <c r="Q50" s="187" t="s">
        <v>320</v>
      </c>
      <c r="R50" s="187" t="s">
        <v>2490</v>
      </c>
      <c r="S50" s="78" t="s">
        <v>908</v>
      </c>
      <c r="T50" s="78" t="s">
        <v>920</v>
      </c>
      <c r="U50" s="187" t="s">
        <v>994</v>
      </c>
      <c r="W50" s="78">
        <v>-1</v>
      </c>
      <c r="X50" s="78" t="s">
        <v>922</v>
      </c>
      <c r="Z50" s="208" t="s">
        <v>309</v>
      </c>
      <c r="AA50" s="208">
        <v>1</v>
      </c>
      <c r="AB50" s="187" t="s">
        <v>816</v>
      </c>
      <c r="AC50" s="78" t="s">
        <v>624</v>
      </c>
      <c r="AD50" s="78">
        <v>0</v>
      </c>
      <c r="AE50" s="78">
        <v>0</v>
      </c>
      <c r="AF50" s="78">
        <v>40</v>
      </c>
      <c r="AG50" s="78" t="s">
        <v>309</v>
      </c>
      <c r="AH50" s="78">
        <v>1</v>
      </c>
      <c r="AI50" s="78" t="s">
        <v>1012</v>
      </c>
      <c r="AJ50" s="78" t="s">
        <v>962</v>
      </c>
      <c r="AM50" s="78">
        <v>3</v>
      </c>
      <c r="AU50" s="78">
        <v>50</v>
      </c>
      <c r="AV50" s="186" t="s">
        <v>1008</v>
      </c>
      <c r="AW50" s="78">
        <v>50</v>
      </c>
    </row>
    <row r="51" spans="1:49" hidden="1">
      <c r="A51" s="78">
        <v>51</v>
      </c>
      <c r="B51" s="78" t="s">
        <v>342</v>
      </c>
      <c r="D51" s="78" t="s">
        <v>927</v>
      </c>
      <c r="E51" s="78" t="s">
        <v>918</v>
      </c>
      <c r="F51" s="78" t="s">
        <v>895</v>
      </c>
      <c r="G51" s="78" t="s">
        <v>895</v>
      </c>
      <c r="H51" s="78" t="s">
        <v>927</v>
      </c>
      <c r="I51" s="78" t="s">
        <v>878</v>
      </c>
      <c r="J51" s="78" t="s">
        <v>878</v>
      </c>
      <c r="K51" s="78" t="s">
        <v>878</v>
      </c>
      <c r="L51" s="78" t="s">
        <v>927</v>
      </c>
      <c r="M51" s="78" t="s">
        <v>621</v>
      </c>
      <c r="N51" s="78" t="s">
        <v>895</v>
      </c>
      <c r="O51" s="187" t="s">
        <v>927</v>
      </c>
      <c r="P51" s="187" t="s">
        <v>895</v>
      </c>
      <c r="Q51" s="187" t="s">
        <v>320</v>
      </c>
      <c r="R51" s="187" t="s">
        <v>2490</v>
      </c>
      <c r="S51" s="78" t="s">
        <v>908</v>
      </c>
      <c r="T51" s="78" t="s">
        <v>920</v>
      </c>
      <c r="U51" s="187" t="s">
        <v>994</v>
      </c>
      <c r="W51" s="78">
        <v>-1</v>
      </c>
      <c r="X51" s="78" t="s">
        <v>2101</v>
      </c>
      <c r="Z51" s="208" t="s">
        <v>309</v>
      </c>
      <c r="AA51" s="78">
        <v>1</v>
      </c>
      <c r="AB51" s="187" t="s">
        <v>816</v>
      </c>
      <c r="AC51" s="78" t="s">
        <v>1074</v>
      </c>
      <c r="AD51" s="78">
        <v>1</v>
      </c>
      <c r="AE51" s="78">
        <v>5</v>
      </c>
      <c r="AF51" s="78">
        <v>20</v>
      </c>
      <c r="AG51" s="78" t="s">
        <v>309</v>
      </c>
      <c r="AH51" s="78">
        <v>1</v>
      </c>
      <c r="AI51" s="78" t="s">
        <v>1012</v>
      </c>
      <c r="AJ51" s="78" t="s">
        <v>962</v>
      </c>
      <c r="AM51" s="78">
        <v>3</v>
      </c>
      <c r="AU51" s="78">
        <v>51</v>
      </c>
      <c r="AV51" s="186" t="s">
        <v>1026</v>
      </c>
      <c r="AW51" s="78">
        <v>51</v>
      </c>
    </row>
    <row r="52" spans="1:49" hidden="1">
      <c r="A52" s="78">
        <v>52</v>
      </c>
      <c r="B52" s="78" t="s">
        <v>342</v>
      </c>
      <c r="D52" s="78" t="s">
        <v>927</v>
      </c>
      <c r="E52" s="78" t="s">
        <v>918</v>
      </c>
      <c r="F52" s="78" t="s">
        <v>895</v>
      </c>
      <c r="G52" s="78" t="s">
        <v>895</v>
      </c>
      <c r="H52" s="78" t="s">
        <v>927</v>
      </c>
      <c r="I52" s="78" t="s">
        <v>878</v>
      </c>
      <c r="J52" s="78" t="s">
        <v>878</v>
      </c>
      <c r="K52" s="78" t="s">
        <v>878</v>
      </c>
      <c r="L52" s="78" t="s">
        <v>927</v>
      </c>
      <c r="M52" s="78" t="s">
        <v>621</v>
      </c>
      <c r="N52" s="78" t="s">
        <v>895</v>
      </c>
      <c r="O52" s="187" t="s">
        <v>927</v>
      </c>
      <c r="P52" s="187" t="s">
        <v>895</v>
      </c>
      <c r="Q52" s="187" t="s">
        <v>320</v>
      </c>
      <c r="R52" s="187" t="s">
        <v>2490</v>
      </c>
      <c r="S52" s="78" t="s">
        <v>908</v>
      </c>
      <c r="T52" s="78" t="s">
        <v>920</v>
      </c>
      <c r="U52" s="187" t="s">
        <v>994</v>
      </c>
      <c r="W52" s="78">
        <v>-1</v>
      </c>
      <c r="X52" s="78" t="s">
        <v>2101</v>
      </c>
      <c r="Z52" s="208" t="s">
        <v>309</v>
      </c>
      <c r="AA52" s="208">
        <v>1</v>
      </c>
      <c r="AB52" s="187" t="s">
        <v>816</v>
      </c>
      <c r="AC52" s="78" t="s">
        <v>1074</v>
      </c>
      <c r="AD52" s="78">
        <v>1</v>
      </c>
      <c r="AE52" s="78">
        <v>5</v>
      </c>
      <c r="AF52" s="78">
        <v>20</v>
      </c>
      <c r="AG52" s="78" t="s">
        <v>309</v>
      </c>
      <c r="AH52" s="78">
        <v>1</v>
      </c>
      <c r="AI52" s="78" t="s">
        <v>1012</v>
      </c>
      <c r="AJ52" s="78" t="s">
        <v>962</v>
      </c>
      <c r="AM52" s="78">
        <v>3</v>
      </c>
      <c r="AU52" s="78">
        <v>52</v>
      </c>
      <c r="AV52" s="78" t="s">
        <v>38</v>
      </c>
      <c r="AW52" s="78">
        <v>52</v>
      </c>
    </row>
    <row r="53" spans="1:49" hidden="1">
      <c r="A53" s="78">
        <v>53</v>
      </c>
      <c r="B53" s="78" t="s">
        <v>342</v>
      </c>
      <c r="D53" s="78" t="s">
        <v>927</v>
      </c>
      <c r="E53" s="78" t="s">
        <v>918</v>
      </c>
      <c r="F53" s="78" t="s">
        <v>895</v>
      </c>
      <c r="G53" s="78" t="s">
        <v>918</v>
      </c>
      <c r="H53" s="78" t="s">
        <v>927</v>
      </c>
      <c r="I53" s="78" t="s">
        <v>878</v>
      </c>
      <c r="J53" s="78" t="s">
        <v>878</v>
      </c>
      <c r="K53" s="78" t="s">
        <v>878</v>
      </c>
      <c r="L53" s="78" t="s">
        <v>927</v>
      </c>
      <c r="M53" s="78" t="s">
        <v>621</v>
      </c>
      <c r="N53" s="78" t="s">
        <v>895</v>
      </c>
      <c r="O53" s="187" t="s">
        <v>927</v>
      </c>
      <c r="P53" s="187" t="s">
        <v>895</v>
      </c>
      <c r="Q53" s="187" t="s">
        <v>320</v>
      </c>
      <c r="R53" s="187" t="s">
        <v>2490</v>
      </c>
      <c r="S53" s="78" t="s">
        <v>908</v>
      </c>
      <c r="T53" s="78" t="s">
        <v>920</v>
      </c>
      <c r="U53" s="187" t="s">
        <v>994</v>
      </c>
      <c r="W53" s="78">
        <v>-1</v>
      </c>
      <c r="X53" s="78" t="s">
        <v>2101</v>
      </c>
      <c r="Z53" s="208" t="s">
        <v>309</v>
      </c>
      <c r="AA53" s="78">
        <v>1</v>
      </c>
      <c r="AB53" s="187" t="s">
        <v>816</v>
      </c>
      <c r="AC53" s="78" t="s">
        <v>1074</v>
      </c>
      <c r="AD53" s="78">
        <v>1</v>
      </c>
      <c r="AE53" s="78">
        <v>5</v>
      </c>
      <c r="AF53" s="78">
        <v>20</v>
      </c>
      <c r="AG53" s="78" t="s">
        <v>309</v>
      </c>
      <c r="AH53" s="78">
        <v>1</v>
      </c>
      <c r="AI53" s="78" t="s">
        <v>1012</v>
      </c>
      <c r="AJ53" s="78" t="s">
        <v>962</v>
      </c>
      <c r="AM53" s="78">
        <v>3</v>
      </c>
      <c r="AU53" s="78">
        <v>53</v>
      </c>
      <c r="AV53" s="186" t="s">
        <v>25</v>
      </c>
      <c r="AW53" s="78">
        <v>53</v>
      </c>
    </row>
    <row r="54" spans="1:49" hidden="1">
      <c r="A54" s="78">
        <v>54</v>
      </c>
      <c r="B54" s="78" t="s">
        <v>342</v>
      </c>
      <c r="D54" s="78" t="s">
        <v>927</v>
      </c>
      <c r="E54" s="78" t="s">
        <v>927</v>
      </c>
      <c r="F54" s="78" t="s">
        <v>895</v>
      </c>
      <c r="G54" s="78" t="s">
        <v>918</v>
      </c>
      <c r="H54" s="78" t="s">
        <v>927</v>
      </c>
      <c r="I54" s="78" t="s">
        <v>878</v>
      </c>
      <c r="J54" s="78" t="s">
        <v>878</v>
      </c>
      <c r="K54" s="78" t="s">
        <v>878</v>
      </c>
      <c r="L54" s="78" t="s">
        <v>927</v>
      </c>
      <c r="M54" s="78" t="s">
        <v>621</v>
      </c>
      <c r="N54" s="78" t="s">
        <v>895</v>
      </c>
      <c r="O54" s="187" t="s">
        <v>927</v>
      </c>
      <c r="P54" s="187" t="s">
        <v>895</v>
      </c>
      <c r="Q54" s="187" t="s">
        <v>320</v>
      </c>
      <c r="R54" s="187" t="s">
        <v>2490</v>
      </c>
      <c r="S54" s="78" t="s">
        <v>949</v>
      </c>
      <c r="T54" s="78" t="s">
        <v>986</v>
      </c>
      <c r="U54" s="187" t="s">
        <v>2513</v>
      </c>
      <c r="W54" s="78">
        <v>-1</v>
      </c>
      <c r="X54" s="78" t="s">
        <v>2101</v>
      </c>
      <c r="Z54" s="208" t="s">
        <v>309</v>
      </c>
      <c r="AA54" s="208">
        <v>1</v>
      </c>
      <c r="AB54" s="187" t="s">
        <v>816</v>
      </c>
      <c r="AC54" s="78" t="s">
        <v>1074</v>
      </c>
      <c r="AD54" s="78">
        <v>1</v>
      </c>
      <c r="AE54" s="78">
        <v>5</v>
      </c>
      <c r="AF54" s="78">
        <v>20</v>
      </c>
      <c r="AG54" s="78" t="s">
        <v>309</v>
      </c>
      <c r="AH54" s="78">
        <v>1</v>
      </c>
      <c r="AI54" s="78" t="s">
        <v>1012</v>
      </c>
      <c r="AJ54" s="78" t="s">
        <v>962</v>
      </c>
      <c r="AM54" s="78">
        <v>3</v>
      </c>
      <c r="AU54" s="78">
        <v>54</v>
      </c>
      <c r="AV54" s="186" t="s">
        <v>1047</v>
      </c>
      <c r="AW54" s="78">
        <v>54</v>
      </c>
    </row>
    <row r="55" spans="1:49" hidden="1">
      <c r="A55" s="78">
        <v>55</v>
      </c>
      <c r="B55" s="78" t="s">
        <v>342</v>
      </c>
      <c r="D55" s="78" t="s">
        <v>927</v>
      </c>
      <c r="E55" s="78" t="s">
        <v>927</v>
      </c>
      <c r="F55" s="78" t="s">
        <v>895</v>
      </c>
      <c r="G55" s="78" t="s">
        <v>918</v>
      </c>
      <c r="H55" s="78" t="s">
        <v>927</v>
      </c>
      <c r="I55" s="78" t="s">
        <v>878</v>
      </c>
      <c r="J55" s="78" t="s">
        <v>878</v>
      </c>
      <c r="K55" s="78" t="s">
        <v>878</v>
      </c>
      <c r="L55" s="78" t="s">
        <v>927</v>
      </c>
      <c r="M55" s="78" t="s">
        <v>621</v>
      </c>
      <c r="N55" s="78" t="s">
        <v>895</v>
      </c>
      <c r="O55" s="187" t="s">
        <v>927</v>
      </c>
      <c r="P55" s="187" t="s">
        <v>918</v>
      </c>
      <c r="Q55" s="187" t="s">
        <v>320</v>
      </c>
      <c r="R55" s="187" t="s">
        <v>2490</v>
      </c>
      <c r="S55" s="78" t="s">
        <v>949</v>
      </c>
      <c r="T55" s="78" t="s">
        <v>986</v>
      </c>
      <c r="U55" s="187" t="s">
        <v>2513</v>
      </c>
      <c r="W55" s="78">
        <v>-1</v>
      </c>
      <c r="X55" s="78" t="s">
        <v>2101</v>
      </c>
      <c r="Z55" s="208" t="s">
        <v>309</v>
      </c>
      <c r="AA55" s="78">
        <v>1</v>
      </c>
      <c r="AB55" s="187" t="s">
        <v>816</v>
      </c>
      <c r="AC55" s="78" t="s">
        <v>1074</v>
      </c>
      <c r="AD55" s="78">
        <v>1</v>
      </c>
      <c r="AE55" s="78">
        <v>5</v>
      </c>
      <c r="AF55" s="78">
        <v>20</v>
      </c>
      <c r="AG55" s="78" t="s">
        <v>309</v>
      </c>
      <c r="AH55" s="78">
        <v>1</v>
      </c>
      <c r="AI55" s="78" t="s">
        <v>1012</v>
      </c>
      <c r="AJ55" s="78" t="s">
        <v>962</v>
      </c>
      <c r="AM55" s="78">
        <v>3</v>
      </c>
      <c r="AU55" s="78">
        <v>55</v>
      </c>
      <c r="AV55" s="186" t="s">
        <v>1013</v>
      </c>
      <c r="AW55" s="78">
        <v>55</v>
      </c>
    </row>
    <row r="56" spans="1:49" hidden="1">
      <c r="A56" s="78">
        <v>56</v>
      </c>
      <c r="B56" s="78" t="s">
        <v>342</v>
      </c>
      <c r="D56" s="78" t="s">
        <v>927</v>
      </c>
      <c r="E56" s="78" t="s">
        <v>927</v>
      </c>
      <c r="F56" s="78" t="s">
        <v>918</v>
      </c>
      <c r="G56" s="78" t="s">
        <v>918</v>
      </c>
      <c r="H56" s="78" t="s">
        <v>927</v>
      </c>
      <c r="I56" s="78" t="s">
        <v>878</v>
      </c>
      <c r="J56" s="78" t="s">
        <v>878</v>
      </c>
      <c r="K56" s="78" t="s">
        <v>947</v>
      </c>
      <c r="L56" s="78" t="s">
        <v>927</v>
      </c>
      <c r="M56" s="78" t="s">
        <v>901</v>
      </c>
      <c r="N56" s="78" t="s">
        <v>895</v>
      </c>
      <c r="O56" s="187" t="s">
        <v>927</v>
      </c>
      <c r="P56" s="187" t="s">
        <v>918</v>
      </c>
      <c r="Q56" s="187" t="s">
        <v>993</v>
      </c>
      <c r="R56" s="187" t="s">
        <v>1007</v>
      </c>
      <c r="S56" s="78" t="s">
        <v>949</v>
      </c>
      <c r="T56" s="78" t="s">
        <v>986</v>
      </c>
      <c r="U56" s="187" t="s">
        <v>2513</v>
      </c>
      <c r="W56" s="78">
        <v>-1</v>
      </c>
      <c r="X56" s="78" t="s">
        <v>2101</v>
      </c>
      <c r="Z56" s="208" t="s">
        <v>309</v>
      </c>
      <c r="AA56" s="208">
        <v>1</v>
      </c>
      <c r="AB56" s="187" t="s">
        <v>2102</v>
      </c>
      <c r="AC56" s="78" t="s">
        <v>1074</v>
      </c>
      <c r="AD56" s="78">
        <v>1</v>
      </c>
      <c r="AE56" s="78">
        <v>5</v>
      </c>
      <c r="AF56" s="78">
        <v>20</v>
      </c>
      <c r="AG56" s="78" t="s">
        <v>967</v>
      </c>
      <c r="AH56" s="78">
        <v>1.2</v>
      </c>
      <c r="AI56" s="78" t="s">
        <v>1012</v>
      </c>
      <c r="AJ56" s="78" t="s">
        <v>962</v>
      </c>
      <c r="AM56" s="78">
        <v>4</v>
      </c>
      <c r="AU56" s="78">
        <v>56</v>
      </c>
      <c r="AV56" s="186" t="s">
        <v>994</v>
      </c>
      <c r="AW56" s="78">
        <v>56</v>
      </c>
    </row>
    <row r="57" spans="1:49" hidden="1">
      <c r="A57" s="78">
        <v>57</v>
      </c>
      <c r="B57" s="78" t="s">
        <v>342</v>
      </c>
      <c r="D57" s="78" t="s">
        <v>927</v>
      </c>
      <c r="E57" s="78" t="s">
        <v>927</v>
      </c>
      <c r="F57" s="78" t="s">
        <v>918</v>
      </c>
      <c r="G57" s="78" t="s">
        <v>918</v>
      </c>
      <c r="H57" s="78" t="s">
        <v>878</v>
      </c>
      <c r="I57" s="78" t="s">
        <v>878</v>
      </c>
      <c r="J57" s="78" t="s">
        <v>878</v>
      </c>
      <c r="K57" s="78" t="s">
        <v>947</v>
      </c>
      <c r="L57" s="78" t="s">
        <v>927</v>
      </c>
      <c r="M57" s="78" t="s">
        <v>901</v>
      </c>
      <c r="N57" s="78" t="s">
        <v>895</v>
      </c>
      <c r="O57" s="187" t="s">
        <v>927</v>
      </c>
      <c r="P57" s="187" t="s">
        <v>918</v>
      </c>
      <c r="Q57" s="187" t="s">
        <v>993</v>
      </c>
      <c r="R57" s="187" t="s">
        <v>1007</v>
      </c>
      <c r="S57" s="78" t="s">
        <v>949</v>
      </c>
      <c r="T57" s="78" t="s">
        <v>986</v>
      </c>
      <c r="U57" s="187" t="s">
        <v>2513</v>
      </c>
      <c r="W57" s="78">
        <v>-1</v>
      </c>
      <c r="X57" s="78" t="s">
        <v>2101</v>
      </c>
      <c r="Z57" s="208" t="s">
        <v>309</v>
      </c>
      <c r="AA57" s="78">
        <v>1</v>
      </c>
      <c r="AB57" s="187" t="s">
        <v>2102</v>
      </c>
      <c r="AC57" s="78" t="s">
        <v>1074</v>
      </c>
      <c r="AD57" s="78">
        <v>1</v>
      </c>
      <c r="AE57" s="78">
        <v>5</v>
      </c>
      <c r="AF57" s="78">
        <v>20</v>
      </c>
      <c r="AG57" s="78" t="s">
        <v>967</v>
      </c>
      <c r="AH57" s="78">
        <v>1.2</v>
      </c>
      <c r="AI57" s="78" t="s">
        <v>1012</v>
      </c>
      <c r="AJ57" s="78" t="s">
        <v>962</v>
      </c>
      <c r="AM57" s="78">
        <v>4</v>
      </c>
      <c r="AU57" s="78">
        <v>57</v>
      </c>
      <c r="AV57" s="186" t="s">
        <v>1057</v>
      </c>
      <c r="AW57" s="78">
        <v>57</v>
      </c>
    </row>
    <row r="58" spans="1:49" hidden="1">
      <c r="A58" s="78">
        <v>58</v>
      </c>
      <c r="B58" s="78" t="s">
        <v>342</v>
      </c>
      <c r="D58" s="78" t="s">
        <v>927</v>
      </c>
      <c r="E58" s="78" t="s">
        <v>927</v>
      </c>
      <c r="F58" s="78" t="s">
        <v>918</v>
      </c>
      <c r="G58" s="78" t="s">
        <v>918</v>
      </c>
      <c r="H58" s="78" t="s">
        <v>878</v>
      </c>
      <c r="I58" s="78" t="s">
        <v>878</v>
      </c>
      <c r="J58" s="78" t="s">
        <v>878</v>
      </c>
      <c r="K58" s="78" t="s">
        <v>947</v>
      </c>
      <c r="L58" s="78" t="s">
        <v>927</v>
      </c>
      <c r="M58" s="78" t="s">
        <v>901</v>
      </c>
      <c r="N58" s="78" t="s">
        <v>895</v>
      </c>
      <c r="O58" s="187" t="s">
        <v>927</v>
      </c>
      <c r="P58" s="187" t="s">
        <v>918</v>
      </c>
      <c r="Q58" s="187" t="s">
        <v>993</v>
      </c>
      <c r="R58" s="187" t="s">
        <v>1007</v>
      </c>
      <c r="S58" s="78" t="s">
        <v>949</v>
      </c>
      <c r="T58" s="78" t="s">
        <v>986</v>
      </c>
      <c r="U58" s="187" t="s">
        <v>2513</v>
      </c>
      <c r="W58" s="78">
        <v>-1</v>
      </c>
      <c r="X58" s="78" t="s">
        <v>2101</v>
      </c>
      <c r="Z58" s="208" t="s">
        <v>309</v>
      </c>
      <c r="AA58" s="208">
        <v>1</v>
      </c>
      <c r="AB58" s="187" t="s">
        <v>2102</v>
      </c>
      <c r="AC58" s="78" t="s">
        <v>1074</v>
      </c>
      <c r="AD58" s="78">
        <v>1</v>
      </c>
      <c r="AE58" s="78">
        <v>5</v>
      </c>
      <c r="AF58" s="78">
        <v>20</v>
      </c>
      <c r="AG58" s="78" t="s">
        <v>967</v>
      </c>
      <c r="AH58" s="78">
        <v>1.2</v>
      </c>
      <c r="AI58" s="78" t="s">
        <v>1012</v>
      </c>
      <c r="AJ58" s="78" t="s">
        <v>962</v>
      </c>
      <c r="AM58" s="78">
        <v>4</v>
      </c>
      <c r="AU58" s="78">
        <v>58</v>
      </c>
      <c r="AV58" s="186" t="s">
        <v>1045</v>
      </c>
      <c r="AW58" s="78">
        <v>58</v>
      </c>
    </row>
    <row r="59" spans="1:49" hidden="1">
      <c r="A59" s="78">
        <v>59</v>
      </c>
      <c r="B59" s="78" t="s">
        <v>342</v>
      </c>
      <c r="D59" s="78" t="s">
        <v>927</v>
      </c>
      <c r="E59" s="78" t="s">
        <v>927</v>
      </c>
      <c r="F59" s="78" t="s">
        <v>918</v>
      </c>
      <c r="G59" s="78" t="s">
        <v>927</v>
      </c>
      <c r="H59" s="78" t="s">
        <v>878</v>
      </c>
      <c r="I59" s="78" t="s">
        <v>878</v>
      </c>
      <c r="J59" s="78" t="s">
        <v>878</v>
      </c>
      <c r="K59" s="78" t="s">
        <v>947</v>
      </c>
      <c r="L59" s="78" t="s">
        <v>927</v>
      </c>
      <c r="M59" s="78" t="s">
        <v>901</v>
      </c>
      <c r="N59" s="78" t="s">
        <v>895</v>
      </c>
      <c r="O59" s="187" t="s">
        <v>927</v>
      </c>
      <c r="P59" s="187" t="s">
        <v>927</v>
      </c>
      <c r="Q59" s="187" t="s">
        <v>993</v>
      </c>
      <c r="R59" s="187" t="s">
        <v>1007</v>
      </c>
      <c r="S59" s="78" t="s">
        <v>1002</v>
      </c>
      <c r="T59" s="78" t="s">
        <v>1042</v>
      </c>
      <c r="U59" s="187" t="s">
        <v>1045</v>
      </c>
      <c r="W59" s="78">
        <v>-1</v>
      </c>
      <c r="X59" s="78" t="s">
        <v>2101</v>
      </c>
      <c r="Z59" s="208" t="s">
        <v>309</v>
      </c>
      <c r="AA59" s="78">
        <v>1</v>
      </c>
      <c r="AB59" s="187" t="s">
        <v>2102</v>
      </c>
      <c r="AC59" s="78" t="s">
        <v>1074</v>
      </c>
      <c r="AD59" s="78">
        <v>1</v>
      </c>
      <c r="AE59" s="78">
        <v>5</v>
      </c>
      <c r="AF59" s="78">
        <v>20</v>
      </c>
      <c r="AG59" s="78" t="s">
        <v>967</v>
      </c>
      <c r="AH59" s="78">
        <v>1.2</v>
      </c>
      <c r="AI59" s="78" t="s">
        <v>1012</v>
      </c>
      <c r="AJ59" s="78" t="s">
        <v>962</v>
      </c>
      <c r="AM59" s="78">
        <v>4</v>
      </c>
      <c r="AU59" s="78">
        <v>59</v>
      </c>
      <c r="AV59" s="186" t="s">
        <v>22</v>
      </c>
      <c r="AW59" s="78">
        <v>59</v>
      </c>
    </row>
    <row r="60" spans="1:49" s="208" customFormat="1" hidden="1">
      <c r="A60" s="208">
        <v>60</v>
      </c>
      <c r="B60" s="208" t="s">
        <v>342</v>
      </c>
      <c r="D60" s="208" t="s">
        <v>927</v>
      </c>
      <c r="E60" s="78" t="s">
        <v>927</v>
      </c>
      <c r="F60" s="78" t="s">
        <v>918</v>
      </c>
      <c r="G60" s="78" t="s">
        <v>927</v>
      </c>
      <c r="H60" s="78" t="s">
        <v>878</v>
      </c>
      <c r="I60" s="78" t="s">
        <v>878</v>
      </c>
      <c r="J60" s="78" t="s">
        <v>878</v>
      </c>
      <c r="K60" s="78" t="s">
        <v>947</v>
      </c>
      <c r="L60" s="78" t="s">
        <v>927</v>
      </c>
      <c r="M60" s="78" t="s">
        <v>901</v>
      </c>
      <c r="N60" s="78" t="s">
        <v>918</v>
      </c>
      <c r="O60" s="187" t="s">
        <v>927</v>
      </c>
      <c r="P60" s="187" t="s">
        <v>927</v>
      </c>
      <c r="Q60" s="187" t="s">
        <v>993</v>
      </c>
      <c r="R60" s="187" t="s">
        <v>1007</v>
      </c>
      <c r="S60" s="78" t="s">
        <v>1002</v>
      </c>
      <c r="T60" s="78" t="s">
        <v>1042</v>
      </c>
      <c r="U60" s="187" t="s">
        <v>1045</v>
      </c>
      <c r="W60" s="78">
        <v>-1</v>
      </c>
      <c r="X60" s="78" t="s">
        <v>2101</v>
      </c>
      <c r="Z60" s="208" t="s">
        <v>309</v>
      </c>
      <c r="AA60" s="208">
        <v>1</v>
      </c>
      <c r="AB60" s="187" t="s">
        <v>2102</v>
      </c>
      <c r="AC60" s="78" t="s">
        <v>1074</v>
      </c>
      <c r="AD60" s="78">
        <v>1</v>
      </c>
      <c r="AE60" s="78">
        <v>5</v>
      </c>
      <c r="AF60" s="78">
        <v>20</v>
      </c>
      <c r="AG60" s="78" t="s">
        <v>967</v>
      </c>
      <c r="AH60" s="78">
        <v>1.2</v>
      </c>
      <c r="AI60" s="78" t="s">
        <v>1012</v>
      </c>
      <c r="AJ60" s="78" t="s">
        <v>962</v>
      </c>
      <c r="AM60" s="78">
        <v>4</v>
      </c>
      <c r="AU60" s="78">
        <v>60</v>
      </c>
      <c r="AV60" s="186" t="s">
        <v>968</v>
      </c>
      <c r="AW60" s="78">
        <v>60</v>
      </c>
    </row>
    <row r="61" spans="1:49" hidden="1">
      <c r="A61" s="78">
        <v>61</v>
      </c>
      <c r="B61" s="78" t="s">
        <v>342</v>
      </c>
      <c r="D61" s="78" t="s">
        <v>927</v>
      </c>
      <c r="E61" s="78" t="s">
        <v>927</v>
      </c>
      <c r="F61" s="78" t="s">
        <v>918</v>
      </c>
      <c r="G61" s="78" t="s">
        <v>927</v>
      </c>
      <c r="H61" s="78" t="s">
        <v>947</v>
      </c>
      <c r="I61" s="78" t="s">
        <v>878</v>
      </c>
      <c r="J61" s="78" t="s">
        <v>878</v>
      </c>
      <c r="K61" s="78" t="s">
        <v>947</v>
      </c>
      <c r="L61" s="78" t="s">
        <v>927</v>
      </c>
      <c r="M61" s="78" t="s">
        <v>901</v>
      </c>
      <c r="N61" s="78" t="s">
        <v>918</v>
      </c>
      <c r="O61" s="187" t="s">
        <v>927</v>
      </c>
      <c r="P61" s="187" t="s">
        <v>927</v>
      </c>
      <c r="Q61" s="187" t="s">
        <v>993</v>
      </c>
      <c r="R61" s="187" t="s">
        <v>1007</v>
      </c>
      <c r="S61" s="78" t="s">
        <v>1002</v>
      </c>
      <c r="T61" s="78" t="s">
        <v>1042</v>
      </c>
      <c r="U61" s="187" t="s">
        <v>1045</v>
      </c>
      <c r="W61" s="78">
        <v>-1</v>
      </c>
      <c r="X61" s="78" t="s">
        <v>2101</v>
      </c>
      <c r="Z61" s="208" t="s">
        <v>309</v>
      </c>
      <c r="AA61" s="78">
        <v>1</v>
      </c>
      <c r="AB61" s="187" t="s">
        <v>2102</v>
      </c>
      <c r="AC61" s="78" t="s">
        <v>1074</v>
      </c>
      <c r="AD61" s="78">
        <v>1</v>
      </c>
      <c r="AE61" s="78">
        <v>5</v>
      </c>
      <c r="AF61" s="78">
        <v>20</v>
      </c>
      <c r="AG61" s="78" t="s">
        <v>967</v>
      </c>
      <c r="AH61" s="78">
        <v>1.2</v>
      </c>
      <c r="AI61" s="78" t="s">
        <v>1085</v>
      </c>
      <c r="AJ61" s="78" t="s">
        <v>1086</v>
      </c>
      <c r="AM61" s="78">
        <v>4</v>
      </c>
      <c r="AV61" s="78" t="s">
        <v>1087</v>
      </c>
      <c r="AW61" s="78" t="s">
        <v>1088</v>
      </c>
    </row>
    <row r="62" spans="1:49" hidden="1">
      <c r="A62" s="78">
        <v>62</v>
      </c>
      <c r="B62" s="78" t="s">
        <v>342</v>
      </c>
      <c r="D62" s="78" t="s">
        <v>927</v>
      </c>
      <c r="E62" s="78" t="s">
        <v>927</v>
      </c>
      <c r="F62" s="78" t="s">
        <v>918</v>
      </c>
      <c r="G62" s="78" t="s">
        <v>878</v>
      </c>
      <c r="H62" s="78" t="s">
        <v>947</v>
      </c>
      <c r="I62" s="78" t="s">
        <v>878</v>
      </c>
      <c r="J62" s="78" t="s">
        <v>947</v>
      </c>
      <c r="K62" s="78" t="s">
        <v>947</v>
      </c>
      <c r="L62" s="78" t="s">
        <v>927</v>
      </c>
      <c r="M62" s="78" t="s">
        <v>901</v>
      </c>
      <c r="N62" s="78" t="s">
        <v>918</v>
      </c>
      <c r="O62" s="187" t="s">
        <v>927</v>
      </c>
      <c r="P62" s="187" t="s">
        <v>927</v>
      </c>
      <c r="Q62" s="187" t="s">
        <v>993</v>
      </c>
      <c r="R62" s="187" t="s">
        <v>1007</v>
      </c>
      <c r="S62" s="78" t="s">
        <v>1002</v>
      </c>
      <c r="T62" s="78" t="s">
        <v>1042</v>
      </c>
      <c r="U62" s="187" t="s">
        <v>1045</v>
      </c>
      <c r="W62" s="78">
        <v>-1</v>
      </c>
      <c r="X62" s="78" t="s">
        <v>2101</v>
      </c>
      <c r="Z62" s="208" t="s">
        <v>309</v>
      </c>
      <c r="AA62" s="208">
        <v>1</v>
      </c>
      <c r="AB62" s="187" t="s">
        <v>2102</v>
      </c>
      <c r="AC62" s="78" t="s">
        <v>1074</v>
      </c>
      <c r="AD62" s="78">
        <v>1</v>
      </c>
      <c r="AE62" s="78">
        <v>5</v>
      </c>
      <c r="AF62" s="78">
        <v>20</v>
      </c>
      <c r="AG62" s="78" t="s">
        <v>967</v>
      </c>
      <c r="AH62" s="78">
        <v>1.2</v>
      </c>
      <c r="AI62" s="78" t="s">
        <v>1085</v>
      </c>
      <c r="AJ62" s="78" t="s">
        <v>1086</v>
      </c>
      <c r="AM62" s="78">
        <v>4</v>
      </c>
    </row>
    <row r="63" spans="1:49" hidden="1">
      <c r="A63" s="78">
        <v>63</v>
      </c>
      <c r="B63" s="78" t="s">
        <v>342</v>
      </c>
      <c r="D63" s="78" t="s">
        <v>927</v>
      </c>
      <c r="E63" s="78" t="s">
        <v>927</v>
      </c>
      <c r="F63" s="78" t="s">
        <v>927</v>
      </c>
      <c r="G63" s="78" t="s">
        <v>878</v>
      </c>
      <c r="H63" s="78" t="s">
        <v>947</v>
      </c>
      <c r="I63" s="78" t="s">
        <v>878</v>
      </c>
      <c r="J63" s="78" t="s">
        <v>947</v>
      </c>
      <c r="K63" s="78" t="s">
        <v>947</v>
      </c>
      <c r="L63" s="78" t="s">
        <v>927</v>
      </c>
      <c r="M63" s="78" t="s">
        <v>901</v>
      </c>
      <c r="N63" s="78" t="s">
        <v>918</v>
      </c>
      <c r="O63" s="187" t="s">
        <v>927</v>
      </c>
      <c r="P63" s="187" t="s">
        <v>927</v>
      </c>
      <c r="Q63" s="187" t="s">
        <v>993</v>
      </c>
      <c r="R63" s="187" t="s">
        <v>1007</v>
      </c>
      <c r="S63" s="78" t="s">
        <v>1002</v>
      </c>
      <c r="T63" s="78" t="s">
        <v>1042</v>
      </c>
      <c r="U63" s="187" t="s">
        <v>1045</v>
      </c>
      <c r="W63" s="78">
        <v>-1</v>
      </c>
      <c r="X63" s="78" t="s">
        <v>2103</v>
      </c>
      <c r="Z63" s="208" t="s">
        <v>309</v>
      </c>
      <c r="AA63" s="78">
        <v>1</v>
      </c>
      <c r="AB63" s="187" t="s">
        <v>2102</v>
      </c>
      <c r="AC63" s="78" t="s">
        <v>1074</v>
      </c>
      <c r="AD63" s="78">
        <v>1</v>
      </c>
      <c r="AE63" s="78">
        <v>5</v>
      </c>
      <c r="AF63" s="78">
        <v>20</v>
      </c>
      <c r="AG63" s="78" t="s">
        <v>967</v>
      </c>
      <c r="AH63" s="78">
        <v>1.2</v>
      </c>
      <c r="AI63" s="78" t="s">
        <v>1085</v>
      </c>
      <c r="AJ63" s="78" t="s">
        <v>1090</v>
      </c>
      <c r="AM63" s="78">
        <v>4</v>
      </c>
    </row>
    <row r="64" spans="1:49" hidden="1">
      <c r="A64" s="78">
        <v>64</v>
      </c>
      <c r="B64" s="78" t="s">
        <v>342</v>
      </c>
      <c r="D64" s="78" t="s">
        <v>927</v>
      </c>
      <c r="E64" s="78" t="s">
        <v>927</v>
      </c>
      <c r="F64" s="78" t="s">
        <v>927</v>
      </c>
      <c r="G64" s="78" t="s">
        <v>878</v>
      </c>
      <c r="H64" s="78" t="s">
        <v>947</v>
      </c>
      <c r="I64" s="78" t="s">
        <v>878</v>
      </c>
      <c r="J64" s="78" t="s">
        <v>947</v>
      </c>
      <c r="K64" s="78" t="s">
        <v>947</v>
      </c>
      <c r="L64" s="78" t="s">
        <v>927</v>
      </c>
      <c r="M64" s="78" t="s">
        <v>901</v>
      </c>
      <c r="N64" s="78" t="s">
        <v>918</v>
      </c>
      <c r="O64" s="187" t="s">
        <v>927</v>
      </c>
      <c r="P64" s="187" t="s">
        <v>927</v>
      </c>
      <c r="Q64" s="187" t="s">
        <v>993</v>
      </c>
      <c r="R64" s="187" t="s">
        <v>1007</v>
      </c>
      <c r="S64" s="78" t="s">
        <v>1002</v>
      </c>
      <c r="T64" s="78" t="s">
        <v>1042</v>
      </c>
      <c r="U64" s="187" t="s">
        <v>1045</v>
      </c>
      <c r="W64" s="78">
        <v>-1</v>
      </c>
      <c r="X64" s="78" t="s">
        <v>2103</v>
      </c>
      <c r="Z64" s="208" t="s">
        <v>309</v>
      </c>
      <c r="AA64" s="208">
        <v>1</v>
      </c>
      <c r="AB64" s="187" t="s">
        <v>2102</v>
      </c>
      <c r="AC64" s="78" t="s">
        <v>1074</v>
      </c>
      <c r="AD64" s="78">
        <v>1</v>
      </c>
      <c r="AE64" s="78">
        <v>5</v>
      </c>
      <c r="AF64" s="78">
        <v>20</v>
      </c>
      <c r="AG64" s="78" t="s">
        <v>967</v>
      </c>
      <c r="AH64" s="78">
        <v>1.2</v>
      </c>
      <c r="AI64" s="78" t="s">
        <v>1085</v>
      </c>
      <c r="AJ64" s="78" t="s">
        <v>1090</v>
      </c>
      <c r="AM64" s="78">
        <v>4</v>
      </c>
    </row>
    <row r="65" spans="1:39" hidden="1">
      <c r="A65" s="78">
        <v>65</v>
      </c>
      <c r="B65" s="78" t="s">
        <v>341</v>
      </c>
      <c r="D65" s="78" t="s">
        <v>927</v>
      </c>
      <c r="E65" s="78" t="s">
        <v>927</v>
      </c>
      <c r="F65" s="78" t="s">
        <v>927</v>
      </c>
      <c r="G65" s="78" t="s">
        <v>878</v>
      </c>
      <c r="H65" s="78" t="s">
        <v>947</v>
      </c>
      <c r="I65" s="78" t="s">
        <v>878</v>
      </c>
      <c r="J65" s="78" t="s">
        <v>947</v>
      </c>
      <c r="K65" s="78" t="s">
        <v>947</v>
      </c>
      <c r="L65" s="78" t="s">
        <v>878</v>
      </c>
      <c r="M65" s="78" t="s">
        <v>895</v>
      </c>
      <c r="N65" s="78" t="s">
        <v>927</v>
      </c>
      <c r="O65" s="187" t="s">
        <v>927</v>
      </c>
      <c r="P65" s="187" t="s">
        <v>878</v>
      </c>
      <c r="Q65" s="187" t="s">
        <v>280</v>
      </c>
      <c r="R65" s="187" t="s">
        <v>985</v>
      </c>
      <c r="S65" s="78" t="s">
        <v>1002</v>
      </c>
      <c r="T65" s="78" t="s">
        <v>1042</v>
      </c>
      <c r="U65" s="187" t="s">
        <v>1045</v>
      </c>
      <c r="W65" s="78">
        <v>-2</v>
      </c>
      <c r="X65" s="78" t="s">
        <v>2103</v>
      </c>
      <c r="Z65" s="208" t="s">
        <v>309</v>
      </c>
      <c r="AA65" s="78">
        <v>1</v>
      </c>
      <c r="AB65" s="187" t="s">
        <v>2102</v>
      </c>
      <c r="AC65" s="78" t="s">
        <v>1074</v>
      </c>
      <c r="AD65" s="78">
        <v>1</v>
      </c>
      <c r="AE65" s="78">
        <v>5</v>
      </c>
      <c r="AF65" s="78">
        <v>20</v>
      </c>
      <c r="AG65" s="78" t="s">
        <v>967</v>
      </c>
      <c r="AH65" s="78">
        <v>1.2</v>
      </c>
      <c r="AI65" s="78" t="s">
        <v>1085</v>
      </c>
      <c r="AJ65" s="78" t="s">
        <v>1090</v>
      </c>
      <c r="AM65" s="78">
        <v>4</v>
      </c>
    </row>
    <row r="66" spans="1:39" hidden="1">
      <c r="A66" s="78">
        <v>66</v>
      </c>
      <c r="B66" s="78" t="s">
        <v>341</v>
      </c>
      <c r="D66" s="78" t="s">
        <v>878</v>
      </c>
      <c r="E66" s="78" t="s">
        <v>927</v>
      </c>
      <c r="F66" s="78" t="s">
        <v>927</v>
      </c>
      <c r="G66" s="78" t="s">
        <v>878</v>
      </c>
      <c r="H66" s="78" t="s">
        <v>947</v>
      </c>
      <c r="I66" s="78" t="s">
        <v>878</v>
      </c>
      <c r="J66" s="78" t="s">
        <v>947</v>
      </c>
      <c r="K66" s="78" t="s">
        <v>947</v>
      </c>
      <c r="L66" s="78" t="s">
        <v>878</v>
      </c>
      <c r="M66" s="78" t="s">
        <v>895</v>
      </c>
      <c r="N66" s="78" t="s">
        <v>927</v>
      </c>
      <c r="O66" s="187" t="s">
        <v>878</v>
      </c>
      <c r="P66" s="187" t="s">
        <v>878</v>
      </c>
      <c r="Q66" s="187" t="s">
        <v>280</v>
      </c>
      <c r="R66" s="187" t="s">
        <v>985</v>
      </c>
      <c r="S66" s="78" t="s">
        <v>1002</v>
      </c>
      <c r="T66" s="78" t="s">
        <v>1042</v>
      </c>
      <c r="U66" s="187" t="s">
        <v>1045</v>
      </c>
      <c r="W66" s="78">
        <v>-2</v>
      </c>
      <c r="X66" s="78" t="s">
        <v>2103</v>
      </c>
      <c r="Z66" s="208" t="s">
        <v>309</v>
      </c>
      <c r="AA66" s="208">
        <v>1</v>
      </c>
      <c r="AB66" s="187" t="s">
        <v>2102</v>
      </c>
      <c r="AC66" s="78" t="s">
        <v>1074</v>
      </c>
      <c r="AD66" s="78">
        <v>1</v>
      </c>
      <c r="AE66" s="78">
        <v>5</v>
      </c>
      <c r="AF66" s="78">
        <v>20</v>
      </c>
      <c r="AG66" s="78" t="s">
        <v>967</v>
      </c>
      <c r="AH66" s="78">
        <v>1.2</v>
      </c>
      <c r="AI66" s="78" t="s">
        <v>1085</v>
      </c>
      <c r="AJ66" s="78" t="s">
        <v>1094</v>
      </c>
      <c r="AM66" s="78">
        <v>4</v>
      </c>
    </row>
    <row r="67" spans="1:39" hidden="1">
      <c r="A67" s="78">
        <v>67</v>
      </c>
      <c r="B67" s="78" t="s">
        <v>341</v>
      </c>
      <c r="D67" s="78" t="s">
        <v>878</v>
      </c>
      <c r="E67" s="78" t="s">
        <v>927</v>
      </c>
      <c r="F67" s="78" t="s">
        <v>927</v>
      </c>
      <c r="G67" s="78" t="s">
        <v>878</v>
      </c>
      <c r="H67" s="78" t="s">
        <v>947</v>
      </c>
      <c r="I67" s="78" t="s">
        <v>947</v>
      </c>
      <c r="J67" s="78" t="s">
        <v>947</v>
      </c>
      <c r="K67" s="78" t="s">
        <v>947</v>
      </c>
      <c r="L67" s="78" t="s">
        <v>878</v>
      </c>
      <c r="M67" s="78" t="s">
        <v>895</v>
      </c>
      <c r="N67" s="78" t="s">
        <v>927</v>
      </c>
      <c r="O67" s="187" t="s">
        <v>878</v>
      </c>
      <c r="P67" s="187" t="s">
        <v>878</v>
      </c>
      <c r="Q67" s="187" t="s">
        <v>280</v>
      </c>
      <c r="R67" s="187" t="s">
        <v>985</v>
      </c>
      <c r="S67" s="78" t="s">
        <v>1002</v>
      </c>
      <c r="T67" s="78" t="s">
        <v>1042</v>
      </c>
      <c r="U67" s="187" t="s">
        <v>1045</v>
      </c>
      <c r="W67" s="78">
        <v>-2</v>
      </c>
      <c r="X67" s="78" t="s">
        <v>2103</v>
      </c>
      <c r="Z67" s="208" t="s">
        <v>309</v>
      </c>
      <c r="AA67" s="78">
        <v>1</v>
      </c>
      <c r="AB67" s="187" t="s">
        <v>2102</v>
      </c>
      <c r="AC67" s="78" t="s">
        <v>1074</v>
      </c>
      <c r="AD67" s="78">
        <v>1</v>
      </c>
      <c r="AE67" s="78">
        <v>5</v>
      </c>
      <c r="AF67" s="78">
        <v>20</v>
      </c>
      <c r="AG67" s="78" t="s">
        <v>967</v>
      </c>
      <c r="AH67" s="78">
        <v>1.2</v>
      </c>
      <c r="AI67" s="78" t="s">
        <v>1085</v>
      </c>
      <c r="AJ67" s="78" t="s">
        <v>1094</v>
      </c>
      <c r="AM67" s="78">
        <v>4</v>
      </c>
    </row>
    <row r="68" spans="1:39" hidden="1">
      <c r="A68" s="78">
        <v>68</v>
      </c>
      <c r="B68" s="78" t="s">
        <v>341</v>
      </c>
      <c r="D68" s="78" t="s">
        <v>878</v>
      </c>
      <c r="E68" s="78" t="s">
        <v>927</v>
      </c>
      <c r="F68" s="78" t="s">
        <v>927</v>
      </c>
      <c r="G68" s="78" t="s">
        <v>878</v>
      </c>
      <c r="H68" s="78" t="s">
        <v>947</v>
      </c>
      <c r="I68" s="78" t="s">
        <v>947</v>
      </c>
      <c r="J68" s="78" t="s">
        <v>947</v>
      </c>
      <c r="K68" s="78" t="s">
        <v>947</v>
      </c>
      <c r="L68" s="78" t="s">
        <v>878</v>
      </c>
      <c r="M68" s="78" t="s">
        <v>895</v>
      </c>
      <c r="N68" s="78" t="s">
        <v>927</v>
      </c>
      <c r="O68" s="187" t="s">
        <v>878</v>
      </c>
      <c r="P68" s="187" t="s">
        <v>878</v>
      </c>
      <c r="Q68" s="187" t="s">
        <v>280</v>
      </c>
      <c r="R68" s="187" t="s">
        <v>985</v>
      </c>
      <c r="S68" s="78" t="s">
        <v>1002</v>
      </c>
      <c r="T68" s="78" t="s">
        <v>1042</v>
      </c>
      <c r="U68" s="187" t="s">
        <v>1045</v>
      </c>
      <c r="W68" s="78">
        <v>-2</v>
      </c>
      <c r="X68" s="78" t="s">
        <v>2103</v>
      </c>
      <c r="Z68" s="208" t="s">
        <v>309</v>
      </c>
      <c r="AA68" s="208">
        <v>1</v>
      </c>
      <c r="AB68" s="187" t="s">
        <v>2102</v>
      </c>
      <c r="AC68" s="78" t="s">
        <v>1074</v>
      </c>
      <c r="AD68" s="78">
        <v>1</v>
      </c>
      <c r="AE68" s="78">
        <v>5</v>
      </c>
      <c r="AF68" s="78">
        <v>20</v>
      </c>
      <c r="AG68" s="78" t="s">
        <v>967</v>
      </c>
      <c r="AH68" s="78">
        <v>1.2</v>
      </c>
      <c r="AI68" s="78" t="s">
        <v>1085</v>
      </c>
      <c r="AJ68" s="78" t="s">
        <v>1094</v>
      </c>
      <c r="AM68" s="78">
        <v>4</v>
      </c>
    </row>
    <row r="69" spans="1:39" hidden="1">
      <c r="A69" s="78">
        <v>69</v>
      </c>
      <c r="B69" s="78" t="s">
        <v>340</v>
      </c>
      <c r="D69" s="78" t="s">
        <v>878</v>
      </c>
      <c r="E69" s="78" t="s">
        <v>878</v>
      </c>
      <c r="F69" s="78" t="s">
        <v>927</v>
      </c>
      <c r="G69" s="78" t="s">
        <v>878</v>
      </c>
      <c r="H69" s="78" t="s">
        <v>947</v>
      </c>
      <c r="I69" s="78" t="s">
        <v>947</v>
      </c>
      <c r="J69" s="78" t="s">
        <v>947</v>
      </c>
      <c r="K69" s="78" t="s">
        <v>947</v>
      </c>
      <c r="L69" s="78" t="s">
        <v>878</v>
      </c>
      <c r="M69" s="78" t="s">
        <v>895</v>
      </c>
      <c r="N69" s="78" t="s">
        <v>927</v>
      </c>
      <c r="O69" s="187" t="s">
        <v>947</v>
      </c>
      <c r="P69" s="187" t="s">
        <v>878</v>
      </c>
      <c r="Q69" s="187" t="s">
        <v>280</v>
      </c>
      <c r="R69" s="187" t="s">
        <v>985</v>
      </c>
      <c r="S69" s="78" t="s">
        <v>1002</v>
      </c>
      <c r="T69" s="78" t="s">
        <v>1042</v>
      </c>
      <c r="U69" s="187" t="s">
        <v>1045</v>
      </c>
      <c r="W69" s="78">
        <v>2</v>
      </c>
      <c r="X69" s="78" t="s">
        <v>2103</v>
      </c>
      <c r="Z69" s="208" t="s">
        <v>309</v>
      </c>
      <c r="AA69" s="78">
        <v>1</v>
      </c>
      <c r="AB69" s="187" t="s">
        <v>2102</v>
      </c>
      <c r="AC69" s="78" t="s">
        <v>1074</v>
      </c>
      <c r="AD69" s="78">
        <v>1</v>
      </c>
      <c r="AE69" s="78">
        <v>5</v>
      </c>
      <c r="AF69" s="78">
        <v>20</v>
      </c>
      <c r="AG69" s="78" t="s">
        <v>967</v>
      </c>
      <c r="AH69" s="78">
        <v>1.2</v>
      </c>
      <c r="AI69" s="78" t="s">
        <v>1085</v>
      </c>
      <c r="AJ69" s="78" t="s">
        <v>1094</v>
      </c>
      <c r="AM69" s="78">
        <v>4</v>
      </c>
    </row>
    <row r="70" spans="1:39" s="208" customFormat="1" hidden="1">
      <c r="A70" s="208">
        <v>70</v>
      </c>
      <c r="B70" s="208" t="s">
        <v>340</v>
      </c>
      <c r="D70" s="208" t="s">
        <v>878</v>
      </c>
      <c r="E70" s="78" t="s">
        <v>878</v>
      </c>
      <c r="F70" s="78" t="s">
        <v>927</v>
      </c>
      <c r="G70" s="78" t="s">
        <v>947</v>
      </c>
      <c r="H70" s="78" t="s">
        <v>947</v>
      </c>
      <c r="I70" s="78" t="s">
        <v>947</v>
      </c>
      <c r="J70" s="78" t="s">
        <v>947</v>
      </c>
      <c r="K70" s="78" t="s">
        <v>947</v>
      </c>
      <c r="L70" s="78" t="s">
        <v>878</v>
      </c>
      <c r="M70" s="78" t="s">
        <v>918</v>
      </c>
      <c r="N70" s="78" t="s">
        <v>878</v>
      </c>
      <c r="O70" s="187" t="s">
        <v>947</v>
      </c>
      <c r="P70" s="187" t="s">
        <v>947</v>
      </c>
      <c r="Q70" s="187" t="s">
        <v>280</v>
      </c>
      <c r="R70" s="187" t="s">
        <v>985</v>
      </c>
      <c r="S70" s="78" t="s">
        <v>1002</v>
      </c>
      <c r="T70" s="78" t="s">
        <v>1042</v>
      </c>
      <c r="U70" s="187" t="s">
        <v>1045</v>
      </c>
      <c r="W70" s="208">
        <v>2</v>
      </c>
      <c r="X70" s="78" t="s">
        <v>2103</v>
      </c>
      <c r="Z70" s="208" t="s">
        <v>309</v>
      </c>
      <c r="AA70" s="208">
        <v>1</v>
      </c>
      <c r="AB70" s="187" t="s">
        <v>2102</v>
      </c>
      <c r="AC70" s="78" t="s">
        <v>1074</v>
      </c>
      <c r="AD70" s="78">
        <v>1</v>
      </c>
      <c r="AE70" s="78">
        <v>5</v>
      </c>
      <c r="AF70" s="78">
        <v>20</v>
      </c>
      <c r="AG70" s="78" t="s">
        <v>967</v>
      </c>
      <c r="AH70" s="78">
        <v>1.2</v>
      </c>
      <c r="AI70" s="78" t="s">
        <v>1085</v>
      </c>
      <c r="AJ70" s="78" t="s">
        <v>1094</v>
      </c>
      <c r="AM70" s="78">
        <v>4</v>
      </c>
    </row>
    <row r="71" spans="1:39" hidden="1">
      <c r="A71" s="78">
        <v>71</v>
      </c>
      <c r="B71" s="78" t="s">
        <v>340</v>
      </c>
      <c r="D71" s="78" t="s">
        <v>947</v>
      </c>
      <c r="E71" s="78" t="s">
        <v>878</v>
      </c>
      <c r="F71" s="78" t="s">
        <v>927</v>
      </c>
      <c r="G71" s="78" t="s">
        <v>947</v>
      </c>
      <c r="H71" s="78" t="s">
        <v>947</v>
      </c>
      <c r="I71" s="78" t="s">
        <v>947</v>
      </c>
      <c r="J71" s="78" t="s">
        <v>947</v>
      </c>
      <c r="K71" s="78" t="s">
        <v>947</v>
      </c>
      <c r="L71" s="78" t="s">
        <v>878</v>
      </c>
      <c r="M71" s="78" t="s">
        <v>918</v>
      </c>
      <c r="N71" s="78" t="s">
        <v>878</v>
      </c>
      <c r="O71" s="187" t="s">
        <v>947</v>
      </c>
      <c r="P71" s="187" t="s">
        <v>947</v>
      </c>
      <c r="Q71" s="187" t="s">
        <v>280</v>
      </c>
      <c r="R71" s="187" t="s">
        <v>985</v>
      </c>
      <c r="S71" s="78" t="s">
        <v>1002</v>
      </c>
      <c r="T71" s="78" t="s">
        <v>1042</v>
      </c>
      <c r="U71" s="187" t="s">
        <v>1045</v>
      </c>
      <c r="W71" s="78">
        <v>2</v>
      </c>
      <c r="X71" s="78" t="s">
        <v>2103</v>
      </c>
      <c r="Z71" s="208" t="s">
        <v>309</v>
      </c>
      <c r="AA71" s="78">
        <v>1</v>
      </c>
      <c r="AB71" s="187" t="s">
        <v>2104</v>
      </c>
      <c r="AC71" s="78" t="s">
        <v>1074</v>
      </c>
      <c r="AD71" s="78">
        <v>1</v>
      </c>
      <c r="AE71" s="78">
        <v>5</v>
      </c>
      <c r="AF71" s="78">
        <v>20</v>
      </c>
      <c r="AG71" s="78" t="s">
        <v>967</v>
      </c>
      <c r="AH71" s="78">
        <v>1.2</v>
      </c>
      <c r="AI71" s="78" t="s">
        <v>947</v>
      </c>
      <c r="AJ71" s="78" t="s">
        <v>1099</v>
      </c>
      <c r="AM71" s="78">
        <v>4</v>
      </c>
    </row>
    <row r="72" spans="1:39" hidden="1">
      <c r="A72" s="78">
        <v>72</v>
      </c>
      <c r="B72" s="78" t="s">
        <v>340</v>
      </c>
      <c r="D72" s="78" t="s">
        <v>947</v>
      </c>
      <c r="E72" s="78" t="s">
        <v>878</v>
      </c>
      <c r="F72" s="78" t="s">
        <v>927</v>
      </c>
      <c r="G72" s="78" t="s">
        <v>947</v>
      </c>
      <c r="H72" s="78" t="s">
        <v>947</v>
      </c>
      <c r="I72" s="78" t="s">
        <v>947</v>
      </c>
      <c r="J72" s="78" t="s">
        <v>947</v>
      </c>
      <c r="K72" s="78" t="s">
        <v>928</v>
      </c>
      <c r="L72" s="78" t="s">
        <v>878</v>
      </c>
      <c r="M72" s="78" t="s">
        <v>918</v>
      </c>
      <c r="N72" s="78" t="s">
        <v>878</v>
      </c>
      <c r="O72" s="187" t="s">
        <v>947</v>
      </c>
      <c r="P72" s="187" t="s">
        <v>947</v>
      </c>
      <c r="Q72" s="187" t="s">
        <v>280</v>
      </c>
      <c r="R72" s="187" t="s">
        <v>985</v>
      </c>
      <c r="S72" s="78" t="s">
        <v>1036</v>
      </c>
      <c r="T72" s="78" t="s">
        <v>34</v>
      </c>
      <c r="U72" s="187" t="s">
        <v>22</v>
      </c>
      <c r="W72" s="208">
        <v>2</v>
      </c>
      <c r="X72" s="78" t="s">
        <v>2103</v>
      </c>
      <c r="Z72" s="208" t="s">
        <v>309</v>
      </c>
      <c r="AA72" s="208">
        <v>1</v>
      </c>
      <c r="AB72" s="187" t="s">
        <v>2104</v>
      </c>
      <c r="AC72" s="78" t="s">
        <v>1074</v>
      </c>
      <c r="AD72" s="78">
        <v>1</v>
      </c>
      <c r="AE72" s="78">
        <v>5</v>
      </c>
      <c r="AF72" s="78">
        <v>20</v>
      </c>
      <c r="AG72" s="78" t="s">
        <v>967</v>
      </c>
      <c r="AH72" s="78">
        <v>1.2</v>
      </c>
      <c r="AI72" s="78" t="s">
        <v>947</v>
      </c>
      <c r="AJ72" s="78" t="s">
        <v>1101</v>
      </c>
      <c r="AM72" s="78">
        <v>4</v>
      </c>
    </row>
    <row r="73" spans="1:39" hidden="1">
      <c r="A73" s="78">
        <v>73</v>
      </c>
      <c r="B73" s="78" t="s">
        <v>340</v>
      </c>
      <c r="D73" s="78" t="s">
        <v>947</v>
      </c>
      <c r="E73" s="78" t="s">
        <v>878</v>
      </c>
      <c r="F73" s="78" t="s">
        <v>927</v>
      </c>
      <c r="G73" s="78" t="s">
        <v>928</v>
      </c>
      <c r="H73" s="78" t="s">
        <v>947</v>
      </c>
      <c r="I73" s="78" t="s">
        <v>947</v>
      </c>
      <c r="J73" s="78" t="s">
        <v>947</v>
      </c>
      <c r="K73" s="78" t="s">
        <v>928</v>
      </c>
      <c r="L73" s="78" t="s">
        <v>878</v>
      </c>
      <c r="M73" s="78" t="s">
        <v>918</v>
      </c>
      <c r="N73" s="78" t="s">
        <v>878</v>
      </c>
      <c r="O73" s="187" t="s">
        <v>947</v>
      </c>
      <c r="P73" s="187" t="s">
        <v>947</v>
      </c>
      <c r="Q73" s="187" t="s">
        <v>280</v>
      </c>
      <c r="R73" s="187" t="s">
        <v>985</v>
      </c>
      <c r="S73" s="78" t="s">
        <v>1036</v>
      </c>
      <c r="T73" s="78" t="s">
        <v>34</v>
      </c>
      <c r="U73" s="187" t="s">
        <v>22</v>
      </c>
      <c r="W73" s="78">
        <v>2</v>
      </c>
      <c r="X73" s="78" t="s">
        <v>2103</v>
      </c>
      <c r="Z73" s="208" t="s">
        <v>309</v>
      </c>
      <c r="AA73" s="78">
        <v>1</v>
      </c>
      <c r="AB73" s="187" t="s">
        <v>2104</v>
      </c>
      <c r="AC73" s="78" t="s">
        <v>1074</v>
      </c>
      <c r="AD73" s="78">
        <v>1</v>
      </c>
      <c r="AE73" s="78">
        <v>5</v>
      </c>
      <c r="AF73" s="78">
        <v>20</v>
      </c>
      <c r="AG73" s="78" t="s">
        <v>967</v>
      </c>
      <c r="AH73" s="78">
        <v>1.2</v>
      </c>
      <c r="AI73" s="78" t="s">
        <v>947</v>
      </c>
      <c r="AJ73" s="78" t="s">
        <v>1101</v>
      </c>
      <c r="AM73" s="78">
        <v>4</v>
      </c>
    </row>
    <row r="74" spans="1:39" hidden="1">
      <c r="A74" s="78">
        <v>74</v>
      </c>
      <c r="B74" s="78" t="s">
        <v>340</v>
      </c>
      <c r="D74" s="78" t="s">
        <v>947</v>
      </c>
      <c r="E74" s="78" t="s">
        <v>878</v>
      </c>
      <c r="F74" s="78" t="s">
        <v>927</v>
      </c>
      <c r="G74" s="78" t="s">
        <v>928</v>
      </c>
      <c r="H74" s="78" t="s">
        <v>947</v>
      </c>
      <c r="I74" s="78" t="s">
        <v>947</v>
      </c>
      <c r="J74" s="78" t="s">
        <v>947</v>
      </c>
      <c r="K74" s="78" t="s">
        <v>928</v>
      </c>
      <c r="L74" s="78" t="s">
        <v>947</v>
      </c>
      <c r="M74" s="78" t="s">
        <v>927</v>
      </c>
      <c r="N74" s="78" t="s">
        <v>878</v>
      </c>
      <c r="O74" s="187" t="s">
        <v>947</v>
      </c>
      <c r="P74" s="187" t="s">
        <v>947</v>
      </c>
      <c r="Q74" s="187" t="s">
        <v>280</v>
      </c>
      <c r="R74" s="187" t="s">
        <v>985</v>
      </c>
      <c r="S74" s="78" t="s">
        <v>1036</v>
      </c>
      <c r="T74" s="78" t="s">
        <v>34</v>
      </c>
      <c r="U74" s="187" t="s">
        <v>22</v>
      </c>
      <c r="W74" s="208">
        <v>2</v>
      </c>
      <c r="X74" s="78" t="s">
        <v>2103</v>
      </c>
      <c r="Z74" s="208" t="s">
        <v>309</v>
      </c>
      <c r="AA74" s="208">
        <v>1</v>
      </c>
      <c r="AB74" s="187" t="s">
        <v>2104</v>
      </c>
      <c r="AC74" s="78" t="s">
        <v>1074</v>
      </c>
      <c r="AD74" s="78">
        <v>1</v>
      </c>
      <c r="AE74" s="78">
        <v>5</v>
      </c>
      <c r="AF74" s="78">
        <v>20</v>
      </c>
      <c r="AG74" s="78" t="s">
        <v>967</v>
      </c>
      <c r="AH74" s="78">
        <v>1.2</v>
      </c>
      <c r="AI74" s="78" t="s">
        <v>947</v>
      </c>
      <c r="AJ74" s="78" t="s">
        <v>1101</v>
      </c>
      <c r="AM74" s="78">
        <v>4</v>
      </c>
    </row>
    <row r="75" spans="1:39" hidden="1">
      <c r="A75" s="78">
        <v>75</v>
      </c>
      <c r="B75" s="78" t="s">
        <v>340</v>
      </c>
      <c r="D75" s="78" t="s">
        <v>947</v>
      </c>
      <c r="E75" s="78" t="s">
        <v>878</v>
      </c>
      <c r="F75" s="78" t="s">
        <v>927</v>
      </c>
      <c r="G75" s="78" t="s">
        <v>928</v>
      </c>
      <c r="H75" s="78" t="s">
        <v>947</v>
      </c>
      <c r="I75" s="78" t="s">
        <v>947</v>
      </c>
      <c r="J75" s="78" t="s">
        <v>928</v>
      </c>
      <c r="K75" s="78" t="s">
        <v>928</v>
      </c>
      <c r="L75" s="78" t="s">
        <v>947</v>
      </c>
      <c r="M75" s="78" t="s">
        <v>927</v>
      </c>
      <c r="N75" s="78" t="s">
        <v>878</v>
      </c>
      <c r="O75" s="187" t="s">
        <v>947</v>
      </c>
      <c r="P75" s="187" t="s">
        <v>947</v>
      </c>
      <c r="Q75" s="187" t="s">
        <v>919</v>
      </c>
      <c r="R75" s="187" t="s">
        <v>1020</v>
      </c>
      <c r="S75" s="78" t="s">
        <v>1036</v>
      </c>
      <c r="T75" s="78" t="s">
        <v>34</v>
      </c>
      <c r="U75" s="187" t="s">
        <v>22</v>
      </c>
      <c r="W75" s="78">
        <v>2</v>
      </c>
      <c r="X75" s="78" t="s">
        <v>2105</v>
      </c>
      <c r="Z75" s="208" t="s">
        <v>309</v>
      </c>
      <c r="AA75" s="78">
        <v>1</v>
      </c>
      <c r="AB75" s="187" t="s">
        <v>2104</v>
      </c>
      <c r="AC75" s="78" t="s">
        <v>1074</v>
      </c>
      <c r="AD75" s="78">
        <v>1</v>
      </c>
      <c r="AE75" s="78">
        <v>5</v>
      </c>
      <c r="AF75" s="78">
        <v>20</v>
      </c>
      <c r="AG75" s="78" t="s">
        <v>967</v>
      </c>
      <c r="AH75" s="78">
        <v>1.2</v>
      </c>
      <c r="AI75" s="78" t="s">
        <v>947</v>
      </c>
      <c r="AJ75" s="78" t="s">
        <v>1101</v>
      </c>
      <c r="AM75" s="78">
        <v>4</v>
      </c>
    </row>
    <row r="76" spans="1:39" hidden="1">
      <c r="A76" s="78">
        <v>76</v>
      </c>
      <c r="B76" s="78" t="s">
        <v>340</v>
      </c>
      <c r="D76" s="78" t="s">
        <v>947</v>
      </c>
      <c r="E76" s="78" t="s">
        <v>878</v>
      </c>
      <c r="F76" s="78" t="s">
        <v>878</v>
      </c>
      <c r="G76" s="78" t="s">
        <v>928</v>
      </c>
      <c r="H76" s="78" t="s">
        <v>947</v>
      </c>
      <c r="I76" s="78" t="s">
        <v>947</v>
      </c>
      <c r="J76" s="78" t="s">
        <v>928</v>
      </c>
      <c r="K76" s="78" t="s">
        <v>928</v>
      </c>
      <c r="L76" s="78" t="s">
        <v>947</v>
      </c>
      <c r="M76" s="78" t="s">
        <v>927</v>
      </c>
      <c r="N76" s="78" t="s">
        <v>878</v>
      </c>
      <c r="O76" s="187" t="s">
        <v>947</v>
      </c>
      <c r="P76" s="187" t="s">
        <v>947</v>
      </c>
      <c r="Q76" s="187" t="s">
        <v>919</v>
      </c>
      <c r="R76" s="187" t="s">
        <v>1020</v>
      </c>
      <c r="S76" s="78" t="s">
        <v>1036</v>
      </c>
      <c r="T76" s="78" t="s">
        <v>34</v>
      </c>
      <c r="U76" s="187" t="s">
        <v>22</v>
      </c>
      <c r="W76" s="208">
        <v>2</v>
      </c>
      <c r="X76" s="78" t="s">
        <v>2105</v>
      </c>
      <c r="Z76" s="208" t="s">
        <v>309</v>
      </c>
      <c r="AA76" s="208">
        <v>1</v>
      </c>
      <c r="AB76" s="187" t="s">
        <v>2104</v>
      </c>
      <c r="AC76" s="78" t="s">
        <v>204</v>
      </c>
      <c r="AD76" s="78">
        <v>2</v>
      </c>
      <c r="AE76" s="78">
        <v>10</v>
      </c>
      <c r="AF76" s="78">
        <v>5</v>
      </c>
      <c r="AG76" s="78" t="s">
        <v>967</v>
      </c>
      <c r="AH76" s="78">
        <v>1.2</v>
      </c>
      <c r="AI76" s="78" t="s">
        <v>1105</v>
      </c>
      <c r="AJ76" s="78" t="s">
        <v>1101</v>
      </c>
      <c r="AM76" s="78">
        <v>5</v>
      </c>
    </row>
    <row r="77" spans="1:39" hidden="1">
      <c r="A77" s="78">
        <v>77</v>
      </c>
      <c r="B77" s="78" t="s">
        <v>340</v>
      </c>
      <c r="D77" s="78" t="s">
        <v>947</v>
      </c>
      <c r="E77" s="78" t="s">
        <v>878</v>
      </c>
      <c r="F77" s="78" t="s">
        <v>878</v>
      </c>
      <c r="G77" s="78" t="s">
        <v>928</v>
      </c>
      <c r="H77" s="78" t="s">
        <v>928</v>
      </c>
      <c r="I77" s="78" t="s">
        <v>928</v>
      </c>
      <c r="J77" s="78" t="s">
        <v>928</v>
      </c>
      <c r="K77" s="78" t="s">
        <v>928</v>
      </c>
      <c r="L77" s="78" t="s">
        <v>947</v>
      </c>
      <c r="M77" s="78" t="s">
        <v>927</v>
      </c>
      <c r="N77" s="78" t="s">
        <v>878</v>
      </c>
      <c r="O77" s="187" t="s">
        <v>947</v>
      </c>
      <c r="P77" s="187" t="s">
        <v>928</v>
      </c>
      <c r="Q77" s="187" t="s">
        <v>919</v>
      </c>
      <c r="R77" s="187" t="s">
        <v>1020</v>
      </c>
      <c r="S77" s="78" t="s">
        <v>1036</v>
      </c>
      <c r="T77" s="78" t="s">
        <v>34</v>
      </c>
      <c r="U77" s="187" t="s">
        <v>22</v>
      </c>
      <c r="W77" s="78">
        <v>2</v>
      </c>
      <c r="X77" s="78" t="s">
        <v>2105</v>
      </c>
      <c r="Z77" s="208" t="s">
        <v>309</v>
      </c>
      <c r="AA77" s="78">
        <v>1</v>
      </c>
      <c r="AB77" s="187" t="s">
        <v>2104</v>
      </c>
      <c r="AC77" s="78" t="s">
        <v>204</v>
      </c>
      <c r="AD77" s="78">
        <v>2</v>
      </c>
      <c r="AE77" s="78">
        <v>10</v>
      </c>
      <c r="AF77" s="78">
        <v>5</v>
      </c>
      <c r="AG77" s="78" t="s">
        <v>967</v>
      </c>
      <c r="AH77" s="78">
        <v>1.2</v>
      </c>
      <c r="AI77" s="78" t="s">
        <v>1105</v>
      </c>
      <c r="AJ77" s="78" t="s">
        <v>1101</v>
      </c>
      <c r="AM77" s="78">
        <v>5</v>
      </c>
    </row>
    <row r="78" spans="1:39" hidden="1">
      <c r="A78" s="78">
        <v>78</v>
      </c>
      <c r="B78" s="78" t="s">
        <v>340</v>
      </c>
      <c r="D78" s="78" t="s">
        <v>947</v>
      </c>
      <c r="E78" s="78" t="s">
        <v>878</v>
      </c>
      <c r="F78" s="78" t="s">
        <v>878</v>
      </c>
      <c r="G78" s="78" t="s">
        <v>928</v>
      </c>
      <c r="H78" s="78" t="s">
        <v>928</v>
      </c>
      <c r="I78" s="78" t="s">
        <v>928</v>
      </c>
      <c r="J78" s="78" t="s">
        <v>928</v>
      </c>
      <c r="K78" s="78" t="s">
        <v>928</v>
      </c>
      <c r="L78" s="78" t="s">
        <v>947</v>
      </c>
      <c r="M78" s="78" t="s">
        <v>878</v>
      </c>
      <c r="N78" s="78" t="s">
        <v>947</v>
      </c>
      <c r="O78" s="187" t="s">
        <v>947</v>
      </c>
      <c r="P78" s="187" t="s">
        <v>928</v>
      </c>
      <c r="Q78" s="187" t="s">
        <v>919</v>
      </c>
      <c r="R78" s="187" t="s">
        <v>1020</v>
      </c>
      <c r="S78" s="78" t="s">
        <v>1036</v>
      </c>
      <c r="T78" s="78" t="s">
        <v>34</v>
      </c>
      <c r="U78" s="187" t="s">
        <v>22</v>
      </c>
      <c r="W78" s="208">
        <v>2</v>
      </c>
      <c r="X78" s="78" t="s">
        <v>2105</v>
      </c>
      <c r="Z78" s="208" t="s">
        <v>309</v>
      </c>
      <c r="AA78" s="208">
        <v>1</v>
      </c>
      <c r="AB78" s="187" t="s">
        <v>2104</v>
      </c>
      <c r="AC78" s="78" t="s">
        <v>204</v>
      </c>
      <c r="AD78" s="78">
        <v>2</v>
      </c>
      <c r="AE78" s="78">
        <v>10</v>
      </c>
      <c r="AF78" s="78">
        <v>5</v>
      </c>
      <c r="AG78" s="78" t="s">
        <v>967</v>
      </c>
      <c r="AH78" s="78">
        <v>1.2</v>
      </c>
      <c r="AI78" s="78" t="s">
        <v>1105</v>
      </c>
      <c r="AJ78" s="78" t="s">
        <v>1101</v>
      </c>
      <c r="AM78" s="78">
        <v>5</v>
      </c>
    </row>
    <row r="79" spans="1:39" hidden="1">
      <c r="A79" s="78">
        <v>79</v>
      </c>
      <c r="B79" s="78" t="s">
        <v>339</v>
      </c>
      <c r="D79" s="78" t="s">
        <v>947</v>
      </c>
      <c r="E79" s="78" t="s">
        <v>947</v>
      </c>
      <c r="F79" s="78" t="s">
        <v>878</v>
      </c>
      <c r="G79" s="78" t="s">
        <v>928</v>
      </c>
      <c r="H79" s="78" t="s">
        <v>928</v>
      </c>
      <c r="I79" s="78" t="s">
        <v>928</v>
      </c>
      <c r="J79" s="78" t="s">
        <v>928</v>
      </c>
      <c r="K79" s="78" t="s">
        <v>928</v>
      </c>
      <c r="L79" s="78" t="s">
        <v>947</v>
      </c>
      <c r="M79" s="78" t="s">
        <v>878</v>
      </c>
      <c r="N79" s="78" t="s">
        <v>947</v>
      </c>
      <c r="O79" s="187" t="s">
        <v>947</v>
      </c>
      <c r="P79" s="187" t="s">
        <v>928</v>
      </c>
      <c r="Q79" s="187" t="s">
        <v>919</v>
      </c>
      <c r="R79" s="187" t="s">
        <v>1020</v>
      </c>
      <c r="S79" s="78" t="s">
        <v>1036</v>
      </c>
      <c r="T79" s="78" t="s">
        <v>34</v>
      </c>
      <c r="U79" s="187" t="s">
        <v>22</v>
      </c>
      <c r="W79" s="78">
        <v>3</v>
      </c>
      <c r="X79" s="78" t="s">
        <v>2105</v>
      </c>
      <c r="Z79" s="208" t="s">
        <v>309</v>
      </c>
      <c r="AA79" s="78">
        <v>1</v>
      </c>
      <c r="AB79" s="187" t="s">
        <v>2104</v>
      </c>
      <c r="AC79" s="78" t="s">
        <v>204</v>
      </c>
      <c r="AD79" s="78">
        <v>2</v>
      </c>
      <c r="AE79" s="78">
        <v>10</v>
      </c>
      <c r="AF79" s="78">
        <v>5</v>
      </c>
      <c r="AG79" s="78" t="s">
        <v>967</v>
      </c>
      <c r="AH79" s="78">
        <v>1.2</v>
      </c>
      <c r="AI79" s="78" t="s">
        <v>1105</v>
      </c>
      <c r="AJ79" s="78" t="s">
        <v>1101</v>
      </c>
      <c r="AM79" s="78">
        <v>5</v>
      </c>
    </row>
    <row r="80" spans="1:39" s="208" customFormat="1" hidden="1">
      <c r="A80" s="208">
        <v>80</v>
      </c>
      <c r="B80" s="208" t="s">
        <v>339</v>
      </c>
      <c r="D80" s="208" t="s">
        <v>947</v>
      </c>
      <c r="E80" s="78" t="s">
        <v>947</v>
      </c>
      <c r="F80" s="78" t="s">
        <v>878</v>
      </c>
      <c r="G80" s="78" t="s">
        <v>928</v>
      </c>
      <c r="H80" s="78" t="s">
        <v>928</v>
      </c>
      <c r="I80" s="78" t="s">
        <v>928</v>
      </c>
      <c r="J80" s="78" t="s">
        <v>928</v>
      </c>
      <c r="K80" s="78" t="s">
        <v>928</v>
      </c>
      <c r="L80" s="78" t="s">
        <v>947</v>
      </c>
      <c r="M80" s="78" t="s">
        <v>878</v>
      </c>
      <c r="N80" s="78" t="s">
        <v>947</v>
      </c>
      <c r="O80" s="187" t="s">
        <v>947</v>
      </c>
      <c r="P80" s="187" t="s">
        <v>928</v>
      </c>
      <c r="Q80" s="187" t="s">
        <v>919</v>
      </c>
      <c r="R80" s="187" t="s">
        <v>1020</v>
      </c>
      <c r="S80" s="78" t="s">
        <v>1036</v>
      </c>
      <c r="T80" s="78" t="s">
        <v>34</v>
      </c>
      <c r="U80" s="187" t="s">
        <v>22</v>
      </c>
      <c r="W80" s="208">
        <v>3</v>
      </c>
      <c r="X80" s="78" t="s">
        <v>2105</v>
      </c>
      <c r="Z80" s="208" t="s">
        <v>309</v>
      </c>
      <c r="AA80" s="208">
        <v>1</v>
      </c>
      <c r="AB80" s="187" t="s">
        <v>2104</v>
      </c>
      <c r="AC80" s="78" t="s">
        <v>204</v>
      </c>
      <c r="AD80" s="78">
        <v>2</v>
      </c>
      <c r="AE80" s="78">
        <v>10</v>
      </c>
      <c r="AF80" s="78">
        <v>5</v>
      </c>
      <c r="AG80" s="78" t="s">
        <v>967</v>
      </c>
      <c r="AH80" s="78">
        <v>1.2</v>
      </c>
      <c r="AI80" s="78" t="s">
        <v>1105</v>
      </c>
      <c r="AJ80" s="208" t="s">
        <v>1108</v>
      </c>
      <c r="AM80" s="78">
        <v>5</v>
      </c>
    </row>
    <row r="81" spans="1:39" hidden="1">
      <c r="A81" s="78">
        <v>81</v>
      </c>
      <c r="B81" s="78" t="s">
        <v>339</v>
      </c>
      <c r="D81" s="78" t="s">
        <v>947</v>
      </c>
      <c r="E81" s="78" t="s">
        <v>947</v>
      </c>
      <c r="F81" s="78" t="s">
        <v>878</v>
      </c>
      <c r="G81" s="78" t="s">
        <v>928</v>
      </c>
      <c r="H81" s="78" t="s">
        <v>928</v>
      </c>
      <c r="I81" s="78" t="s">
        <v>928</v>
      </c>
      <c r="J81" s="78" t="s">
        <v>928</v>
      </c>
      <c r="K81" s="78" t="s">
        <v>928</v>
      </c>
      <c r="L81" s="78" t="s">
        <v>947</v>
      </c>
      <c r="M81" s="78" t="s">
        <v>878</v>
      </c>
      <c r="N81" s="78" t="s">
        <v>928</v>
      </c>
      <c r="O81" s="187" t="s">
        <v>947</v>
      </c>
      <c r="P81" s="187" t="s">
        <v>928</v>
      </c>
      <c r="Q81" s="187" t="s">
        <v>919</v>
      </c>
      <c r="R81" s="187" t="s">
        <v>1020</v>
      </c>
      <c r="S81" s="78" t="s">
        <v>1036</v>
      </c>
      <c r="T81" s="78" t="s">
        <v>34</v>
      </c>
      <c r="U81" s="187" t="s">
        <v>22</v>
      </c>
      <c r="W81" s="78">
        <v>3</v>
      </c>
      <c r="X81" s="78" t="s">
        <v>2105</v>
      </c>
      <c r="Z81" s="78" t="s">
        <v>2106</v>
      </c>
      <c r="AA81" s="78">
        <v>1.1000000000000001</v>
      </c>
      <c r="AB81" s="187" t="s">
        <v>2104</v>
      </c>
      <c r="AC81" s="78" t="s">
        <v>204</v>
      </c>
      <c r="AD81" s="78">
        <v>2</v>
      </c>
      <c r="AE81" s="78">
        <v>10</v>
      </c>
      <c r="AF81" s="78">
        <v>5</v>
      </c>
      <c r="AG81" s="78" t="s">
        <v>967</v>
      </c>
      <c r="AH81" s="78">
        <v>1.2</v>
      </c>
      <c r="AI81" s="78" t="s">
        <v>1105</v>
      </c>
      <c r="AJ81" s="208" t="s">
        <v>1108</v>
      </c>
      <c r="AM81" s="78">
        <v>5</v>
      </c>
    </row>
    <row r="82" spans="1:39" hidden="1">
      <c r="A82" s="78">
        <v>82</v>
      </c>
      <c r="B82" s="78" t="s">
        <v>338</v>
      </c>
      <c r="D82" s="78" t="s">
        <v>947</v>
      </c>
      <c r="E82" s="78" t="s">
        <v>947</v>
      </c>
      <c r="F82" s="78" t="s">
        <v>878</v>
      </c>
      <c r="G82" s="78" t="s">
        <v>928</v>
      </c>
      <c r="H82" s="78" t="s">
        <v>928</v>
      </c>
      <c r="I82" s="78" t="s">
        <v>928</v>
      </c>
      <c r="J82" s="78" t="s">
        <v>928</v>
      </c>
      <c r="K82" s="78" t="s">
        <v>928</v>
      </c>
      <c r="L82" s="78" t="s">
        <v>947</v>
      </c>
      <c r="M82" s="78" t="s">
        <v>947</v>
      </c>
      <c r="N82" s="78" t="s">
        <v>928</v>
      </c>
      <c r="O82" s="187" t="s">
        <v>947</v>
      </c>
      <c r="P82" s="187" t="s">
        <v>928</v>
      </c>
      <c r="Q82" s="187" t="s">
        <v>919</v>
      </c>
      <c r="R82" s="187" t="s">
        <v>1020</v>
      </c>
      <c r="S82" s="78" t="s">
        <v>1036</v>
      </c>
      <c r="T82" s="78" t="s">
        <v>34</v>
      </c>
      <c r="U82" s="187" t="s">
        <v>22</v>
      </c>
      <c r="W82" s="78">
        <v>2</v>
      </c>
      <c r="X82" s="78" t="s">
        <v>2105</v>
      </c>
      <c r="Z82" s="78" t="s">
        <v>2106</v>
      </c>
      <c r="AA82" s="78">
        <v>1.1000000000000001</v>
      </c>
      <c r="AB82" s="187" t="s">
        <v>2104</v>
      </c>
      <c r="AC82" s="78" t="s">
        <v>204</v>
      </c>
      <c r="AD82" s="78">
        <v>2</v>
      </c>
      <c r="AE82" s="78">
        <v>10</v>
      </c>
      <c r="AF82" s="78">
        <v>5</v>
      </c>
      <c r="AG82" s="78" t="s">
        <v>967</v>
      </c>
      <c r="AH82" s="78">
        <v>1.2</v>
      </c>
      <c r="AI82" s="78" t="s">
        <v>1105</v>
      </c>
      <c r="AJ82" s="208" t="s">
        <v>1108</v>
      </c>
      <c r="AM82" s="78">
        <v>5</v>
      </c>
    </row>
    <row r="83" spans="1:39" hidden="1">
      <c r="A83" s="78">
        <v>83</v>
      </c>
      <c r="B83" s="78" t="s">
        <v>335</v>
      </c>
      <c r="D83" s="78" t="s">
        <v>947</v>
      </c>
      <c r="E83" s="78" t="s">
        <v>947</v>
      </c>
      <c r="F83" s="78" t="s">
        <v>878</v>
      </c>
      <c r="G83" s="78" t="s">
        <v>928</v>
      </c>
      <c r="H83" s="78" t="s">
        <v>928</v>
      </c>
      <c r="I83" s="78" t="s">
        <v>928</v>
      </c>
      <c r="J83" s="78" t="s">
        <v>928</v>
      </c>
      <c r="K83" s="78" t="s">
        <v>928</v>
      </c>
      <c r="L83" s="78" t="s">
        <v>947</v>
      </c>
      <c r="M83" s="78" t="s">
        <v>947</v>
      </c>
      <c r="N83" s="78" t="s">
        <v>928</v>
      </c>
      <c r="O83" s="187" t="s">
        <v>947</v>
      </c>
      <c r="P83" s="187" t="s">
        <v>928</v>
      </c>
      <c r="Q83" s="187" t="s">
        <v>919</v>
      </c>
      <c r="R83" s="187" t="s">
        <v>1020</v>
      </c>
      <c r="S83" s="78" t="s">
        <v>158</v>
      </c>
      <c r="T83" s="78" t="s">
        <v>1008</v>
      </c>
      <c r="U83" s="187" t="s">
        <v>968</v>
      </c>
      <c r="W83" s="78">
        <v>3</v>
      </c>
      <c r="X83" s="78" t="s">
        <v>2105</v>
      </c>
      <c r="Z83" s="78" t="s">
        <v>2106</v>
      </c>
      <c r="AA83" s="78">
        <v>1.1000000000000001</v>
      </c>
      <c r="AB83" s="187" t="s">
        <v>2104</v>
      </c>
      <c r="AC83" s="78" t="s">
        <v>204</v>
      </c>
      <c r="AD83" s="78">
        <v>2</v>
      </c>
      <c r="AE83" s="78">
        <v>10</v>
      </c>
      <c r="AF83" s="78">
        <v>5</v>
      </c>
      <c r="AG83" s="78" t="s">
        <v>967</v>
      </c>
      <c r="AH83" s="78">
        <v>1.2</v>
      </c>
      <c r="AI83" s="78" t="s">
        <v>1105</v>
      </c>
      <c r="AJ83" s="208" t="s">
        <v>1108</v>
      </c>
      <c r="AM83" s="78">
        <v>5</v>
      </c>
    </row>
    <row r="84" spans="1:39" hidden="1">
      <c r="A84" s="78">
        <v>84</v>
      </c>
      <c r="B84" s="78" t="s">
        <v>335</v>
      </c>
      <c r="D84" s="78" t="s">
        <v>947</v>
      </c>
      <c r="E84" s="78" t="s">
        <v>947</v>
      </c>
      <c r="F84" s="78" t="s">
        <v>878</v>
      </c>
      <c r="G84" s="78" t="s">
        <v>928</v>
      </c>
      <c r="H84" s="78" t="s">
        <v>928</v>
      </c>
      <c r="I84" s="78" t="s">
        <v>928</v>
      </c>
      <c r="J84" s="78" t="s">
        <v>928</v>
      </c>
      <c r="K84" s="78" t="s">
        <v>928</v>
      </c>
      <c r="L84" s="78" t="s">
        <v>947</v>
      </c>
      <c r="M84" s="78" t="s">
        <v>947</v>
      </c>
      <c r="N84" s="78" t="s">
        <v>928</v>
      </c>
      <c r="O84" s="187" t="s">
        <v>947</v>
      </c>
      <c r="P84" s="187" t="s">
        <v>928</v>
      </c>
      <c r="Q84" s="187" t="s">
        <v>919</v>
      </c>
      <c r="R84" s="187" t="s">
        <v>1020</v>
      </c>
      <c r="S84" s="78" t="s">
        <v>158</v>
      </c>
      <c r="T84" s="78" t="s">
        <v>1008</v>
      </c>
      <c r="U84" s="187" t="s">
        <v>968</v>
      </c>
      <c r="W84" s="78">
        <v>3</v>
      </c>
      <c r="X84" s="78" t="s">
        <v>2107</v>
      </c>
      <c r="Z84" s="78" t="s">
        <v>2106</v>
      </c>
      <c r="AA84" s="78">
        <v>1.1000000000000001</v>
      </c>
      <c r="AB84" s="187" t="s">
        <v>2104</v>
      </c>
      <c r="AC84" s="78" t="s">
        <v>204</v>
      </c>
      <c r="AD84" s="78">
        <v>2</v>
      </c>
      <c r="AE84" s="78">
        <v>10</v>
      </c>
      <c r="AF84" s="78">
        <v>5</v>
      </c>
      <c r="AG84" s="78" t="s">
        <v>967</v>
      </c>
      <c r="AH84" s="78">
        <v>1.2</v>
      </c>
      <c r="AI84" s="78" t="s">
        <v>1105</v>
      </c>
      <c r="AJ84" s="208" t="s">
        <v>1108</v>
      </c>
      <c r="AM84" s="78">
        <v>5</v>
      </c>
    </row>
    <row r="85" spans="1:39" hidden="1">
      <c r="A85" s="78">
        <v>85</v>
      </c>
      <c r="B85" s="78" t="s">
        <v>334</v>
      </c>
      <c r="D85" s="78" t="s">
        <v>947</v>
      </c>
      <c r="E85" s="78" t="s">
        <v>947</v>
      </c>
      <c r="F85" s="78" t="s">
        <v>878</v>
      </c>
      <c r="G85" s="78" t="s">
        <v>928</v>
      </c>
      <c r="H85" s="78" t="s">
        <v>928</v>
      </c>
      <c r="I85" s="78" t="s">
        <v>928</v>
      </c>
      <c r="J85" s="78" t="s">
        <v>928</v>
      </c>
      <c r="K85" s="78" t="s">
        <v>928</v>
      </c>
      <c r="L85" s="78" t="s">
        <v>947</v>
      </c>
      <c r="M85" s="78" t="s">
        <v>947</v>
      </c>
      <c r="N85" s="78" t="s">
        <v>928</v>
      </c>
      <c r="O85" s="187" t="s">
        <v>947</v>
      </c>
      <c r="P85" s="187" t="s">
        <v>928</v>
      </c>
      <c r="Q85" s="187" t="s">
        <v>919</v>
      </c>
      <c r="R85" s="187" t="s">
        <v>1020</v>
      </c>
      <c r="S85" s="78" t="s">
        <v>158</v>
      </c>
      <c r="T85" s="78" t="s">
        <v>1008</v>
      </c>
      <c r="U85" s="187" t="s">
        <v>968</v>
      </c>
      <c r="W85" s="78">
        <v>-3</v>
      </c>
      <c r="X85" s="78" t="s">
        <v>2107</v>
      </c>
      <c r="Z85" s="78" t="s">
        <v>2106</v>
      </c>
      <c r="AA85" s="78">
        <v>1.1000000000000001</v>
      </c>
      <c r="AB85" s="187" t="s">
        <v>2104</v>
      </c>
      <c r="AC85" s="78" t="s">
        <v>204</v>
      </c>
      <c r="AD85" s="78">
        <v>2</v>
      </c>
      <c r="AE85" s="78">
        <v>10</v>
      </c>
      <c r="AF85" s="78">
        <v>5</v>
      </c>
      <c r="AG85" s="78" t="s">
        <v>967</v>
      </c>
      <c r="AH85" s="78">
        <v>1.2</v>
      </c>
      <c r="AI85" s="78" t="s">
        <v>1105</v>
      </c>
      <c r="AJ85" s="208" t="s">
        <v>1108</v>
      </c>
      <c r="AM85" s="78">
        <v>5</v>
      </c>
    </row>
    <row r="86" spans="1:39" hidden="1">
      <c r="A86" s="78">
        <v>86</v>
      </c>
      <c r="B86" s="78" t="s">
        <v>333</v>
      </c>
      <c r="D86" s="78" t="s">
        <v>947</v>
      </c>
      <c r="E86" s="78" t="s">
        <v>947</v>
      </c>
      <c r="F86" s="78" t="s">
        <v>947</v>
      </c>
      <c r="G86" s="78" t="s">
        <v>969</v>
      </c>
      <c r="H86" s="78" t="s">
        <v>928</v>
      </c>
      <c r="I86" s="78" t="s">
        <v>928</v>
      </c>
      <c r="J86" s="78" t="s">
        <v>928</v>
      </c>
      <c r="K86" s="78" t="s">
        <v>928</v>
      </c>
      <c r="L86" s="78" t="s">
        <v>947</v>
      </c>
      <c r="M86" s="78" t="s">
        <v>947</v>
      </c>
      <c r="N86" s="78" t="s">
        <v>928</v>
      </c>
      <c r="O86" s="187" t="s">
        <v>947</v>
      </c>
      <c r="P86" s="187" t="s">
        <v>928</v>
      </c>
      <c r="Q86" s="187" t="s">
        <v>919</v>
      </c>
      <c r="R86" s="187" t="s">
        <v>1020</v>
      </c>
      <c r="S86" s="78" t="s">
        <v>158</v>
      </c>
      <c r="T86" s="78" t="s">
        <v>1008</v>
      </c>
      <c r="U86" s="187" t="s">
        <v>968</v>
      </c>
      <c r="W86" s="78">
        <v>0</v>
      </c>
      <c r="X86" s="78" t="s">
        <v>2107</v>
      </c>
      <c r="Z86" s="78" t="s">
        <v>2106</v>
      </c>
      <c r="AA86" s="78">
        <v>1.1000000000000001</v>
      </c>
      <c r="AB86" s="187" t="s">
        <v>2104</v>
      </c>
      <c r="AC86" s="78" t="s">
        <v>204</v>
      </c>
      <c r="AD86" s="78">
        <v>2</v>
      </c>
      <c r="AE86" s="78">
        <v>10</v>
      </c>
      <c r="AF86" s="78">
        <v>5</v>
      </c>
      <c r="AG86" s="78" t="s">
        <v>1110</v>
      </c>
      <c r="AH86" s="78">
        <v>1.5</v>
      </c>
      <c r="AI86" s="78" t="s">
        <v>1105</v>
      </c>
      <c r="AJ86" s="208" t="s">
        <v>1108</v>
      </c>
      <c r="AM86" s="78">
        <v>5</v>
      </c>
    </row>
    <row r="87" spans="1:39" hidden="1">
      <c r="A87" s="78">
        <v>87</v>
      </c>
      <c r="B87" s="78" t="s">
        <v>333</v>
      </c>
      <c r="D87" s="78" t="s">
        <v>928</v>
      </c>
      <c r="E87" s="78" t="s">
        <v>928</v>
      </c>
      <c r="F87" s="78" t="s">
        <v>947</v>
      </c>
      <c r="G87" s="78" t="s">
        <v>969</v>
      </c>
      <c r="H87" s="78" t="s">
        <v>928</v>
      </c>
      <c r="I87" s="78" t="s">
        <v>928</v>
      </c>
      <c r="J87" s="78" t="s">
        <v>928</v>
      </c>
      <c r="K87" s="78" t="s">
        <v>928</v>
      </c>
      <c r="L87" s="78" t="s">
        <v>947</v>
      </c>
      <c r="M87" s="78" t="s">
        <v>947</v>
      </c>
      <c r="N87" s="78" t="s">
        <v>928</v>
      </c>
      <c r="O87" s="187" t="s">
        <v>947</v>
      </c>
      <c r="P87" s="187" t="s">
        <v>928</v>
      </c>
      <c r="Q87" s="187" t="s">
        <v>919</v>
      </c>
      <c r="R87" s="187" t="s">
        <v>1020</v>
      </c>
      <c r="S87" s="78" t="s">
        <v>158</v>
      </c>
      <c r="T87" s="78" t="s">
        <v>1008</v>
      </c>
      <c r="U87" s="187" t="s">
        <v>968</v>
      </c>
      <c r="W87" s="78">
        <v>0</v>
      </c>
      <c r="X87" s="78" t="s">
        <v>2107</v>
      </c>
      <c r="Z87" s="78" t="s">
        <v>2106</v>
      </c>
      <c r="AA87" s="78">
        <v>1.1000000000000001</v>
      </c>
      <c r="AB87" s="187" t="s">
        <v>2104</v>
      </c>
      <c r="AC87" s="78" t="s">
        <v>204</v>
      </c>
      <c r="AD87" s="78">
        <v>2</v>
      </c>
      <c r="AE87" s="78">
        <v>10</v>
      </c>
      <c r="AF87" s="78">
        <v>5</v>
      </c>
      <c r="AG87" s="78" t="s">
        <v>1110</v>
      </c>
      <c r="AH87" s="78">
        <v>1.5</v>
      </c>
      <c r="AI87" s="78" t="s">
        <v>1105</v>
      </c>
      <c r="AJ87" s="208" t="s">
        <v>1108</v>
      </c>
      <c r="AM87" s="78">
        <v>5</v>
      </c>
    </row>
    <row r="88" spans="1:39" hidden="1">
      <c r="A88" s="78">
        <v>88</v>
      </c>
      <c r="B88" s="78" t="s">
        <v>333</v>
      </c>
      <c r="D88" s="78" t="s">
        <v>928</v>
      </c>
      <c r="E88" s="78" t="s">
        <v>928</v>
      </c>
      <c r="F88" s="78" t="s">
        <v>947</v>
      </c>
      <c r="G88" s="78" t="s">
        <v>969</v>
      </c>
      <c r="H88" s="78" t="s">
        <v>928</v>
      </c>
      <c r="I88" s="78" t="s">
        <v>969</v>
      </c>
      <c r="J88" s="78" t="s">
        <v>969</v>
      </c>
      <c r="K88" s="78" t="s">
        <v>969</v>
      </c>
      <c r="L88" s="78" t="s">
        <v>947</v>
      </c>
      <c r="M88" s="78" t="s">
        <v>947</v>
      </c>
      <c r="N88" s="78" t="s">
        <v>928</v>
      </c>
      <c r="O88" s="187" t="s">
        <v>928</v>
      </c>
      <c r="P88" s="187" t="s">
        <v>969</v>
      </c>
      <c r="Q88" s="187" t="s">
        <v>919</v>
      </c>
      <c r="R88" s="187" t="s">
        <v>1020</v>
      </c>
      <c r="S88" s="78" t="s">
        <v>158</v>
      </c>
      <c r="T88" s="78" t="s">
        <v>1008</v>
      </c>
      <c r="U88" s="187" t="s">
        <v>968</v>
      </c>
      <c r="W88" s="78">
        <v>0</v>
      </c>
      <c r="X88" s="78" t="s">
        <v>2107</v>
      </c>
      <c r="Z88" s="78" t="s">
        <v>2106</v>
      </c>
      <c r="AA88" s="78">
        <v>1.1000000000000001</v>
      </c>
      <c r="AB88" s="187" t="s">
        <v>2104</v>
      </c>
      <c r="AC88" s="78" t="s">
        <v>204</v>
      </c>
      <c r="AD88" s="78">
        <v>2</v>
      </c>
      <c r="AE88" s="78">
        <v>10</v>
      </c>
      <c r="AF88" s="78">
        <v>5</v>
      </c>
      <c r="AG88" s="78" t="s">
        <v>1110</v>
      </c>
      <c r="AH88" s="78">
        <v>1.5</v>
      </c>
      <c r="AI88" s="78" t="s">
        <v>1105</v>
      </c>
      <c r="AJ88" s="208" t="s">
        <v>1108</v>
      </c>
      <c r="AM88" s="78">
        <v>5</v>
      </c>
    </row>
    <row r="89" spans="1:39" hidden="1">
      <c r="A89" s="78">
        <v>89</v>
      </c>
      <c r="B89" s="78" t="s">
        <v>333</v>
      </c>
      <c r="D89" s="78" t="s">
        <v>928</v>
      </c>
      <c r="E89" s="78" t="s">
        <v>928</v>
      </c>
      <c r="F89" s="78" t="s">
        <v>947</v>
      </c>
      <c r="G89" s="78" t="s">
        <v>969</v>
      </c>
      <c r="H89" s="78" t="s">
        <v>928</v>
      </c>
      <c r="I89" s="78" t="s">
        <v>969</v>
      </c>
      <c r="J89" s="78" t="s">
        <v>969</v>
      </c>
      <c r="K89" s="78" t="s">
        <v>969</v>
      </c>
      <c r="L89" s="78" t="s">
        <v>947</v>
      </c>
      <c r="M89" s="78" t="s">
        <v>947</v>
      </c>
      <c r="N89" s="78" t="s">
        <v>969</v>
      </c>
      <c r="O89" s="187" t="s">
        <v>928</v>
      </c>
      <c r="P89" s="187" t="s">
        <v>969</v>
      </c>
      <c r="Q89" s="187" t="s">
        <v>919</v>
      </c>
      <c r="R89" s="187" t="s">
        <v>1020</v>
      </c>
      <c r="S89" s="78" t="s">
        <v>158</v>
      </c>
      <c r="T89" s="78" t="s">
        <v>1008</v>
      </c>
      <c r="U89" s="187" t="s">
        <v>968</v>
      </c>
      <c r="W89" s="78">
        <v>0</v>
      </c>
      <c r="X89" s="78" t="s">
        <v>2107</v>
      </c>
      <c r="Z89" s="78" t="s">
        <v>2106</v>
      </c>
      <c r="AA89" s="78">
        <v>1.1000000000000001</v>
      </c>
      <c r="AB89" s="187" t="s">
        <v>2104</v>
      </c>
      <c r="AC89" s="78" t="s">
        <v>204</v>
      </c>
      <c r="AD89" s="78">
        <v>2</v>
      </c>
      <c r="AE89" s="78">
        <v>10</v>
      </c>
      <c r="AF89" s="78">
        <v>5</v>
      </c>
      <c r="AG89" s="78" t="s">
        <v>1110</v>
      </c>
      <c r="AH89" s="78">
        <v>1.5</v>
      </c>
      <c r="AI89" s="78" t="s">
        <v>1105</v>
      </c>
      <c r="AJ89" s="208" t="s">
        <v>1108</v>
      </c>
      <c r="AM89" s="78">
        <v>5</v>
      </c>
    </row>
    <row r="90" spans="1:39" s="208" customFormat="1" hidden="1">
      <c r="A90" s="208">
        <v>90</v>
      </c>
      <c r="B90" s="208" t="s">
        <v>333</v>
      </c>
      <c r="D90" s="208" t="s">
        <v>928</v>
      </c>
      <c r="E90" s="78" t="s">
        <v>928</v>
      </c>
      <c r="F90" s="78" t="s">
        <v>947</v>
      </c>
      <c r="G90" s="78" t="s">
        <v>969</v>
      </c>
      <c r="H90" s="78" t="s">
        <v>928</v>
      </c>
      <c r="I90" s="78" t="s">
        <v>969</v>
      </c>
      <c r="J90" s="78" t="s">
        <v>969</v>
      </c>
      <c r="K90" s="78" t="s">
        <v>969</v>
      </c>
      <c r="L90" s="78" t="s">
        <v>928</v>
      </c>
      <c r="M90" s="78" t="s">
        <v>947</v>
      </c>
      <c r="N90" s="78" t="s">
        <v>969</v>
      </c>
      <c r="O90" s="187" t="s">
        <v>928</v>
      </c>
      <c r="P90" s="187" t="s">
        <v>969</v>
      </c>
      <c r="Q90" s="187" t="s">
        <v>919</v>
      </c>
      <c r="R90" s="187" t="s">
        <v>1020</v>
      </c>
      <c r="S90" s="78" t="s">
        <v>158</v>
      </c>
      <c r="T90" s="78" t="s">
        <v>1008</v>
      </c>
      <c r="U90" s="187" t="s">
        <v>968</v>
      </c>
      <c r="W90" s="78">
        <v>0</v>
      </c>
      <c r="X90" s="78" t="s">
        <v>2107</v>
      </c>
      <c r="Z90" s="78" t="s">
        <v>2106</v>
      </c>
      <c r="AA90" s="78">
        <v>1.1000000000000001</v>
      </c>
      <c r="AB90" s="187" t="s">
        <v>2104</v>
      </c>
      <c r="AC90" s="78" t="s">
        <v>204</v>
      </c>
      <c r="AD90" s="78">
        <v>2</v>
      </c>
      <c r="AE90" s="78">
        <v>10</v>
      </c>
      <c r="AF90" s="78">
        <v>5</v>
      </c>
      <c r="AG90" s="78" t="s">
        <v>1110</v>
      </c>
      <c r="AH90" s="78">
        <v>1.5</v>
      </c>
      <c r="AI90" s="78" t="s">
        <v>1105</v>
      </c>
      <c r="AJ90" s="208" t="s">
        <v>1108</v>
      </c>
      <c r="AM90" s="78">
        <v>5</v>
      </c>
    </row>
    <row r="91" spans="1:39" hidden="1">
      <c r="A91" s="78">
        <v>91</v>
      </c>
      <c r="B91" s="78" t="s">
        <v>333</v>
      </c>
      <c r="D91" s="78" t="s">
        <v>969</v>
      </c>
      <c r="E91" s="78" t="s">
        <v>928</v>
      </c>
      <c r="F91" s="78" t="s">
        <v>928</v>
      </c>
      <c r="G91" s="78" t="s">
        <v>969</v>
      </c>
      <c r="H91" s="78" t="s">
        <v>928</v>
      </c>
      <c r="I91" s="78" t="s">
        <v>969</v>
      </c>
      <c r="J91" s="78" t="s">
        <v>969</v>
      </c>
      <c r="K91" s="78" t="s">
        <v>969</v>
      </c>
      <c r="L91" s="78" t="s">
        <v>928</v>
      </c>
      <c r="M91" s="78" t="s">
        <v>928</v>
      </c>
      <c r="N91" s="78" t="s">
        <v>969</v>
      </c>
      <c r="O91" s="187" t="s">
        <v>928</v>
      </c>
      <c r="P91" s="187" t="s">
        <v>969</v>
      </c>
      <c r="Q91" s="187" t="s">
        <v>919</v>
      </c>
      <c r="R91" s="187" t="s">
        <v>1020</v>
      </c>
      <c r="S91" s="78" t="s">
        <v>158</v>
      </c>
      <c r="T91" s="78" t="s">
        <v>1008</v>
      </c>
      <c r="U91" s="187" t="s">
        <v>968</v>
      </c>
      <c r="W91" s="78">
        <v>0</v>
      </c>
      <c r="X91" s="78" t="s">
        <v>2107</v>
      </c>
      <c r="Z91" s="78" t="s">
        <v>2106</v>
      </c>
      <c r="AA91" s="78">
        <v>1.1000000000000001</v>
      </c>
      <c r="AB91" s="187" t="s">
        <v>754</v>
      </c>
      <c r="AC91" s="78" t="s">
        <v>208</v>
      </c>
      <c r="AD91" s="78">
        <v>-1</v>
      </c>
      <c r="AE91" s="78">
        <v>-10</v>
      </c>
      <c r="AF91" s="78">
        <v>30</v>
      </c>
      <c r="AG91" s="78" t="s">
        <v>1110</v>
      </c>
      <c r="AH91" s="78">
        <v>1.5</v>
      </c>
      <c r="AI91" s="78" t="s">
        <v>1105</v>
      </c>
      <c r="AJ91" s="208" t="s">
        <v>1108</v>
      </c>
      <c r="AM91" s="78">
        <v>6</v>
      </c>
    </row>
    <row r="92" spans="1:39" hidden="1">
      <c r="A92" s="78">
        <v>92</v>
      </c>
      <c r="B92" s="78" t="s">
        <v>333</v>
      </c>
      <c r="D92" s="78" t="s">
        <v>969</v>
      </c>
      <c r="E92" s="78" t="s">
        <v>928</v>
      </c>
      <c r="F92" s="78" t="s">
        <v>928</v>
      </c>
      <c r="G92" s="78" t="s">
        <v>969</v>
      </c>
      <c r="H92" s="78" t="s">
        <v>928</v>
      </c>
      <c r="I92" s="78" t="s">
        <v>969</v>
      </c>
      <c r="J92" s="78" t="s">
        <v>969</v>
      </c>
      <c r="K92" s="78" t="s">
        <v>969</v>
      </c>
      <c r="L92" s="78" t="s">
        <v>928</v>
      </c>
      <c r="M92" s="78" t="s">
        <v>928</v>
      </c>
      <c r="N92" s="78" t="s">
        <v>969</v>
      </c>
      <c r="O92" s="187" t="s">
        <v>928</v>
      </c>
      <c r="P92" s="187" t="s">
        <v>969</v>
      </c>
      <c r="Q92" s="187" t="s">
        <v>919</v>
      </c>
      <c r="R92" s="187" t="s">
        <v>1020</v>
      </c>
      <c r="S92" s="78" t="s">
        <v>158</v>
      </c>
      <c r="T92" s="78" t="s">
        <v>1008</v>
      </c>
      <c r="U92" s="187" t="s">
        <v>968</v>
      </c>
      <c r="W92" s="78">
        <v>0</v>
      </c>
      <c r="X92" s="78" t="s">
        <v>2107</v>
      </c>
      <c r="Z92" s="78" t="s">
        <v>2106</v>
      </c>
      <c r="AA92" s="78">
        <v>1.1000000000000001</v>
      </c>
      <c r="AB92" s="187" t="s">
        <v>754</v>
      </c>
      <c r="AC92" s="78" t="s">
        <v>208</v>
      </c>
      <c r="AD92" s="78">
        <v>-1</v>
      </c>
      <c r="AE92" s="78">
        <v>-10</v>
      </c>
      <c r="AF92" s="78">
        <v>30</v>
      </c>
      <c r="AG92" s="78" t="s">
        <v>1110</v>
      </c>
      <c r="AH92" s="78">
        <v>1.5</v>
      </c>
      <c r="AI92" s="78" t="s">
        <v>1105</v>
      </c>
      <c r="AJ92" s="208" t="s">
        <v>1108</v>
      </c>
      <c r="AM92" s="78">
        <v>6</v>
      </c>
    </row>
    <row r="93" spans="1:39" hidden="1">
      <c r="A93" s="78">
        <v>93</v>
      </c>
      <c r="B93" s="78" t="s">
        <v>333</v>
      </c>
      <c r="D93" s="78" t="s">
        <v>969</v>
      </c>
      <c r="E93" s="78" t="s">
        <v>969</v>
      </c>
      <c r="F93" s="78" t="s">
        <v>969</v>
      </c>
      <c r="G93" s="78" t="s">
        <v>969</v>
      </c>
      <c r="H93" s="78" t="s">
        <v>928</v>
      </c>
      <c r="I93" s="78" t="s">
        <v>969</v>
      </c>
      <c r="J93" s="78" t="s">
        <v>969</v>
      </c>
      <c r="K93" s="78" t="s">
        <v>969</v>
      </c>
      <c r="L93" s="78" t="s">
        <v>928</v>
      </c>
      <c r="M93" s="78" t="s">
        <v>928</v>
      </c>
      <c r="N93" s="78" t="s">
        <v>969</v>
      </c>
      <c r="O93" s="187" t="s">
        <v>928</v>
      </c>
      <c r="P93" s="187" t="s">
        <v>969</v>
      </c>
      <c r="Q93" s="187" t="s">
        <v>919</v>
      </c>
      <c r="R93" s="187" t="s">
        <v>1020</v>
      </c>
      <c r="S93" s="78" t="s">
        <v>158</v>
      </c>
      <c r="T93" s="78" t="s">
        <v>1008</v>
      </c>
      <c r="U93" s="187" t="s">
        <v>968</v>
      </c>
      <c r="W93" s="78">
        <v>0</v>
      </c>
      <c r="X93" s="78" t="s">
        <v>2107</v>
      </c>
      <c r="Z93" s="78" t="s">
        <v>2106</v>
      </c>
      <c r="AA93" s="78">
        <v>1.1000000000000001</v>
      </c>
      <c r="AB93" s="187" t="s">
        <v>754</v>
      </c>
      <c r="AC93" s="78" t="s">
        <v>208</v>
      </c>
      <c r="AD93" s="78">
        <v>-1</v>
      </c>
      <c r="AE93" s="78">
        <v>-10</v>
      </c>
      <c r="AF93" s="78">
        <v>30</v>
      </c>
      <c r="AG93" s="78" t="s">
        <v>1110</v>
      </c>
      <c r="AH93" s="78">
        <v>1.5</v>
      </c>
      <c r="AI93" s="78" t="s">
        <v>1105</v>
      </c>
      <c r="AJ93" s="208" t="s">
        <v>1108</v>
      </c>
      <c r="AM93" s="78">
        <v>6</v>
      </c>
    </row>
    <row r="94" spans="1:39" hidden="1">
      <c r="A94" s="78">
        <v>94</v>
      </c>
      <c r="B94" s="78" t="s">
        <v>333</v>
      </c>
      <c r="D94" s="78" t="s">
        <v>969</v>
      </c>
      <c r="E94" s="78" t="s">
        <v>969</v>
      </c>
      <c r="F94" s="78" t="s">
        <v>969</v>
      </c>
      <c r="G94" s="78" t="s">
        <v>969</v>
      </c>
      <c r="H94" s="78" t="s">
        <v>928</v>
      </c>
      <c r="I94" s="78" t="s">
        <v>969</v>
      </c>
      <c r="J94" s="78" t="s">
        <v>969</v>
      </c>
      <c r="K94" s="78" t="s">
        <v>969</v>
      </c>
      <c r="L94" s="78" t="s">
        <v>969</v>
      </c>
      <c r="M94" s="78" t="s">
        <v>928</v>
      </c>
      <c r="N94" s="78" t="s">
        <v>969</v>
      </c>
      <c r="O94" s="187" t="s">
        <v>969</v>
      </c>
      <c r="P94" s="187" t="s">
        <v>969</v>
      </c>
      <c r="Q94" s="187" t="s">
        <v>919</v>
      </c>
      <c r="R94" s="187" t="s">
        <v>1020</v>
      </c>
      <c r="S94" s="78" t="s">
        <v>158</v>
      </c>
      <c r="T94" s="78" t="s">
        <v>1008</v>
      </c>
      <c r="U94" s="187" t="s">
        <v>968</v>
      </c>
      <c r="W94" s="78">
        <v>0</v>
      </c>
      <c r="X94" s="78" t="s">
        <v>2107</v>
      </c>
      <c r="Z94" s="78" t="s">
        <v>2106</v>
      </c>
      <c r="AA94" s="78">
        <v>1.1000000000000001</v>
      </c>
      <c r="AB94" s="187" t="s">
        <v>754</v>
      </c>
      <c r="AC94" s="78" t="s">
        <v>208</v>
      </c>
      <c r="AD94" s="78">
        <v>-1</v>
      </c>
      <c r="AE94" s="78">
        <v>-10</v>
      </c>
      <c r="AF94" s="78">
        <v>30</v>
      </c>
      <c r="AG94" s="78" t="s">
        <v>1110</v>
      </c>
      <c r="AH94" s="78">
        <v>1.5</v>
      </c>
      <c r="AI94" s="78" t="s">
        <v>1105</v>
      </c>
      <c r="AJ94" s="208" t="s">
        <v>1108</v>
      </c>
      <c r="AM94" s="78">
        <v>6</v>
      </c>
    </row>
    <row r="95" spans="1:39" hidden="1">
      <c r="A95" s="78">
        <v>95</v>
      </c>
      <c r="B95" s="78" t="s">
        <v>333</v>
      </c>
      <c r="D95" s="78" t="s">
        <v>969</v>
      </c>
      <c r="E95" s="78" t="s">
        <v>969</v>
      </c>
      <c r="F95" s="78" t="s">
        <v>969</v>
      </c>
      <c r="G95" s="78" t="s">
        <v>969</v>
      </c>
      <c r="H95" s="78" t="s">
        <v>928</v>
      </c>
      <c r="I95" s="78" t="s">
        <v>969</v>
      </c>
      <c r="J95" s="78" t="s">
        <v>969</v>
      </c>
      <c r="K95" s="78" t="s">
        <v>969</v>
      </c>
      <c r="L95" s="78" t="s">
        <v>969</v>
      </c>
      <c r="M95" s="78" t="s">
        <v>928</v>
      </c>
      <c r="N95" s="78" t="s">
        <v>969</v>
      </c>
      <c r="O95" s="187" t="s">
        <v>969</v>
      </c>
      <c r="P95" s="187" t="s">
        <v>969</v>
      </c>
      <c r="Q95" s="187" t="s">
        <v>948</v>
      </c>
      <c r="R95" s="187" t="s">
        <v>22</v>
      </c>
      <c r="S95" s="78" t="s">
        <v>158</v>
      </c>
      <c r="T95" s="78" t="s">
        <v>1008</v>
      </c>
      <c r="U95" s="187" t="s">
        <v>968</v>
      </c>
      <c r="W95" s="78">
        <v>0</v>
      </c>
      <c r="X95" s="78" t="s">
        <v>2107</v>
      </c>
      <c r="Z95" s="78" t="s">
        <v>2106</v>
      </c>
      <c r="AA95" s="78">
        <v>1.1000000000000001</v>
      </c>
      <c r="AB95" s="187" t="s">
        <v>754</v>
      </c>
      <c r="AC95" s="78" t="s">
        <v>208</v>
      </c>
      <c r="AD95" s="78">
        <v>-1</v>
      </c>
      <c r="AE95" s="78">
        <v>-10</v>
      </c>
      <c r="AF95" s="78">
        <v>30</v>
      </c>
      <c r="AG95" s="78" t="s">
        <v>1110</v>
      </c>
      <c r="AH95" s="78">
        <v>1.5</v>
      </c>
      <c r="AI95" s="78" t="s">
        <v>1105</v>
      </c>
      <c r="AJ95" s="208" t="s">
        <v>1108</v>
      </c>
      <c r="AM95" s="78">
        <v>7</v>
      </c>
    </row>
    <row r="96" spans="1:39" hidden="1">
      <c r="A96" s="78">
        <v>96</v>
      </c>
      <c r="B96" s="78" t="s">
        <v>333</v>
      </c>
      <c r="D96" s="78" t="s">
        <v>969</v>
      </c>
      <c r="E96" s="78" t="s">
        <v>969</v>
      </c>
      <c r="F96" s="78" t="s">
        <v>969</v>
      </c>
      <c r="G96" s="78" t="s">
        <v>969</v>
      </c>
      <c r="H96" s="78" t="s">
        <v>928</v>
      </c>
      <c r="I96" s="78" t="s">
        <v>969</v>
      </c>
      <c r="J96" s="78" t="s">
        <v>969</v>
      </c>
      <c r="K96" s="78" t="s">
        <v>969</v>
      </c>
      <c r="L96" s="78" t="s">
        <v>969</v>
      </c>
      <c r="M96" s="78" t="s">
        <v>969</v>
      </c>
      <c r="N96" s="78" t="s">
        <v>969</v>
      </c>
      <c r="O96" s="187" t="s">
        <v>969</v>
      </c>
      <c r="P96" s="187" t="s">
        <v>969</v>
      </c>
      <c r="Q96" s="187" t="s">
        <v>948</v>
      </c>
      <c r="R96" s="187" t="s">
        <v>22</v>
      </c>
      <c r="S96" s="78" t="s">
        <v>158</v>
      </c>
      <c r="T96" s="78" t="s">
        <v>1008</v>
      </c>
      <c r="U96" s="187" t="s">
        <v>968</v>
      </c>
      <c r="W96" s="78">
        <v>0</v>
      </c>
      <c r="X96" s="78" t="s">
        <v>2107</v>
      </c>
      <c r="Z96" s="78" t="s">
        <v>2108</v>
      </c>
      <c r="AA96" s="78">
        <v>1.3</v>
      </c>
      <c r="AB96" s="187" t="s">
        <v>754</v>
      </c>
      <c r="AC96" s="78" t="s">
        <v>208</v>
      </c>
      <c r="AD96" s="78">
        <v>-1</v>
      </c>
      <c r="AE96" s="78">
        <v>-10</v>
      </c>
      <c r="AF96" s="78">
        <v>30</v>
      </c>
      <c r="AG96" s="78" t="s">
        <v>1110</v>
      </c>
      <c r="AH96" s="78">
        <v>1.5</v>
      </c>
      <c r="AI96" s="78" t="s">
        <v>1105</v>
      </c>
      <c r="AJ96" s="208" t="s">
        <v>1108</v>
      </c>
      <c r="AM96" s="78">
        <v>7</v>
      </c>
    </row>
    <row r="97" spans="1:60" hidden="1">
      <c r="A97" s="78">
        <v>97</v>
      </c>
      <c r="B97" s="78" t="s">
        <v>333</v>
      </c>
      <c r="D97" s="78" t="s">
        <v>969</v>
      </c>
      <c r="E97" s="78" t="s">
        <v>969</v>
      </c>
      <c r="F97" s="78" t="s">
        <v>969</v>
      </c>
      <c r="G97" s="78" t="s">
        <v>969</v>
      </c>
      <c r="H97" s="78" t="s">
        <v>928</v>
      </c>
      <c r="I97" s="78" t="s">
        <v>969</v>
      </c>
      <c r="J97" s="78" t="s">
        <v>969</v>
      </c>
      <c r="K97" s="78" t="s">
        <v>969</v>
      </c>
      <c r="L97" s="78" t="s">
        <v>969</v>
      </c>
      <c r="M97" s="78" t="s">
        <v>969</v>
      </c>
      <c r="N97" s="78" t="s">
        <v>969</v>
      </c>
      <c r="O97" s="187" t="s">
        <v>969</v>
      </c>
      <c r="P97" s="187" t="s">
        <v>969</v>
      </c>
      <c r="Q97" s="187" t="s">
        <v>948</v>
      </c>
      <c r="R97" s="187" t="s">
        <v>22</v>
      </c>
      <c r="S97" s="78" t="s">
        <v>158</v>
      </c>
      <c r="T97" s="78" t="s">
        <v>1008</v>
      </c>
      <c r="U97" s="187" t="s">
        <v>968</v>
      </c>
      <c r="W97" s="78">
        <v>0</v>
      </c>
      <c r="X97" s="78" t="s">
        <v>2107</v>
      </c>
      <c r="Z97" s="78" t="s">
        <v>2108</v>
      </c>
      <c r="AA97" s="78">
        <v>1.3</v>
      </c>
      <c r="AB97" s="187" t="s">
        <v>754</v>
      </c>
      <c r="AC97" s="78" t="s">
        <v>208</v>
      </c>
      <c r="AD97" s="78">
        <v>-1</v>
      </c>
      <c r="AE97" s="78">
        <v>-10</v>
      </c>
      <c r="AF97" s="78">
        <v>30</v>
      </c>
      <c r="AG97" s="78" t="s">
        <v>1110</v>
      </c>
      <c r="AH97" s="78">
        <v>1.5</v>
      </c>
      <c r="AI97" s="78" t="s">
        <v>1105</v>
      </c>
      <c r="AJ97" s="208" t="s">
        <v>1108</v>
      </c>
      <c r="AM97" s="78">
        <v>7</v>
      </c>
    </row>
    <row r="98" spans="1:60" hidden="1">
      <c r="A98" s="78">
        <v>98</v>
      </c>
      <c r="B98" s="78" t="s">
        <v>331</v>
      </c>
      <c r="D98" s="78" t="s">
        <v>969</v>
      </c>
      <c r="E98" s="78" t="s">
        <v>969</v>
      </c>
      <c r="F98" s="78" t="s">
        <v>969</v>
      </c>
      <c r="G98" s="78" t="s">
        <v>969</v>
      </c>
      <c r="H98" s="78" t="s">
        <v>928</v>
      </c>
      <c r="I98" s="78" t="s">
        <v>969</v>
      </c>
      <c r="J98" s="78" t="s">
        <v>969</v>
      </c>
      <c r="K98" s="78" t="s">
        <v>969</v>
      </c>
      <c r="L98" s="78" t="s">
        <v>969</v>
      </c>
      <c r="M98" s="78" t="s">
        <v>969</v>
      </c>
      <c r="N98" s="78" t="s">
        <v>969</v>
      </c>
      <c r="O98" s="187" t="s">
        <v>969</v>
      </c>
      <c r="P98" s="187" t="s">
        <v>969</v>
      </c>
      <c r="Q98" s="187" t="s">
        <v>948</v>
      </c>
      <c r="R98" s="187" t="s">
        <v>22</v>
      </c>
      <c r="S98" s="78" t="s">
        <v>158</v>
      </c>
      <c r="T98" s="78" t="s">
        <v>1008</v>
      </c>
      <c r="U98" s="187" t="s">
        <v>968</v>
      </c>
      <c r="W98" s="78">
        <v>4</v>
      </c>
      <c r="X98" s="78" t="s">
        <v>2107</v>
      </c>
      <c r="Z98" s="78" t="s">
        <v>2108</v>
      </c>
      <c r="AA98" s="78">
        <v>1.3</v>
      </c>
      <c r="AB98" s="187" t="s">
        <v>754</v>
      </c>
      <c r="AC98" s="78" t="s">
        <v>208</v>
      </c>
      <c r="AD98" s="78">
        <v>-1</v>
      </c>
      <c r="AE98" s="78">
        <v>-10</v>
      </c>
      <c r="AF98" s="78">
        <v>30</v>
      </c>
      <c r="AG98" s="78" t="s">
        <v>1110</v>
      </c>
      <c r="AH98" s="78">
        <v>1.5</v>
      </c>
      <c r="AI98" s="78" t="s">
        <v>1105</v>
      </c>
      <c r="AJ98" s="208" t="s">
        <v>1108</v>
      </c>
      <c r="AM98" s="78">
        <v>8</v>
      </c>
    </row>
    <row r="99" spans="1:60" hidden="1">
      <c r="A99" s="78">
        <v>99</v>
      </c>
      <c r="B99" s="78" t="s">
        <v>330</v>
      </c>
      <c r="D99" s="78" t="s">
        <v>969</v>
      </c>
      <c r="E99" s="78" t="s">
        <v>969</v>
      </c>
      <c r="F99" s="78" t="s">
        <v>969</v>
      </c>
      <c r="G99" s="78" t="s">
        <v>969</v>
      </c>
      <c r="H99" s="78" t="s">
        <v>969</v>
      </c>
      <c r="I99" s="78" t="s">
        <v>969</v>
      </c>
      <c r="J99" s="78" t="s">
        <v>969</v>
      </c>
      <c r="K99" s="78" t="s">
        <v>969</v>
      </c>
      <c r="L99" s="78" t="s">
        <v>969</v>
      </c>
      <c r="M99" s="78" t="s">
        <v>969</v>
      </c>
      <c r="N99" s="78" t="s">
        <v>969</v>
      </c>
      <c r="O99" s="187" t="s">
        <v>969</v>
      </c>
      <c r="P99" s="187" t="s">
        <v>969</v>
      </c>
      <c r="Q99" s="187" t="s">
        <v>948</v>
      </c>
      <c r="R99" s="187" t="s">
        <v>22</v>
      </c>
      <c r="S99" s="78" t="s">
        <v>158</v>
      </c>
      <c r="T99" s="78" t="s">
        <v>1008</v>
      </c>
      <c r="U99" s="187" t="s">
        <v>968</v>
      </c>
      <c r="W99" s="78">
        <v>-2</v>
      </c>
      <c r="X99" s="78" t="s">
        <v>2107</v>
      </c>
      <c r="Z99" s="78" t="s">
        <v>2108</v>
      </c>
      <c r="AA99" s="78">
        <v>1.3</v>
      </c>
      <c r="AB99" s="187" t="s">
        <v>754</v>
      </c>
      <c r="AC99" s="78" t="s">
        <v>208</v>
      </c>
      <c r="AD99" s="78">
        <v>-1</v>
      </c>
      <c r="AE99" s="78">
        <v>-10</v>
      </c>
      <c r="AF99" s="78">
        <v>30</v>
      </c>
      <c r="AG99" s="78" t="s">
        <v>1110</v>
      </c>
      <c r="AH99" s="78">
        <v>1.5</v>
      </c>
      <c r="AI99" s="78" t="s">
        <v>1105</v>
      </c>
      <c r="AJ99" s="208" t="s">
        <v>1108</v>
      </c>
      <c r="AM99" s="78">
        <v>8</v>
      </c>
    </row>
    <row r="100" spans="1:60" ht="10.8" hidden="1" thickBot="1">
      <c r="A100" s="78">
        <v>100</v>
      </c>
      <c r="B100" s="78" t="s">
        <v>330</v>
      </c>
      <c r="D100" s="78" t="s">
        <v>969</v>
      </c>
      <c r="E100" s="78" t="s">
        <v>969</v>
      </c>
      <c r="F100" s="78" t="s">
        <v>969</v>
      </c>
      <c r="G100" s="78" t="s">
        <v>969</v>
      </c>
      <c r="H100" s="78" t="s">
        <v>969</v>
      </c>
      <c r="I100" s="78" t="s">
        <v>969</v>
      </c>
      <c r="J100" s="78" t="s">
        <v>969</v>
      </c>
      <c r="K100" s="78" t="s">
        <v>969</v>
      </c>
      <c r="L100" s="78" t="s">
        <v>969</v>
      </c>
      <c r="M100" s="78" t="s">
        <v>969</v>
      </c>
      <c r="N100" s="78" t="s">
        <v>969</v>
      </c>
      <c r="O100" s="187" t="s">
        <v>969</v>
      </c>
      <c r="P100" s="187" t="s">
        <v>969</v>
      </c>
      <c r="Q100" s="187" t="s">
        <v>948</v>
      </c>
      <c r="R100" s="187" t="s">
        <v>22</v>
      </c>
      <c r="S100" s="78" t="s">
        <v>158</v>
      </c>
      <c r="T100" s="78" t="s">
        <v>1008</v>
      </c>
      <c r="U100" s="187" t="s">
        <v>968</v>
      </c>
      <c r="W100" s="78">
        <v>-2</v>
      </c>
      <c r="X100" s="78" t="s">
        <v>2107</v>
      </c>
      <c r="Z100" s="78" t="s">
        <v>2108</v>
      </c>
      <c r="AA100" s="78">
        <v>1.3</v>
      </c>
      <c r="AB100" s="187" t="s">
        <v>2109</v>
      </c>
      <c r="AC100" s="78" t="s">
        <v>208</v>
      </c>
      <c r="AD100" s="78">
        <v>-1</v>
      </c>
      <c r="AE100" s="78">
        <v>-10</v>
      </c>
      <c r="AF100" s="78">
        <v>30</v>
      </c>
      <c r="AG100" s="78" t="s">
        <v>1110</v>
      </c>
      <c r="AH100" s="78">
        <v>1.5</v>
      </c>
      <c r="AI100" s="78" t="s">
        <v>1105</v>
      </c>
      <c r="AJ100" s="208" t="s">
        <v>1108</v>
      </c>
      <c r="AM100" s="78">
        <v>9</v>
      </c>
    </row>
    <row r="101" spans="1:60" ht="10.8" hidden="1" thickBot="1">
      <c r="A101" s="78" t="s">
        <v>560</v>
      </c>
      <c r="B101" s="386" t="s">
        <v>211</v>
      </c>
      <c r="D101" s="212" t="s">
        <v>344</v>
      </c>
      <c r="E101" s="386" t="s">
        <v>717</v>
      </c>
      <c r="F101" s="386" t="s">
        <v>2110</v>
      </c>
      <c r="G101" s="386" t="s">
        <v>2111</v>
      </c>
      <c r="H101" s="386" t="s">
        <v>2112</v>
      </c>
      <c r="I101" s="386" t="s">
        <v>2113</v>
      </c>
      <c r="J101" s="386" t="s">
        <v>716</v>
      </c>
      <c r="K101" s="386" t="s">
        <v>715</v>
      </c>
      <c r="L101" s="386" t="s">
        <v>714</v>
      </c>
      <c r="M101" s="386" t="s">
        <v>2114</v>
      </c>
      <c r="N101" s="386" t="s">
        <v>713</v>
      </c>
      <c r="O101" s="517" t="s">
        <v>712</v>
      </c>
      <c r="P101" s="517" t="s">
        <v>711</v>
      </c>
      <c r="Q101" s="518" t="s">
        <v>2115</v>
      </c>
      <c r="R101" s="95" t="s">
        <v>2116</v>
      </c>
      <c r="S101" s="94" t="s">
        <v>2117</v>
      </c>
      <c r="T101" s="94" t="s">
        <v>2118</v>
      </c>
      <c r="U101" s="95" t="s">
        <v>2119</v>
      </c>
      <c r="W101" s="94" t="s">
        <v>2120</v>
      </c>
      <c r="X101" s="94" t="s">
        <v>2121</v>
      </c>
      <c r="Z101" s="94" t="s">
        <v>2122</v>
      </c>
      <c r="AA101" s="94" t="s">
        <v>1125</v>
      </c>
      <c r="AB101" s="95" t="s">
        <v>2123</v>
      </c>
      <c r="AC101" s="94" t="s">
        <v>1127</v>
      </c>
      <c r="AD101" s="94" t="s">
        <v>1128</v>
      </c>
      <c r="AE101" s="94" t="s">
        <v>1129</v>
      </c>
      <c r="AF101" s="94" t="s">
        <v>1130</v>
      </c>
      <c r="AG101" s="94" t="s">
        <v>152</v>
      </c>
      <c r="AH101" s="94" t="s">
        <v>1131</v>
      </c>
      <c r="AI101" s="94" t="s">
        <v>1132</v>
      </c>
      <c r="AJ101" s="94" t="s">
        <v>1133</v>
      </c>
      <c r="AM101" s="205" t="s">
        <v>1134</v>
      </c>
    </row>
    <row r="102" spans="1:60" ht="18">
      <c r="A102" s="218" t="s">
        <v>710</v>
      </c>
      <c r="B102" s="218"/>
      <c r="C102" s="519"/>
      <c r="D102" s="520"/>
      <c r="E102" s="218"/>
      <c r="F102" s="218" t="s">
        <v>136</v>
      </c>
      <c r="G102" s="519"/>
      <c r="H102" s="520"/>
      <c r="I102" s="218"/>
      <c r="J102" s="218" t="s">
        <v>129</v>
      </c>
      <c r="L102" s="521"/>
      <c r="M102" s="522"/>
    </row>
    <row r="103" spans="1:60" ht="10.8" thickBot="1">
      <c r="Q103" s="523"/>
      <c r="AC103" s="187" t="s">
        <v>1629</v>
      </c>
      <c r="AD103" s="187">
        <f ca="1">RANDBETWEEN(1,100)</f>
        <v>12</v>
      </c>
      <c r="AE103" s="187"/>
      <c r="AF103" s="187"/>
      <c r="AG103" s="78">
        <v>1</v>
      </c>
      <c r="AH103" s="78" t="str">
        <f ca="1">C107</f>
        <v xml:space="preserve">Elevage </v>
      </c>
    </row>
    <row r="104" spans="1:60" ht="10.8" thickBot="1">
      <c r="A104" s="78" t="s">
        <v>2124</v>
      </c>
      <c r="C104" s="521" t="str">
        <f>IF(TDOfixe=0,LOOKUP(TDOd100,dé100,terrain),TDOfixe)</f>
        <v>côte/lac</v>
      </c>
      <c r="D104" s="524">
        <f ca="1">(RANDBETWEEN(1,6)+4)*10</f>
        <v>100</v>
      </c>
      <c r="E104" s="521" t="str">
        <f ca="1">IF(TDOfixe2=0,IF(D104&lt;100,LOOKUP(RANDBETWEEN(1,100),$A$1:$A$100,$B$1:$B$100),0),TDOfixe2)</f>
        <v>colline</v>
      </c>
      <c r="F104" s="524">
        <f ca="1">IF(D104&lt;100,100-D104,0)</f>
        <v>0</v>
      </c>
      <c r="O104" s="525" t="s">
        <v>2125</v>
      </c>
      <c r="P104" s="526"/>
      <c r="Q104" s="484">
        <f ca="1">IF(quartierFixe=0,INT((100+((RANDBETWEEN(1,6)-RANDBETWEEN(1,6))*10))/100*(SQRT(PVI/100)+(PVI/1000))/2),quartierFixe)</f>
        <v>4</v>
      </c>
      <c r="U104" s="399" t="s">
        <v>2126</v>
      </c>
      <c r="AC104" s="187"/>
      <c r="AD104" s="187"/>
      <c r="AE104" s="187"/>
      <c r="AF104" s="187"/>
      <c r="AG104" s="78">
        <v>2</v>
      </c>
      <c r="AH104" s="78" t="str">
        <f ca="1">C108</f>
        <v>Artisanat</v>
      </c>
      <c r="AU104" s="106" t="s">
        <v>1634</v>
      </c>
      <c r="AV104" s="106"/>
      <c r="AW104" s="106"/>
      <c r="AX104" s="106"/>
      <c r="AY104" s="106"/>
      <c r="AZ104" s="106"/>
      <c r="BA104" s="106"/>
      <c r="BB104" s="106"/>
      <c r="BC104" s="106"/>
      <c r="BD104" s="527" t="s">
        <v>1635</v>
      </c>
      <c r="BF104" s="528" t="s">
        <v>1202</v>
      </c>
      <c r="BH104" s="528" t="s">
        <v>1255</v>
      </c>
    </row>
    <row r="105" spans="1:60">
      <c r="A105" s="78" t="s">
        <v>2127</v>
      </c>
      <c r="B105" s="187">
        <f ca="1">RANDBETWEEN(1,6)-1</f>
        <v>2</v>
      </c>
      <c r="C105" s="529" t="str">
        <f ca="1">IF(B105&gt;0,LOOKUP(RANDBETWEEN(1,100),$A$1:$A$100,$B$1:$B$100),0)</f>
        <v>cours d'eau</v>
      </c>
      <c r="D105" s="524">
        <f ca="1">IF(C105&lt;&gt;0,LOOKUP(RANDBETWEEN(1,10),$A$1:$A$10,dé10x*10)," ")</f>
        <v>30</v>
      </c>
      <c r="E105" s="529" t="str">
        <f ca="1">IF(B105&gt;1,LOOKUP(RANDBETWEEN(1,100),$A$1:$A$100,$B$1:$B$100),0)</f>
        <v>caverne</v>
      </c>
      <c r="F105" s="524">
        <f ca="1">IF(E105&lt;&gt;0,LOOKUP(RANDBETWEEN(1,10),$A$1:$A$10,dé10x*10)," ")</f>
        <v>30</v>
      </c>
      <c r="G105" s="529">
        <f ca="1">IF(B105&gt;2,LOOKUP(RANDBETWEEN(1,100),$A$1:$A$100,$B$1:$B$100),0)</f>
        <v>0</v>
      </c>
      <c r="H105" s="524" t="str">
        <f ca="1">IF(G105&lt;&gt;0,LOOKUP(RANDBETWEEN(1,10),$A$1:$A$10,dé10x*10)," ")</f>
        <v xml:space="preserve"> </v>
      </c>
      <c r="I105" s="521">
        <f ca="1">IF(B105&gt;3,LOOKUP(RANDBETWEEN(1,100),$A$1:$A$100,$B$1:$B$100),0)</f>
        <v>0</v>
      </c>
      <c r="J105" s="524" t="str">
        <f ca="1">IF(I105&lt;&gt;0,LOOKUP(RANDBETWEEN(1,10),$A$1:$A$10,dé10x*10)," ")</f>
        <v xml:space="preserve"> </v>
      </c>
      <c r="L105" s="521">
        <f ca="1">IF(B105&gt;4,LOOKUP(RANDBETWEEN(1,100),$A$1:$A$100,$B$1:$B$100),0)</f>
        <v>0</v>
      </c>
      <c r="M105" s="524" t="str">
        <f ca="1">IF(L105&lt;&gt;0,LOOKUP(RANDBETWEEN(1,10),$A$1:$A$10,dé10x*10)," ")</f>
        <v xml:space="preserve"> </v>
      </c>
      <c r="O105" s="387" t="s">
        <v>2128</v>
      </c>
      <c r="P105" s="387" t="s">
        <v>2129</v>
      </c>
      <c r="Q105" s="387" t="s">
        <v>2130</v>
      </c>
      <c r="R105" s="387" t="s">
        <v>1134</v>
      </c>
      <c r="S105" s="387" t="s">
        <v>2131</v>
      </c>
      <c r="T105" s="387" t="s">
        <v>2132</v>
      </c>
      <c r="U105" s="387" t="s">
        <v>2133</v>
      </c>
      <c r="V105" s="387" t="s">
        <v>2134</v>
      </c>
      <c r="W105" s="387" t="s">
        <v>56</v>
      </c>
      <c r="X105" s="387" t="s">
        <v>2135</v>
      </c>
      <c r="Y105" s="387" t="s">
        <v>554</v>
      </c>
      <c r="Z105" s="387" t="s">
        <v>2136</v>
      </c>
      <c r="AA105" s="387" t="s">
        <v>2137</v>
      </c>
      <c r="AB105" s="387" t="s">
        <v>2104</v>
      </c>
      <c r="AC105" s="187"/>
      <c r="AD105" s="187"/>
      <c r="AE105" s="187"/>
      <c r="AF105" s="187"/>
      <c r="AG105" s="78">
        <v>3</v>
      </c>
      <c r="AH105" s="78" t="str">
        <f ca="1">C109</f>
        <v>Religion</v>
      </c>
      <c r="AU105" s="106" t="s">
        <v>1631</v>
      </c>
      <c r="AV105" s="387" t="s">
        <v>684</v>
      </c>
      <c r="AW105" s="387" t="s">
        <v>684</v>
      </c>
      <c r="AX105" s="387" t="s">
        <v>1636</v>
      </c>
      <c r="AY105" s="387" t="s">
        <v>1636</v>
      </c>
      <c r="AZ105" s="387" t="s">
        <v>1637</v>
      </c>
      <c r="BA105" s="387" t="s">
        <v>1637</v>
      </c>
      <c r="BB105" s="106" t="s">
        <v>1638</v>
      </c>
      <c r="BC105" s="106" t="s">
        <v>1639</v>
      </c>
      <c r="BD105" s="530" t="s">
        <v>1143</v>
      </c>
      <c r="BF105" s="406" t="s">
        <v>1203</v>
      </c>
      <c r="BH105" s="405" t="s">
        <v>1256</v>
      </c>
    </row>
    <row r="106" spans="1:60" ht="10.8" thickBot="1">
      <c r="O106" s="477">
        <f ca="1">IF(NQU&gt;0,1," ")</f>
        <v>1</v>
      </c>
      <c r="P106" s="477" t="str">
        <f t="shared" ref="P106:P137" ca="1" si="0">IF($O106&lt;&gt;" ",LOOKUP(RANDBETWEEN(1,10),dé100,situationQ)," ")</f>
        <v>x</v>
      </c>
      <c r="Q106" s="477" t="str">
        <f t="shared" ref="Q106:Q137" ca="1" si="1">IF(P106="x"," ",IF($O106&lt;&gt;" ",LOOKUP(RANDBETWEEN(1,10),dé100,distanceQ)," "))</f>
        <v xml:space="preserve"> </v>
      </c>
      <c r="R106" s="477">
        <f t="shared" ref="R106:R137" ca="1" si="2">IF($O106&lt;&gt;" ",LOOKUP(RANDBETWEEN(1,100),dé100,NS)," ")</f>
        <v>2</v>
      </c>
      <c r="S106" s="477">
        <f t="shared" ref="S106:S137" ca="1" si="3">IF($O106&lt;&gt;" ",INT(DPO*(100+(RANDBETWEEN(1,6)-RANDBETWEEN(1,6)-(R106/2))*10)/100)," ")</f>
        <v>60</v>
      </c>
      <c r="T106" s="477">
        <f t="shared" ref="T106:T137" ca="1" si="4">IF($O106&lt;&gt;" ",INT(PVI/NQU*(100+(RANDBETWEEN(1,6)-RANDBETWEEN(1,6))*10)/100)," ")</f>
        <v>871</v>
      </c>
      <c r="U106" s="531">
        <f t="shared" ref="U106:U137" ca="1" si="5">IF($O106&lt;&gt;" ",100*SQRT(SVI*(T106/PVI)*(DPO/S106))," ")</f>
        <v>144.00727494850821</v>
      </c>
      <c r="V106" s="531">
        <f t="shared" ref="V106:V137" ca="1" si="6">IF($O106&lt;&gt;" ",2+LOOKUP(RANDBETWEEN(1,10),dé100,dé10x)," ")</f>
        <v>6</v>
      </c>
      <c r="W106" s="477" t="str">
        <f t="shared" ref="W106:W137" ca="1" si="7">IF($O106&lt;&gt;" ",LOOKUP(RANDBETWEEN(1,10),dé100,frontiereQ)," ")</f>
        <v>terrain</v>
      </c>
      <c r="X106" s="477" t="str">
        <f t="shared" ref="X106:X137" ca="1" si="8">IF($O106&lt;&gt;" ",LOOKUP(RANDBETWEEN(1,10),dé100,styleQ)," ")</f>
        <v>échévelé</v>
      </c>
      <c r="Y106" s="477" t="str">
        <f t="shared" ref="Y106:Y137" ca="1" si="9">IF($O106&lt;&gt;" ",LOOKUP(RANDBETWEEN(1,10),dé100,PlusMoins)," ")</f>
        <v xml:space="preserve"> - -</v>
      </c>
      <c r="Z106" s="477" t="str">
        <f t="shared" ref="Z106:Z137" ca="1" si="10">IF($O106&lt;&gt;" ",LOOKUP(RANDBETWEEN(1,10),dé100,securiteQ)," ")</f>
        <v>très sûr</v>
      </c>
      <c r="AA106" s="477" t="str">
        <f t="shared" ref="AA106:AA137" ca="1" si="11">IF($O106&lt;&gt;" ",LOOKUP(RANDBETWEEN(1,10),dé100,floreQ)," ")</f>
        <v>forte</v>
      </c>
      <c r="AB106" s="477">
        <f t="shared" ref="AB106:AB137" ca="1" si="12">IF(ethniemax=0,IF($O106&lt;&gt;" ",MAX(1,INT(RANDBETWEEN(1,6)/(RIC*(R106+1))))," "),RANDBETWEEN(1,ethniemax))</f>
        <v>2</v>
      </c>
      <c r="AC106" s="187"/>
      <c r="AD106" s="187"/>
      <c r="AE106" s="187"/>
      <c r="AF106" s="187"/>
      <c r="AG106" s="78">
        <v>4</v>
      </c>
      <c r="AH106" s="78">
        <f ca="1">F107</f>
        <v>0</v>
      </c>
      <c r="AU106" s="256" t="s">
        <v>1143</v>
      </c>
      <c r="AV106" s="186"/>
      <c r="BD106" s="532" t="s">
        <v>1146</v>
      </c>
      <c r="BF106" s="406" t="s">
        <v>1204</v>
      </c>
      <c r="BH106" s="405" t="s">
        <v>1257</v>
      </c>
    </row>
    <row r="107" spans="1:60" ht="10.8" thickBot="1">
      <c r="A107" s="220" t="s">
        <v>2138</v>
      </c>
      <c r="B107" s="187">
        <f ca="1">LOOKUP(RANDBETWEEN(1,10),dé100,dé10x)</f>
        <v>1</v>
      </c>
      <c r="C107" s="533" t="str">
        <f ca="1">IF(principaleFixee=0,IF(TDO="caverne",LOOKUP(RANDBETWEEN(1,100),dé100,caverne),IF(TDO="colline",LOOKUP(RANDBETWEEN(1,100),dé100,colline), IF(TDO="côte/lac",LOOKUP(RANDBETWEEN(1,100),dé100,cotelac),  IF(TDO="cours d'eau",LOOKUP(RANDBETWEEN(1,100),dé100,coursdeau),  IF(TDO="désert",LOOKUP(RANDBETWEEN(1,100),dé100,desert), IF(TDO="forêt",LOOKUP(RANDBETWEEN(1,100),dé100,foret), IF(TDO="jungle",LOOKUP(RANDBETWEEN(1,100),dé100,jungle), IF(TDO="marais",LOOKUP(RANDBETWEEN(1,100),dé100,marais), IF(TDO="montagne",LOOKUP(RANDBETWEEN(1,100),dé100,montagne), IF(TDO="océan",LOOKUP(RANDBETWEEN(1,100),dé100,ocean), IF(TDO="plaine",LOOKUP(RANDBETWEEN(1,100),dé100,plaine), IF(TDO="souterrain",LOOKUP(RANDBETWEEN(1,100),dé100,souterrain), IF(TDO="steppe",LOOKUP(RANDBETWEEN(1,100),dé100,steppe), 0 ) ) ) ) ) ) ) ) ) ) ) )),principaleFixee)</f>
        <v xml:space="preserve">Elevage </v>
      </c>
      <c r="D107" s="534" t="str">
        <f ca="1">IF(C107&lt;&gt;0,LOOKUP(RANDBETWEEN(1,10),dé100,"Qual "&amp;PlusMoins)," ")</f>
        <v>Qual  =</v>
      </c>
      <c r="E107" s="535" t="str">
        <f ca="1">IF(C107&lt;&gt;0,LOOKUP(RANDBETWEEN(1,10),dé100,"Qt "&amp;PlusMoins)," ")</f>
        <v>Qt  =</v>
      </c>
      <c r="F107" s="533">
        <f ca="1">IF(B107&gt;1,IF(TDO="caverne",LOOKUP(RANDBETWEEN(1,100),dé100,caverne),IF(TDO="colline",LOOKUP(RANDBETWEEN(1,100),dé100,colline), IF(TDO="côte/lac",LOOKUP(RANDBETWEEN(1,100),dé100,cotelac),  IF(TDO="cours d'eau",LOOKUP(RANDBETWEEN(1,100),dé100,coursdeau),  IF(TDO="désert",LOOKUP(RANDBETWEEN(1,100),dé100,desert), IF(TDO="forêt",LOOKUP(RANDBETWEEN(1,100),dé100,foret), IF(TDO="jungle",LOOKUP(RANDBETWEEN(1,100),dé100,jungle), IF(TDO="marais",LOOKUP(RANDBETWEEN(1,100),dé100,marais), IF(TDO="montagne",LOOKUP(RANDBETWEEN(1,100),dé100,montagne), IF(TDO="ocean",LOOKUP(RANDBETWEEN(1,100),dé100,ocean), IF(TDO="plaine",LOOKUP(RANDBETWEEN(1,100),dé100,plaine), IF(TDO="souterrain",LOOKUP(RANDBETWEEN(1,100),dé100,souterrain), IF(TDO="steppe",LOOKUP(RANDBETWEEN(1,100),dé100,steppe), 0 ) ) ) ) ) ) ) ) ) ) ) )),0)</f>
        <v>0</v>
      </c>
      <c r="G107" s="534" t="str">
        <f ca="1">IF(F107&lt;&gt;0,LOOKUP(RANDBETWEEN(1,10),dé100,"QLE "&amp;PlusMoins)," ")</f>
        <v xml:space="preserve"> </v>
      </c>
      <c r="H107" s="535" t="str">
        <f ca="1">IF(F107&lt;&gt;0,LOOKUP(RANDBETWEEN(1,10),dé100,"QTE "&amp;PlusMoins)," ")</f>
        <v xml:space="preserve"> </v>
      </c>
      <c r="I107" s="533">
        <f ca="1">IF(B107&gt;2,IF(TDO="caverne",LOOKUP(RANDBETWEEN(1,100),dé100,caverne),IF(TDO="colline",LOOKUP(RANDBETWEEN(1,100),dé100,colline), IF(TDO="côte/lac",LOOKUP(RANDBETWEEN(1,100),dé100,cotelac),  IF(TDO="cours d'eau",LOOKUP(RANDBETWEEN(1,100),dé100,coursdeau),  IF(TDO="désert",LOOKUP(RANDBETWEEN(1,100),dé100,desert), IF(TDO="forêt",LOOKUP(RANDBETWEEN(1,100),dé100,foret), IF(TDO="jungle",LOOKUP(RANDBETWEEN(1,100),dé100,jungle), IF(TDO="marais",LOOKUP(RANDBETWEEN(1,100),dé100,marais), IF(TDO="montagne",LOOKUP(RANDBETWEEN(1,100),dé100,montagne), IF(TDO="ocean",LOOKUP(RANDBETWEEN(1,100),dé100,ocean), IF(TDO="plaine",LOOKUP(RANDBETWEEN(1,100),dé100,plaine), IF(TDO="souterrain",LOOKUP(RANDBETWEEN(1,100),dé100,souterrain), IF(TDO="steppe",LOOKUP(RANDBETWEEN(1,100),dé100,steppe), 0 ) ) ) ) ) ) ) ) ) ) ) )),0)</f>
        <v>0</v>
      </c>
      <c r="J107" s="534" t="str">
        <f ca="1">IF(I107&lt;&gt;0,LOOKUP(RANDBETWEEN(1,10),dé100,"QLE "&amp;PlusMoins)," ")</f>
        <v xml:space="preserve"> </v>
      </c>
      <c r="K107" s="535" t="str">
        <f ca="1">IF(I107&lt;&gt;0,LOOKUP(RANDBETWEEN(1,10),dé100,"QTE "&amp;PlusMoins)," ")</f>
        <v xml:space="preserve"> </v>
      </c>
      <c r="L107" s="533">
        <f ca="1">IF(B107&gt;3,IF(TDO="caverne",LOOKUP(RANDBETWEEN(1,100),dé100,caverne),IF(TDO="colline",LOOKUP(RANDBETWEEN(1,100),dé100,colline), IF(TDO="côte/lac",LOOKUP(RANDBETWEEN(1,100),dé100,cotelac),  IF(TDO="cours d'eau",LOOKUP(RANDBETWEEN(1,100),dé100,coursdeau),  IF(TDO="désert",LOOKUP(RANDBETWEEN(1,100),dé100,desert), IF(TDO="forêt",LOOKUP(RANDBETWEEN(1,100),dé100,foret), IF(TDO="jungle",LOOKUP(RANDBETWEEN(1,100),dé100,jungle), IF(TDO="marais",LOOKUP(RANDBETWEEN(1,100),dé100,marais), IF(TDO="montagne",LOOKUP(RANDBETWEEN(1,100),dé100,montagne), IF(TDO="ocean",LOOKUP(RANDBETWEEN(1,100),dé100,ocean), IF(TDO="plaine",LOOKUP(RANDBETWEEN(1,100),dé100,plaine), IF(TDO="souterrain",LOOKUP(RANDBETWEEN(1,100),dé100,souterrain), IF(TDO="steppe",LOOKUP(RANDBETWEEN(1,100),dé100,steppe), 0 ) ) ) ) ) ) ) ) ) ) ) )),0)</f>
        <v>0</v>
      </c>
      <c r="M107" s="534" t="str">
        <f ca="1">IF(L107&lt;&gt;0,LOOKUP(RANDBETWEEN(1,10),dé100,"QLE "&amp;PlusMoins)," ")</f>
        <v xml:space="preserve"> </v>
      </c>
      <c r="N107" s="535" t="str">
        <f ca="1">IF(L107&lt;&gt;0,LOOKUP(RANDBETWEEN(1,10),dé100,"QTE "&amp;PlusMoins)," ")</f>
        <v xml:space="preserve"> </v>
      </c>
      <c r="O107" s="536">
        <f t="shared" ref="O107:O138" ca="1" si="13">IF(NQU&gt;O106,O106+1," ")</f>
        <v>2</v>
      </c>
      <c r="P107" s="536" t="str">
        <f t="shared" ca="1" si="0"/>
        <v>SO</v>
      </c>
      <c r="Q107" s="477" t="str">
        <f t="shared" ca="1" si="1"/>
        <v>3x3</v>
      </c>
      <c r="R107" s="536">
        <f t="shared" ca="1" si="2"/>
        <v>0</v>
      </c>
      <c r="S107" s="536">
        <f t="shared" ca="1" si="3"/>
        <v>49</v>
      </c>
      <c r="T107" s="536">
        <f t="shared" ca="1" si="4"/>
        <v>871</v>
      </c>
      <c r="U107" s="531">
        <f t="shared" ca="1" si="5"/>
        <v>159.35365074522423</v>
      </c>
      <c r="V107" s="537">
        <f t="shared" ca="1" si="6"/>
        <v>4</v>
      </c>
      <c r="W107" s="536" t="str">
        <f t="shared" ca="1" si="7"/>
        <v>enclos</v>
      </c>
      <c r="X107" s="536" t="str">
        <f t="shared" ca="1" si="8"/>
        <v>échévelé</v>
      </c>
      <c r="Y107" s="536" t="str">
        <f t="shared" ca="1" si="9"/>
        <v xml:space="preserve"> - -</v>
      </c>
      <c r="Z107" s="536" t="str">
        <f t="shared" ca="1" si="10"/>
        <v>moyenne</v>
      </c>
      <c r="AA107" s="536" t="str">
        <f t="shared" ca="1" si="11"/>
        <v>faible</v>
      </c>
      <c r="AB107" s="477">
        <f t="shared" ca="1" si="12"/>
        <v>2</v>
      </c>
      <c r="AC107" s="187">
        <f ca="1">RANDBETWEEN(1,6)</f>
        <v>3</v>
      </c>
      <c r="AD107" s="187">
        <f ca="1">RANDBETWEEN(1,6)</f>
        <v>1</v>
      </c>
      <c r="AE107" s="187">
        <f ca="1">RANDBETWEEN(1,6)</f>
        <v>4</v>
      </c>
      <c r="AF107" s="187">
        <f ca="1">RANDBETWEEN(1,6)</f>
        <v>1</v>
      </c>
      <c r="AG107" s="78">
        <v>5</v>
      </c>
      <c r="AH107" s="78" t="str">
        <f ca="1">F108</f>
        <v>tissu</v>
      </c>
      <c r="AU107" s="256" t="s">
        <v>1146</v>
      </c>
      <c r="BD107" s="532" t="s">
        <v>1147</v>
      </c>
      <c r="BF107" s="406" t="s">
        <v>1205</v>
      </c>
      <c r="BH107" s="405" t="s">
        <v>1258</v>
      </c>
    </row>
    <row r="108" spans="1:60" ht="10.8" thickBot="1">
      <c r="A108" s="220" t="s">
        <v>2139</v>
      </c>
      <c r="B108" s="187">
        <f ca="1">LOOKUP(RANDBETWEEN(1,10),$A$1:$A$10,dé10x)</f>
        <v>2</v>
      </c>
      <c r="C108" s="533" t="str">
        <f ca="1">IF(secondaireFixee=0,IF(RANDBETWEEN(1,6)&lt;5,LOOKUP(RANDBETWEEN(1,100),dé100,secondaire1),LOOKUP(RANDBETWEEN(1,100),dé100,secondaire2)),secondaireFixee)</f>
        <v>Artisanat</v>
      </c>
      <c r="D108" s="534" t="str">
        <f ca="1">IF(C108&lt;&gt;0,LOOKUP(RANDBETWEEN(1,10),dé100,"Qual "&amp;PlusMoins)," ")</f>
        <v xml:space="preserve">Qual  - </v>
      </c>
      <c r="E108" s="535" t="str">
        <f ca="1">IF(C108&lt;&gt;0,LOOKUP(RANDBETWEEN(1,10),dé100,"Qt "&amp;PlusMoins)," ")</f>
        <v>Qt  - -</v>
      </c>
      <c r="F108" s="533" t="str">
        <f ca="1">IF(B108&gt;1,IF(RANDBETWEEN(1,6)&lt;5,LOOKUP(RANDBETWEEN(1,100),dé100,secondaire1),LOOKUP(RANDBETWEEN(1,100),dé100,secondaire2)),0)</f>
        <v>tissu</v>
      </c>
      <c r="G108" s="534" t="str">
        <f ca="1">IF(F108&lt;&gt;0,LOOKUP(RANDBETWEEN(1,10),dé100,"Qual "&amp;PlusMoins)," ")</f>
        <v>Qual  =</v>
      </c>
      <c r="H108" s="535" t="str">
        <f ca="1">IF(F108&lt;&gt;0,LOOKUP(RANDBETWEEN(1,10),dé100,"Qt "&amp;PlusMoins)," ")</f>
        <v>Qt  =</v>
      </c>
      <c r="I108" s="533">
        <f ca="1">IF(B108&gt;2,IF(RANDBETWEEN(1,6)&lt;5,LOOKUP(RANDBETWEEN(1,100),dé100,secondaire1),LOOKUP(RANDBETWEEN(1,100),dé100,secondaire2)),0)</f>
        <v>0</v>
      </c>
      <c r="J108" s="534" t="str">
        <f ca="1">IF(I108&lt;&gt;0,LOOKUP(RANDBETWEEN(1,10),dé100,"Qual "&amp;PlusMoins)," ")</f>
        <v xml:space="preserve"> </v>
      </c>
      <c r="K108" s="535" t="str">
        <f ca="1">IF(I108&lt;&gt;0,LOOKUP(RANDBETWEEN(1,10),dé100,"Qt "&amp;PlusMoins)," ")</f>
        <v xml:space="preserve"> </v>
      </c>
      <c r="L108" s="533">
        <f ca="1">IF(B108&gt;3,IF(RANDBETWEEN(1,6)&lt;5,LOOKUP(RANDBETWEEN(1,100),dé100,secondaire1),LOOKUP(RANDBETWEEN(1,100),dé100,secondaire2)),0)</f>
        <v>0</v>
      </c>
      <c r="M108" s="534" t="str">
        <f ca="1">IF(L108&lt;&gt;0,LOOKUP(RANDBETWEEN(1,10),dé100,"Qual "&amp;PlusMoins)," ")</f>
        <v xml:space="preserve"> </v>
      </c>
      <c r="N108" s="535" t="str">
        <f ca="1">IF(L108&lt;&gt;0,LOOKUP(RANDBETWEEN(1,10),dé100,"Qt "&amp;PlusMoins)," ")</f>
        <v xml:space="preserve"> </v>
      </c>
      <c r="O108" s="536">
        <f t="shared" ca="1" si="13"/>
        <v>3</v>
      </c>
      <c r="P108" s="536" t="str">
        <f t="shared" ca="1" si="0"/>
        <v>SO</v>
      </c>
      <c r="Q108" s="477" t="str">
        <f t="shared" ca="1" si="1"/>
        <v>3x3</v>
      </c>
      <c r="R108" s="536">
        <f t="shared" ca="1" si="2"/>
        <v>5</v>
      </c>
      <c r="S108" s="536">
        <f t="shared" ca="1" si="3"/>
        <v>57</v>
      </c>
      <c r="T108" s="536">
        <f t="shared" ca="1" si="4"/>
        <v>1162</v>
      </c>
      <c r="U108" s="531">
        <f t="shared" ca="1" si="5"/>
        <v>170.65405655167959</v>
      </c>
      <c r="V108" s="537">
        <f t="shared" ca="1" si="6"/>
        <v>3</v>
      </c>
      <c r="W108" s="536" t="str">
        <f t="shared" ca="1" si="7"/>
        <v>cultivé</v>
      </c>
      <c r="X108" s="536" t="str">
        <f t="shared" ca="1" si="8"/>
        <v>ruelles</v>
      </c>
      <c r="Y108" s="536" t="str">
        <f t="shared" ca="1" si="9"/>
        <v xml:space="preserve"> =</v>
      </c>
      <c r="Z108" s="536" t="str">
        <f t="shared" ca="1" si="10"/>
        <v>moyenne</v>
      </c>
      <c r="AA108" s="536" t="str">
        <f t="shared" ca="1" si="11"/>
        <v>nulle</v>
      </c>
      <c r="AB108" s="477">
        <f t="shared" ca="1" si="12"/>
        <v>1</v>
      </c>
      <c r="AC108" s="187"/>
      <c r="AD108" s="484"/>
      <c r="AE108" s="187"/>
      <c r="AF108" s="187"/>
      <c r="AG108" s="78">
        <v>6</v>
      </c>
      <c r="AH108" s="78">
        <f ca="1">F109</f>
        <v>0</v>
      </c>
      <c r="AU108" s="256" t="s">
        <v>1147</v>
      </c>
      <c r="BD108" s="532" t="s">
        <v>1148</v>
      </c>
      <c r="BF108" s="406" t="s">
        <v>1206</v>
      </c>
      <c r="BH108" s="405" t="s">
        <v>1259</v>
      </c>
    </row>
    <row r="109" spans="1:60" ht="10.8" thickBot="1">
      <c r="A109" s="220" t="s">
        <v>2140</v>
      </c>
      <c r="B109" s="187">
        <f ca="1">LOOKUP(RANDBETWEEN(1,10),$A$1:$A$10,dé10x)</f>
        <v>1</v>
      </c>
      <c r="C109" s="533" t="str">
        <f ca="1">IF(tertiaireFixee=0,IF(AC107&lt;4,LOOKUP(RANDBETWEEN(1,100),dé100,tertiaire1),IF(AC107&lt;6,LOOKUP(RANDBETWEEN(1,100),dé100,tertiaire2),LOOKUP(RANDBETWEEN(1,100),dé100,tertiaire3))),tertiaireFixee)</f>
        <v>Religion</v>
      </c>
      <c r="D109" s="534" t="str">
        <f ca="1">IF(C109&lt;&gt;0,LOOKUP(RANDBETWEEN(1,10),dé100,"Qual "&amp;PlusMoins)," ")</f>
        <v xml:space="preserve">Qual  + </v>
      </c>
      <c r="E109" s="535" t="str">
        <f ca="1">IF(C109&lt;&gt;0,LOOKUP(RANDBETWEEN(1,10),dé100,"Qt "&amp;PlusMoins)," ")</f>
        <v xml:space="preserve">Qt  + + </v>
      </c>
      <c r="F109" s="533">
        <f ca="1">IF(B109&gt;1,IF(AD107&lt;4,LOOKUP(RANDBETWEEN(1,100),dé100,tertiaire1),IF(AD107&lt;6,LOOKUP(RANDBETWEEN(1,100),dé100,tertiaire2),LOOKUP(RANDBETWEEN(1,100),dé100,tertiaire3))),0)</f>
        <v>0</v>
      </c>
      <c r="G109" s="534" t="str">
        <f ca="1">IF(F109&lt;&gt;0,LOOKUP(RANDBETWEEN(1,10),dé100,"Qual "&amp;PlusMoins)," ")</f>
        <v xml:space="preserve"> </v>
      </c>
      <c r="H109" s="535" t="str">
        <f ca="1">IF(F109&lt;&gt;0,LOOKUP(RANDBETWEEN(1,10),dé100,"Qt "&amp;PlusMoins)," ")</f>
        <v xml:space="preserve"> </v>
      </c>
      <c r="I109" s="533">
        <f ca="1">IF(B109&gt;2,IF(AE107&lt;4,LOOKUP(RANDBETWEEN(1,100),dé100,tertiaire1),IF(AE107&lt;6,LOOKUP(RANDBETWEEN(1,100),dé100,tertiaire2),LOOKUP(RANDBETWEEN(1,100),dé100,tertiaire3))),0)</f>
        <v>0</v>
      </c>
      <c r="J109" s="534" t="str">
        <f ca="1">IF(I109&lt;&gt;0,LOOKUP(RANDBETWEEN(1,10),dé100,"Qual "&amp;PlusMoins)," ")</f>
        <v xml:space="preserve"> </v>
      </c>
      <c r="K109" s="535" t="str">
        <f ca="1">IF(I109&lt;&gt;0,LOOKUP(RANDBETWEEN(1,10),dé100,"Qt "&amp;PlusMoins)," ")</f>
        <v xml:space="preserve"> </v>
      </c>
      <c r="L109" s="533">
        <f ca="1">IF(B109&gt;3,IF(AF107&lt;4,LOOKUP(RANDBETWEEN(1,100),dé100,tertiaire1),IF(AF107&lt;6,LOOKUP(RANDBETWEEN(1,100),dé100,tertiaire2),LOOKUP(RANDBETWEEN(1,100),dé100,tertiaire3))),0)</f>
        <v>0</v>
      </c>
      <c r="M109" s="534" t="str">
        <f ca="1">IF(L109&lt;&gt;0,LOOKUP(RANDBETWEEN(1,10),dé100,"Qual "&amp;PlusMoins)," ")</f>
        <v xml:space="preserve"> </v>
      </c>
      <c r="N109" s="535" t="str">
        <f ca="1">IF(L109&lt;&gt;0,LOOKUP(RANDBETWEEN(1,10),dé100,"Qt "&amp;PlusMoins)," ")</f>
        <v xml:space="preserve"> </v>
      </c>
      <c r="O109" s="536">
        <f t="shared" ca="1" si="13"/>
        <v>4</v>
      </c>
      <c r="P109" s="536" t="str">
        <f t="shared" ca="1" si="0"/>
        <v xml:space="preserve">N </v>
      </c>
      <c r="Q109" s="477" t="str">
        <f t="shared" ca="1" si="1"/>
        <v>3x3</v>
      </c>
      <c r="R109" s="536">
        <f t="shared" ca="1" si="2"/>
        <v>4</v>
      </c>
      <c r="S109" s="536">
        <f t="shared" ca="1" si="3"/>
        <v>38</v>
      </c>
      <c r="T109" s="536">
        <f t="shared" ca="1" si="4"/>
        <v>581</v>
      </c>
      <c r="U109" s="531">
        <f t="shared" ca="1" si="5"/>
        <v>147.79074823262076</v>
      </c>
      <c r="V109" s="537">
        <f t="shared" ca="1" si="6"/>
        <v>4</v>
      </c>
      <c r="W109" s="536" t="str">
        <f t="shared" ca="1" si="7"/>
        <v>route</v>
      </c>
      <c r="X109" s="536" t="str">
        <f t="shared" ca="1" si="8"/>
        <v>ruelles</v>
      </c>
      <c r="Y109" s="536" t="str">
        <f t="shared" ca="1" si="9"/>
        <v xml:space="preserve"> - </v>
      </c>
      <c r="Z109" s="536" t="str">
        <f t="shared" ca="1" si="10"/>
        <v>peu sûr</v>
      </c>
      <c r="AA109" s="536" t="str">
        <f t="shared" ca="1" si="11"/>
        <v>faible</v>
      </c>
      <c r="AB109" s="477">
        <f t="shared" ca="1" si="12"/>
        <v>1</v>
      </c>
      <c r="AC109" s="187"/>
      <c r="AD109" s="187"/>
      <c r="AE109" s="187"/>
      <c r="AF109" s="187"/>
      <c r="AG109" s="78">
        <v>7</v>
      </c>
      <c r="AH109" s="78">
        <f ca="1">I107</f>
        <v>0</v>
      </c>
      <c r="AU109" s="256" t="s">
        <v>1148</v>
      </c>
      <c r="BD109" s="532" t="s">
        <v>1149</v>
      </c>
      <c r="BF109" s="406" t="s">
        <v>1207</v>
      </c>
      <c r="BH109" s="405" t="s">
        <v>1260</v>
      </c>
    </row>
    <row r="110" spans="1:60">
      <c r="A110" s="78" t="s">
        <v>1630</v>
      </c>
      <c r="B110" s="187">
        <f ca="1">SUM(B107:B109)</f>
        <v>4</v>
      </c>
      <c r="O110" s="536" t="str">
        <f t="shared" ca="1" si="13"/>
        <v xml:space="preserve"> </v>
      </c>
      <c r="P110" s="536" t="str">
        <f t="shared" ca="1" si="0"/>
        <v xml:space="preserve"> </v>
      </c>
      <c r="Q110" s="477" t="str">
        <f t="shared" ca="1" si="1"/>
        <v xml:space="preserve"> </v>
      </c>
      <c r="R110" s="536" t="str">
        <f t="shared" ca="1" si="2"/>
        <v xml:space="preserve"> </v>
      </c>
      <c r="S110" s="536" t="str">
        <f t="shared" ca="1" si="3"/>
        <v xml:space="preserve"> </v>
      </c>
      <c r="T110" s="536" t="str">
        <f t="shared" ca="1" si="4"/>
        <v xml:space="preserve"> </v>
      </c>
      <c r="U110" s="531" t="str">
        <f t="shared" ca="1" si="5"/>
        <v xml:space="preserve"> </v>
      </c>
      <c r="V110" s="537" t="str">
        <f t="shared" ca="1" si="6"/>
        <v xml:space="preserve"> </v>
      </c>
      <c r="W110" s="536" t="str">
        <f t="shared" ca="1" si="7"/>
        <v xml:space="preserve"> </v>
      </c>
      <c r="X110" s="536" t="str">
        <f t="shared" ca="1" si="8"/>
        <v xml:space="preserve"> </v>
      </c>
      <c r="Y110" s="536" t="str">
        <f t="shared" ca="1" si="9"/>
        <v xml:space="preserve"> </v>
      </c>
      <c r="Z110" s="536" t="str">
        <f t="shared" ca="1" si="10"/>
        <v xml:space="preserve"> </v>
      </c>
      <c r="AA110" s="536" t="str">
        <f t="shared" ca="1" si="11"/>
        <v xml:space="preserve"> </v>
      </c>
      <c r="AB110" s="477">
        <f t="shared" ca="1" si="12"/>
        <v>2</v>
      </c>
      <c r="AC110" s="187"/>
      <c r="AD110" s="187"/>
      <c r="AE110" s="187"/>
      <c r="AF110" s="187"/>
      <c r="AG110" s="78">
        <v>8</v>
      </c>
      <c r="AH110" s="78">
        <f ca="1">I108</f>
        <v>0</v>
      </c>
      <c r="AU110" s="256" t="s">
        <v>1149</v>
      </c>
      <c r="BD110" s="532" t="s">
        <v>1150</v>
      </c>
      <c r="BF110" s="406" t="s">
        <v>1208</v>
      </c>
      <c r="BH110" s="405" t="s">
        <v>1261</v>
      </c>
    </row>
    <row r="111" spans="1:60">
      <c r="O111" s="536" t="str">
        <f t="shared" ca="1" si="13"/>
        <v xml:space="preserve"> </v>
      </c>
      <c r="P111" s="536" t="str">
        <f t="shared" ca="1" si="0"/>
        <v xml:space="preserve"> </v>
      </c>
      <c r="Q111" s="477" t="str">
        <f t="shared" ca="1" si="1"/>
        <v xml:space="preserve"> </v>
      </c>
      <c r="R111" s="536" t="str">
        <f t="shared" ca="1" si="2"/>
        <v xml:space="preserve"> </v>
      </c>
      <c r="S111" s="536" t="str">
        <f t="shared" ca="1" si="3"/>
        <v xml:space="preserve"> </v>
      </c>
      <c r="T111" s="536" t="str">
        <f t="shared" ca="1" si="4"/>
        <v xml:space="preserve"> </v>
      </c>
      <c r="U111" s="531" t="str">
        <f t="shared" ca="1" si="5"/>
        <v xml:space="preserve"> </v>
      </c>
      <c r="V111" s="537" t="str">
        <f t="shared" ca="1" si="6"/>
        <v xml:space="preserve"> </v>
      </c>
      <c r="W111" s="536" t="str">
        <f t="shared" ca="1" si="7"/>
        <v xml:space="preserve"> </v>
      </c>
      <c r="X111" s="536" t="str">
        <f t="shared" ca="1" si="8"/>
        <v xml:space="preserve"> </v>
      </c>
      <c r="Y111" s="536" t="str">
        <f t="shared" ca="1" si="9"/>
        <v xml:space="preserve"> </v>
      </c>
      <c r="Z111" s="536" t="str">
        <f t="shared" ca="1" si="10"/>
        <v xml:space="preserve"> </v>
      </c>
      <c r="AA111" s="536" t="str">
        <f t="shared" ca="1" si="11"/>
        <v xml:space="preserve"> </v>
      </c>
      <c r="AB111" s="477">
        <f t="shared" ca="1" si="12"/>
        <v>2</v>
      </c>
      <c r="AC111" s="187"/>
      <c r="AD111" s="187"/>
      <c r="AE111" s="187"/>
      <c r="AF111" s="187"/>
      <c r="AG111" s="78">
        <v>9</v>
      </c>
      <c r="AH111" s="78">
        <f ca="1">I109</f>
        <v>0</v>
      </c>
      <c r="AU111" s="256" t="s">
        <v>1150</v>
      </c>
      <c r="BD111" s="532" t="s">
        <v>1151</v>
      </c>
      <c r="BF111" s="406" t="s">
        <v>1209</v>
      </c>
      <c r="BH111" s="405" t="s">
        <v>1262</v>
      </c>
    </row>
    <row r="112" spans="1:60">
      <c r="A112" s="78" t="s">
        <v>2141</v>
      </c>
      <c r="C112" s="93" t="str">
        <f ca="1">LOOKUP(RANDBETWEEN(1,10),dé100,ageville)</f>
        <v>très récente</v>
      </c>
      <c r="E112" s="78" t="s">
        <v>2131</v>
      </c>
      <c r="F112" s="95">
        <f ca="1">LOOKUP(TDOd100,dé100,densitepop)</f>
        <v>0</v>
      </c>
      <c r="O112" s="536" t="str">
        <f t="shared" ca="1" si="13"/>
        <v xml:space="preserve"> </v>
      </c>
      <c r="P112" s="536" t="str">
        <f t="shared" ca="1" si="0"/>
        <v xml:space="preserve"> </v>
      </c>
      <c r="Q112" s="477" t="str">
        <f t="shared" ca="1" si="1"/>
        <v xml:space="preserve"> </v>
      </c>
      <c r="R112" s="536" t="str">
        <f t="shared" ca="1" si="2"/>
        <v xml:space="preserve"> </v>
      </c>
      <c r="S112" s="536" t="str">
        <f t="shared" ca="1" si="3"/>
        <v xml:space="preserve"> </v>
      </c>
      <c r="T112" s="536" t="str">
        <f t="shared" ca="1" si="4"/>
        <v xml:space="preserve"> </v>
      </c>
      <c r="U112" s="531" t="str">
        <f t="shared" ca="1" si="5"/>
        <v xml:space="preserve"> </v>
      </c>
      <c r="V112" s="537" t="str">
        <f t="shared" ca="1" si="6"/>
        <v xml:space="preserve"> </v>
      </c>
      <c r="W112" s="536" t="str">
        <f t="shared" ca="1" si="7"/>
        <v xml:space="preserve"> </v>
      </c>
      <c r="X112" s="536" t="str">
        <f t="shared" ca="1" si="8"/>
        <v xml:space="preserve"> </v>
      </c>
      <c r="Y112" s="536" t="str">
        <f t="shared" ca="1" si="9"/>
        <v xml:space="preserve"> </v>
      </c>
      <c r="Z112" s="536" t="str">
        <f t="shared" ca="1" si="10"/>
        <v xml:space="preserve"> </v>
      </c>
      <c r="AA112" s="536" t="str">
        <f t="shared" ca="1" si="11"/>
        <v xml:space="preserve"> </v>
      </c>
      <c r="AB112" s="477">
        <f t="shared" ca="1" si="12"/>
        <v>2</v>
      </c>
      <c r="AC112" s="187"/>
      <c r="AD112" s="187"/>
      <c r="AE112" s="187"/>
      <c r="AF112" s="187"/>
      <c r="AG112" s="78">
        <v>10</v>
      </c>
      <c r="AH112" s="78">
        <f ca="1">L107</f>
        <v>0</v>
      </c>
      <c r="AU112" s="256" t="s">
        <v>1151</v>
      </c>
      <c r="BD112" s="532" t="s">
        <v>1152</v>
      </c>
      <c r="BF112" s="406" t="s">
        <v>1210</v>
      </c>
      <c r="BH112" s="405" t="s">
        <v>1263</v>
      </c>
    </row>
    <row r="113" spans="1:60" ht="10.8" thickBot="1">
      <c r="A113" s="78" t="s">
        <v>2142</v>
      </c>
      <c r="C113" s="538">
        <f ca="1">RANDBETWEEN(POPfixee,POPfixee2)</f>
        <v>3874</v>
      </c>
      <c r="E113" s="78" t="s">
        <v>2143</v>
      </c>
      <c r="F113" s="539">
        <f ca="1">10*(RANDBETWEEN(1,10)+densité)</f>
        <v>40</v>
      </c>
      <c r="G113" s="78" t="s">
        <v>675</v>
      </c>
      <c r="I113" s="78" t="s">
        <v>2144</v>
      </c>
      <c r="J113" s="94">
        <f ca="1">60+((RANDBETWEEN(1,10)-RANDBETWEEN(1,10)+densité))*5</f>
        <v>55</v>
      </c>
      <c r="K113" s="78" t="s">
        <v>2145</v>
      </c>
      <c r="L113" s="78" t="s">
        <v>2146</v>
      </c>
      <c r="M113" s="94">
        <f ca="1">5+RANDBETWEEN(1,5)-RANDBETWEEN(1,5)</f>
        <v>7</v>
      </c>
      <c r="N113" s="78" t="s">
        <v>2147</v>
      </c>
      <c r="O113" s="536" t="str">
        <f t="shared" ca="1" si="13"/>
        <v xml:space="preserve"> </v>
      </c>
      <c r="P113" s="536" t="str">
        <f t="shared" ca="1" si="0"/>
        <v xml:space="preserve"> </v>
      </c>
      <c r="Q113" s="477" t="str">
        <f t="shared" ca="1" si="1"/>
        <v xml:space="preserve"> </v>
      </c>
      <c r="R113" s="536" t="str">
        <f t="shared" ca="1" si="2"/>
        <v xml:space="preserve"> </v>
      </c>
      <c r="S113" s="536" t="str">
        <f t="shared" ca="1" si="3"/>
        <v xml:space="preserve"> </v>
      </c>
      <c r="T113" s="536" t="str">
        <f t="shared" ca="1" si="4"/>
        <v xml:space="preserve"> </v>
      </c>
      <c r="U113" s="531" t="str">
        <f t="shared" ca="1" si="5"/>
        <v xml:space="preserve"> </v>
      </c>
      <c r="V113" s="537" t="str">
        <f t="shared" ca="1" si="6"/>
        <v xml:space="preserve"> </v>
      </c>
      <c r="W113" s="536" t="str">
        <f t="shared" ca="1" si="7"/>
        <v xml:space="preserve"> </v>
      </c>
      <c r="X113" s="536" t="str">
        <f t="shared" ca="1" si="8"/>
        <v xml:space="preserve"> </v>
      </c>
      <c r="Y113" s="536" t="str">
        <f t="shared" ca="1" si="9"/>
        <v xml:space="preserve"> </v>
      </c>
      <c r="Z113" s="536" t="str">
        <f t="shared" ca="1" si="10"/>
        <v xml:space="preserve"> </v>
      </c>
      <c r="AA113" s="536" t="str">
        <f t="shared" ca="1" si="11"/>
        <v xml:space="preserve"> </v>
      </c>
      <c r="AB113" s="477">
        <f t="shared" ca="1" si="12"/>
        <v>1</v>
      </c>
      <c r="AC113" s="187"/>
      <c r="AD113" s="187"/>
      <c r="AE113" s="187"/>
      <c r="AF113" s="187"/>
      <c r="AG113" s="78">
        <v>11</v>
      </c>
      <c r="AH113" s="78">
        <f ca="1">L108</f>
        <v>0</v>
      </c>
      <c r="AU113" s="256" t="s">
        <v>1152</v>
      </c>
      <c r="BD113" s="532" t="s">
        <v>1153</v>
      </c>
      <c r="BF113" s="406" t="s">
        <v>1211</v>
      </c>
      <c r="BH113" s="405" t="s">
        <v>1264</v>
      </c>
    </row>
    <row r="114" spans="1:60" ht="10.8" thickBot="1">
      <c r="B114" s="220" t="s">
        <v>2148</v>
      </c>
      <c r="C114" s="187">
        <f ca="1">INT((60+((RANDBETWEEN(1,10)-RANDBETWEEN(1,10))*RIC))*(PVI/100))</f>
        <v>2153</v>
      </c>
      <c r="E114" s="186"/>
      <c r="G114" s="220"/>
      <c r="I114" s="220"/>
      <c r="L114" s="220"/>
      <c r="O114" s="536" t="str">
        <f t="shared" ca="1" si="13"/>
        <v xml:space="preserve"> </v>
      </c>
      <c r="P114" s="536" t="str">
        <f t="shared" ca="1" si="0"/>
        <v xml:space="preserve"> </v>
      </c>
      <c r="Q114" s="477" t="str">
        <f t="shared" ca="1" si="1"/>
        <v xml:space="preserve"> </v>
      </c>
      <c r="R114" s="536" t="str">
        <f t="shared" ca="1" si="2"/>
        <v xml:space="preserve"> </v>
      </c>
      <c r="S114" s="536" t="str">
        <f t="shared" ca="1" si="3"/>
        <v xml:space="preserve"> </v>
      </c>
      <c r="T114" s="536" t="str">
        <f t="shared" ca="1" si="4"/>
        <v xml:space="preserve"> </v>
      </c>
      <c r="U114" s="531" t="str">
        <f t="shared" ca="1" si="5"/>
        <v xml:space="preserve"> </v>
      </c>
      <c r="V114" s="537" t="str">
        <f t="shared" ca="1" si="6"/>
        <v xml:space="preserve"> </v>
      </c>
      <c r="W114" s="536" t="str">
        <f t="shared" ca="1" si="7"/>
        <v xml:space="preserve"> </v>
      </c>
      <c r="X114" s="536" t="str">
        <f t="shared" ca="1" si="8"/>
        <v xml:space="preserve"> </v>
      </c>
      <c r="Y114" s="536" t="str">
        <f t="shared" ca="1" si="9"/>
        <v xml:space="preserve"> </v>
      </c>
      <c r="Z114" s="536" t="str">
        <f t="shared" ca="1" si="10"/>
        <v xml:space="preserve"> </v>
      </c>
      <c r="AA114" s="536" t="str">
        <f t="shared" ca="1" si="11"/>
        <v xml:space="preserve"> </v>
      </c>
      <c r="AB114" s="477">
        <f t="shared" ca="1" si="12"/>
        <v>2</v>
      </c>
      <c r="AC114" s="187"/>
      <c r="AD114" s="187"/>
      <c r="AE114" s="187"/>
      <c r="AF114" s="187"/>
      <c r="AG114" s="78">
        <v>12</v>
      </c>
      <c r="AH114" s="78">
        <f ca="1">L109</f>
        <v>0</v>
      </c>
      <c r="AU114" s="256" t="s">
        <v>1153</v>
      </c>
      <c r="BD114" s="540" t="s">
        <v>1154</v>
      </c>
      <c r="BF114" s="406" t="s">
        <v>1212</v>
      </c>
      <c r="BH114" s="405" t="s">
        <v>1265</v>
      </c>
    </row>
    <row r="115" spans="1:60" ht="10.8" thickBot="1">
      <c r="A115" s="78" t="s">
        <v>2149</v>
      </c>
      <c r="C115" s="541">
        <f ca="1">PVI/(DPO*DMA)</f>
        <v>10.062337662337661</v>
      </c>
      <c r="D115" s="78" t="s">
        <v>2150</v>
      </c>
      <c r="E115" s="220" t="s">
        <v>2151</v>
      </c>
      <c r="F115" s="542">
        <f ca="1">IF(partieFixee=0,MAX(1,(RANDBETWEEN(1,10)/RANDBETWEEN(1,6))/2),partieFixee)</f>
        <v>1</v>
      </c>
      <c r="O115" s="536" t="str">
        <f t="shared" ca="1" si="13"/>
        <v xml:space="preserve"> </v>
      </c>
      <c r="P115" s="536" t="str">
        <f t="shared" ca="1" si="0"/>
        <v xml:space="preserve"> </v>
      </c>
      <c r="Q115" s="477" t="str">
        <f t="shared" ca="1" si="1"/>
        <v xml:space="preserve"> </v>
      </c>
      <c r="R115" s="536" t="str">
        <f t="shared" ca="1" si="2"/>
        <v xml:space="preserve"> </v>
      </c>
      <c r="S115" s="536" t="str">
        <f t="shared" ca="1" si="3"/>
        <v xml:space="preserve"> </v>
      </c>
      <c r="T115" s="536" t="str">
        <f t="shared" ca="1" si="4"/>
        <v xml:space="preserve"> </v>
      </c>
      <c r="U115" s="531" t="str">
        <f t="shared" ca="1" si="5"/>
        <v xml:space="preserve"> </v>
      </c>
      <c r="V115" s="537" t="str">
        <f t="shared" ca="1" si="6"/>
        <v xml:space="preserve"> </v>
      </c>
      <c r="W115" s="536" t="str">
        <f t="shared" ca="1" si="7"/>
        <v xml:space="preserve"> </v>
      </c>
      <c r="X115" s="536" t="str">
        <f t="shared" ca="1" si="8"/>
        <v xml:space="preserve"> </v>
      </c>
      <c r="Y115" s="536" t="str">
        <f t="shared" ca="1" si="9"/>
        <v xml:space="preserve"> </v>
      </c>
      <c r="Z115" s="536" t="str">
        <f t="shared" ca="1" si="10"/>
        <v xml:space="preserve"> </v>
      </c>
      <c r="AA115" s="536" t="str">
        <f t="shared" ca="1" si="11"/>
        <v xml:space="preserve"> </v>
      </c>
      <c r="AB115" s="477">
        <f t="shared" ca="1" si="12"/>
        <v>1</v>
      </c>
      <c r="AC115" s="187" t="s">
        <v>2152</v>
      </c>
      <c r="AD115" s="187">
        <f ca="1">RANDBETWEEN(1,10)*RIC</f>
        <v>11</v>
      </c>
      <c r="AE115" s="187" t="s">
        <v>2153</v>
      </c>
      <c r="AF115" s="187">
        <f ca="1">RANDBETWEEN(1,10)*RIC</f>
        <v>4.4000000000000004</v>
      </c>
      <c r="AG115" s="94" t="s">
        <v>105</v>
      </c>
      <c r="AU115" s="256" t="s">
        <v>1154</v>
      </c>
      <c r="BD115" s="543" t="s">
        <v>1155</v>
      </c>
      <c r="BF115" s="406" t="s">
        <v>1213</v>
      </c>
      <c r="BH115" s="405" t="s">
        <v>1266</v>
      </c>
    </row>
    <row r="116" spans="1:60">
      <c r="C116" s="544"/>
      <c r="D116" s="220" t="s">
        <v>2154</v>
      </c>
      <c r="E116" s="529" t="str">
        <f ca="1">IF(NPA&gt;1,LOOKUP(RANDBETWEEN(1,100),dé100,partieville)," ")</f>
        <v xml:space="preserve"> </v>
      </c>
      <c r="F116" s="411" t="str">
        <f ca="1">IF(NPA&gt;1,LOOKUP(RANDBETWEEN(1,10),dé100,deploiement)," ")</f>
        <v xml:space="preserve"> </v>
      </c>
      <c r="G116" s="529" t="str">
        <f ca="1">IF(NPA&gt;2,LOOKUP(RANDBETWEEN(1,100),dé100,partieville)," ")</f>
        <v xml:space="preserve"> </v>
      </c>
      <c r="H116" s="522" t="str">
        <f ca="1">IF(NPA&gt;2,LOOKUP(RANDBETWEEN(1,10),dé100,deploiement)," ")</f>
        <v xml:space="preserve"> </v>
      </c>
      <c r="I116" s="529" t="str">
        <f ca="1">IF(NPA&gt;3,LOOKUP(RANDBETWEEN(1,100),dé100,partieville)," ")</f>
        <v xml:space="preserve"> </v>
      </c>
      <c r="J116" s="522" t="str">
        <f ca="1">IF(NPA&gt;3,LOOKUP(RANDBETWEEN(1,10),dé100,deploiement)," ")</f>
        <v xml:space="preserve"> </v>
      </c>
      <c r="L116" s="529" t="str">
        <f ca="1">IF(NPA&gt;4,LOOKUP(RANDBETWEEN(1,100),dé100,partieville)," ")</f>
        <v xml:space="preserve"> </v>
      </c>
      <c r="M116" s="522" t="str">
        <f ca="1">IF(NPA&gt;4,LOOKUP(RANDBETWEEN(1,10),dé100,deploiement)," ")</f>
        <v xml:space="preserve"> </v>
      </c>
      <c r="O116" s="536" t="str">
        <f t="shared" ca="1" si="13"/>
        <v xml:space="preserve"> </v>
      </c>
      <c r="P116" s="536" t="str">
        <f t="shared" ca="1" si="0"/>
        <v xml:space="preserve"> </v>
      </c>
      <c r="Q116" s="477" t="str">
        <f t="shared" ca="1" si="1"/>
        <v xml:space="preserve"> </v>
      </c>
      <c r="R116" s="536" t="str">
        <f t="shared" ca="1" si="2"/>
        <v xml:space="preserve"> </v>
      </c>
      <c r="S116" s="536" t="str">
        <f t="shared" ca="1" si="3"/>
        <v xml:space="preserve"> </v>
      </c>
      <c r="T116" s="536" t="str">
        <f t="shared" ca="1" si="4"/>
        <v xml:space="preserve"> </v>
      </c>
      <c r="U116" s="531" t="str">
        <f t="shared" ca="1" si="5"/>
        <v xml:space="preserve"> </v>
      </c>
      <c r="V116" s="537" t="str">
        <f t="shared" ca="1" si="6"/>
        <v xml:space="preserve"> </v>
      </c>
      <c r="W116" s="536" t="str">
        <f t="shared" ca="1" si="7"/>
        <v xml:space="preserve"> </v>
      </c>
      <c r="X116" s="536" t="str">
        <f t="shared" ca="1" si="8"/>
        <v xml:space="preserve"> </v>
      </c>
      <c r="Y116" s="536" t="str">
        <f t="shared" ca="1" si="9"/>
        <v xml:space="preserve"> </v>
      </c>
      <c r="Z116" s="536" t="str">
        <f t="shared" ca="1" si="10"/>
        <v xml:space="preserve"> </v>
      </c>
      <c r="AA116" s="536" t="str">
        <f t="shared" ca="1" si="11"/>
        <v xml:space="preserve"> </v>
      </c>
      <c r="AB116" s="477">
        <f t="shared" ca="1" si="12"/>
        <v>2</v>
      </c>
      <c r="AC116" s="187"/>
      <c r="AD116" s="187"/>
      <c r="AE116" s="187"/>
      <c r="AF116" s="187"/>
      <c r="BD116" s="545" t="s">
        <v>1156</v>
      </c>
      <c r="BF116" s="406" t="s">
        <v>1214</v>
      </c>
      <c r="BH116" s="405" t="s">
        <v>1267</v>
      </c>
    </row>
    <row r="117" spans="1:60">
      <c r="O117" s="536" t="str">
        <f t="shared" ca="1" si="13"/>
        <v xml:space="preserve"> </v>
      </c>
      <c r="P117" s="536" t="str">
        <f t="shared" ca="1" si="0"/>
        <v xml:space="preserve"> </v>
      </c>
      <c r="Q117" s="477" t="str">
        <f t="shared" ca="1" si="1"/>
        <v xml:space="preserve"> </v>
      </c>
      <c r="R117" s="536" t="str">
        <f t="shared" ca="1" si="2"/>
        <v xml:space="preserve"> </v>
      </c>
      <c r="S117" s="536" t="str">
        <f t="shared" ca="1" si="3"/>
        <v xml:space="preserve"> </v>
      </c>
      <c r="T117" s="536" t="str">
        <f t="shared" ca="1" si="4"/>
        <v xml:space="preserve"> </v>
      </c>
      <c r="U117" s="531" t="str">
        <f t="shared" ca="1" si="5"/>
        <v xml:space="preserve"> </v>
      </c>
      <c r="V117" s="537" t="str">
        <f t="shared" ca="1" si="6"/>
        <v xml:space="preserve"> </v>
      </c>
      <c r="W117" s="536" t="str">
        <f t="shared" ca="1" si="7"/>
        <v xml:space="preserve"> </v>
      </c>
      <c r="X117" s="536" t="str">
        <f t="shared" ca="1" si="8"/>
        <v xml:space="preserve"> </v>
      </c>
      <c r="Y117" s="536" t="str">
        <f t="shared" ca="1" si="9"/>
        <v xml:space="preserve"> </v>
      </c>
      <c r="Z117" s="536" t="str">
        <f t="shared" ca="1" si="10"/>
        <v xml:space="preserve"> </v>
      </c>
      <c r="AA117" s="536" t="str">
        <f t="shared" ca="1" si="11"/>
        <v xml:space="preserve"> </v>
      </c>
      <c r="AB117" s="477">
        <f t="shared" ca="1" si="12"/>
        <v>1</v>
      </c>
      <c r="AC117" s="187" t="s">
        <v>2155</v>
      </c>
      <c r="AD117" s="187"/>
      <c r="AE117" s="187"/>
      <c r="AF117" s="187"/>
      <c r="BD117" s="546" t="s">
        <v>1157</v>
      </c>
      <c r="BF117" s="406" t="s">
        <v>1215</v>
      </c>
      <c r="BH117" s="405" t="s">
        <v>1234</v>
      </c>
    </row>
    <row r="118" spans="1:60" ht="10.8" thickBot="1">
      <c r="A118" s="78" t="s">
        <v>2156</v>
      </c>
      <c r="C118" s="529" t="s">
        <v>2131</v>
      </c>
      <c r="D118" s="547" t="str">
        <f ca="1">IF(ROUd&lt;3,"légère",IF(ROUd&gt;8,"forte","moyenne"))</f>
        <v>forte</v>
      </c>
      <c r="E118" s="529" t="s">
        <v>322</v>
      </c>
      <c r="F118" s="547" t="str">
        <f ca="1">IF(ROUq&lt;3,"mauvaise",IF(ROUq&gt;8,"bonne","correcte"))</f>
        <v>correcte</v>
      </c>
      <c r="G118" s="220"/>
      <c r="I118" s="220"/>
      <c r="L118" s="220"/>
      <c r="O118" s="536" t="str">
        <f t="shared" ca="1" si="13"/>
        <v xml:space="preserve"> </v>
      </c>
      <c r="P118" s="536" t="str">
        <f t="shared" ca="1" si="0"/>
        <v xml:space="preserve"> </v>
      </c>
      <c r="Q118" s="477" t="str">
        <f t="shared" ca="1" si="1"/>
        <v xml:space="preserve"> </v>
      </c>
      <c r="R118" s="536" t="str">
        <f t="shared" ca="1" si="2"/>
        <v xml:space="preserve"> </v>
      </c>
      <c r="S118" s="536" t="str">
        <f t="shared" ca="1" si="3"/>
        <v xml:space="preserve"> </v>
      </c>
      <c r="T118" s="536" t="str">
        <f t="shared" ca="1" si="4"/>
        <v xml:space="preserve"> </v>
      </c>
      <c r="U118" s="531" t="str">
        <f t="shared" ca="1" si="5"/>
        <v xml:space="preserve"> </v>
      </c>
      <c r="V118" s="537" t="str">
        <f t="shared" ca="1" si="6"/>
        <v xml:space="preserve"> </v>
      </c>
      <c r="W118" s="536" t="str">
        <f t="shared" ca="1" si="7"/>
        <v xml:space="preserve"> </v>
      </c>
      <c r="X118" s="536" t="str">
        <f t="shared" ca="1" si="8"/>
        <v xml:space="preserve"> </v>
      </c>
      <c r="Y118" s="536" t="str">
        <f t="shared" ca="1" si="9"/>
        <v xml:space="preserve"> </v>
      </c>
      <c r="Z118" s="536" t="str">
        <f t="shared" ca="1" si="10"/>
        <v xml:space="preserve"> </v>
      </c>
      <c r="AA118" s="536" t="str">
        <f t="shared" ca="1" si="11"/>
        <v xml:space="preserve"> </v>
      </c>
      <c r="AB118" s="477">
        <f t="shared" ca="1" si="12"/>
        <v>2</v>
      </c>
      <c r="AC118" s="187"/>
      <c r="AD118" s="187"/>
      <c r="AE118" s="187"/>
      <c r="AF118" s="187"/>
      <c r="BD118" s="546" t="s">
        <v>1158</v>
      </c>
      <c r="BF118" s="406" t="s">
        <v>1216</v>
      </c>
      <c r="BH118" s="405" t="s">
        <v>1268</v>
      </c>
    </row>
    <row r="119" spans="1:60" ht="10.8" thickBot="1">
      <c r="O119" s="536" t="str">
        <f t="shared" ca="1" si="13"/>
        <v xml:space="preserve"> </v>
      </c>
      <c r="P119" s="536" t="str">
        <f t="shared" ca="1" si="0"/>
        <v xml:space="preserve"> </v>
      </c>
      <c r="Q119" s="477" t="str">
        <f t="shared" ca="1" si="1"/>
        <v xml:space="preserve"> </v>
      </c>
      <c r="R119" s="536" t="str">
        <f t="shared" ca="1" si="2"/>
        <v xml:space="preserve"> </v>
      </c>
      <c r="S119" s="536" t="str">
        <f t="shared" ca="1" si="3"/>
        <v xml:space="preserve"> </v>
      </c>
      <c r="T119" s="536" t="str">
        <f t="shared" ca="1" si="4"/>
        <v xml:space="preserve"> </v>
      </c>
      <c r="U119" s="531" t="str">
        <f t="shared" ca="1" si="5"/>
        <v xml:space="preserve"> </v>
      </c>
      <c r="V119" s="537" t="str">
        <f t="shared" ca="1" si="6"/>
        <v xml:space="preserve"> </v>
      </c>
      <c r="W119" s="536" t="str">
        <f t="shared" ca="1" si="7"/>
        <v xml:space="preserve"> </v>
      </c>
      <c r="X119" s="536" t="str">
        <f t="shared" ca="1" si="8"/>
        <v xml:space="preserve"> </v>
      </c>
      <c r="Y119" s="536" t="str">
        <f t="shared" ca="1" si="9"/>
        <v xml:space="preserve"> </v>
      </c>
      <c r="Z119" s="536" t="str">
        <f t="shared" ca="1" si="10"/>
        <v xml:space="preserve"> </v>
      </c>
      <c r="AA119" s="536" t="str">
        <f t="shared" ca="1" si="11"/>
        <v xml:space="preserve"> </v>
      </c>
      <c r="AB119" s="477">
        <f t="shared" ca="1" si="12"/>
        <v>2</v>
      </c>
      <c r="AC119" s="187" t="s">
        <v>2157</v>
      </c>
      <c r="AD119" s="187">
        <f ca="1">RANDBETWEEN(1,100)</f>
        <v>6</v>
      </c>
      <c r="AE119" s="187"/>
      <c r="AF119" s="187"/>
      <c r="BD119" s="546" t="s">
        <v>1159</v>
      </c>
      <c r="BF119" s="406" t="s">
        <v>1217</v>
      </c>
      <c r="BH119" s="528" t="s">
        <v>1269</v>
      </c>
    </row>
    <row r="120" spans="1:60">
      <c r="A120" s="78" t="s">
        <v>2158</v>
      </c>
      <c r="C120" s="220"/>
      <c r="D120" s="529" t="s">
        <v>2159</v>
      </c>
      <c r="E120" s="548">
        <f ca="1">RIC*(LOOKUP(RANDBETWEEN(1,10),dé100,dé10x))/2</f>
        <v>1.6500000000000001</v>
      </c>
      <c r="F120" s="549" t="s">
        <v>1132</v>
      </c>
      <c r="G120" s="522" t="str">
        <f ca="1">LOOKUP(RANDBETWEEN(1,100),dé100,muraille)</f>
        <v>bois/pierre</v>
      </c>
      <c r="H120" s="522"/>
      <c r="I120" s="529" t="s">
        <v>2160</v>
      </c>
      <c r="J120" s="550">
        <f ca="1">(RANDBETWEEN(1,6)+RANDBETWEEN(1,6)+2)*RIC</f>
        <v>13.200000000000001</v>
      </c>
      <c r="L120" s="529" t="s">
        <v>2161</v>
      </c>
      <c r="M120" s="551">
        <f ca="1">RIC*(LOOKUP(RANDBETWEEN(1,10),dé100,dé10x))/2</f>
        <v>0.55000000000000004</v>
      </c>
      <c r="N120" s="552">
        <f ca="1">RIC*(LOOKUP(RANDBETWEEN(1,10),dé100,dé10x)+1)</f>
        <v>4.4000000000000004</v>
      </c>
      <c r="O120" s="536" t="str">
        <f t="shared" ca="1" si="13"/>
        <v xml:space="preserve"> </v>
      </c>
      <c r="P120" s="536" t="str">
        <f t="shared" ca="1" si="0"/>
        <v xml:space="preserve"> </v>
      </c>
      <c r="Q120" s="477" t="str">
        <f t="shared" ca="1" si="1"/>
        <v xml:space="preserve"> </v>
      </c>
      <c r="R120" s="536" t="str">
        <f t="shared" ca="1" si="2"/>
        <v xml:space="preserve"> </v>
      </c>
      <c r="S120" s="536" t="str">
        <f t="shared" ca="1" si="3"/>
        <v xml:space="preserve"> </v>
      </c>
      <c r="T120" s="536" t="str">
        <f t="shared" ca="1" si="4"/>
        <v xml:space="preserve"> </v>
      </c>
      <c r="U120" s="531" t="str">
        <f t="shared" ca="1" si="5"/>
        <v xml:space="preserve"> </v>
      </c>
      <c r="V120" s="537" t="str">
        <f t="shared" ca="1" si="6"/>
        <v xml:space="preserve"> </v>
      </c>
      <c r="W120" s="536" t="str">
        <f t="shared" ca="1" si="7"/>
        <v xml:space="preserve"> </v>
      </c>
      <c r="X120" s="536" t="str">
        <f t="shared" ca="1" si="8"/>
        <v xml:space="preserve"> </v>
      </c>
      <c r="Y120" s="536" t="str">
        <f t="shared" ca="1" si="9"/>
        <v xml:space="preserve"> </v>
      </c>
      <c r="Z120" s="536" t="str">
        <f t="shared" ca="1" si="10"/>
        <v xml:space="preserve"> </v>
      </c>
      <c r="AA120" s="536" t="str">
        <f t="shared" ca="1" si="11"/>
        <v xml:space="preserve"> </v>
      </c>
      <c r="AB120" s="477">
        <f t="shared" ca="1" si="12"/>
        <v>2</v>
      </c>
      <c r="AC120" s="187">
        <f ca="1">(RANDBETWEEN(1,6)-RANDBETWEEN(1,6))*10</f>
        <v>30</v>
      </c>
      <c r="AD120" s="187">
        <f ca="1">(RANDBETWEEN(1,6)-RANDBETWEEN(1,6))*10</f>
        <v>10</v>
      </c>
      <c r="AE120" s="187">
        <f ca="1">(RANDBETWEEN(1,6)-RANDBETWEEN(1,6))*10</f>
        <v>10</v>
      </c>
      <c r="AF120" s="187">
        <f ca="1">(RANDBETWEEN(1,6)-RANDBETWEEN(1,6))*10</f>
        <v>0</v>
      </c>
      <c r="AG120" s="187">
        <f ca="1">(RANDBETWEEN(1,6)-RANDBETWEEN(1,6))*10</f>
        <v>-10</v>
      </c>
      <c r="BD120" s="546" t="s">
        <v>1160</v>
      </c>
      <c r="BF120" s="406" t="s">
        <v>1218</v>
      </c>
      <c r="BH120" s="406" t="s">
        <v>1270</v>
      </c>
    </row>
    <row r="121" spans="1:60">
      <c r="A121" s="78" t="s">
        <v>2162</v>
      </c>
      <c r="D121" s="553">
        <f ca="1">INT(RIC*(2+LOOKUP(RANDBETWEEN(1,10),dé100,dé10x)))</f>
        <v>6</v>
      </c>
      <c r="E121" s="78" t="str">
        <f ca="1">IF(FOR&gt;0,LOOKUP(RANDBETWEEN(1,100),dé100,defense)," ")</f>
        <v>fossé</v>
      </c>
      <c r="G121" s="78" t="str">
        <f ca="1">IF(FOR&gt;1,LOOKUP(RANDBETWEEN(1,100),dé100,defense)," ")</f>
        <v>tour</v>
      </c>
      <c r="I121" s="78" t="str">
        <f ca="1">IF(FOR&gt;2,LOOKUP(RANDBETWEEN(1,100),dé100,defense)," ")</f>
        <v>hourds</v>
      </c>
      <c r="L121" s="78" t="str">
        <f ca="1">IF(FOR&gt;3,LOOKUP(RANDBETWEEN(1,100),dé100,defense)," ")</f>
        <v>escarpe</v>
      </c>
      <c r="M121" s="554"/>
      <c r="O121" s="536" t="str">
        <f t="shared" ca="1" si="13"/>
        <v xml:space="preserve"> </v>
      </c>
      <c r="P121" s="536" t="str">
        <f t="shared" ca="1" si="0"/>
        <v xml:space="preserve"> </v>
      </c>
      <c r="Q121" s="477" t="str">
        <f t="shared" ca="1" si="1"/>
        <v xml:space="preserve"> </v>
      </c>
      <c r="R121" s="536" t="str">
        <f t="shared" ca="1" si="2"/>
        <v xml:space="preserve"> </v>
      </c>
      <c r="S121" s="536" t="str">
        <f t="shared" ca="1" si="3"/>
        <v xml:space="preserve"> </v>
      </c>
      <c r="T121" s="536" t="str">
        <f t="shared" ca="1" si="4"/>
        <v xml:space="preserve"> </v>
      </c>
      <c r="U121" s="531" t="str">
        <f t="shared" ca="1" si="5"/>
        <v xml:space="preserve"> </v>
      </c>
      <c r="V121" s="537" t="str">
        <f t="shared" ca="1" si="6"/>
        <v xml:space="preserve"> </v>
      </c>
      <c r="W121" s="536" t="str">
        <f t="shared" ca="1" si="7"/>
        <v xml:space="preserve"> </v>
      </c>
      <c r="X121" s="536" t="str">
        <f t="shared" ca="1" si="8"/>
        <v xml:space="preserve"> </v>
      </c>
      <c r="Y121" s="536" t="str">
        <f t="shared" ca="1" si="9"/>
        <v xml:space="preserve"> </v>
      </c>
      <c r="Z121" s="536" t="str">
        <f t="shared" ca="1" si="10"/>
        <v xml:space="preserve"> </v>
      </c>
      <c r="AA121" s="536" t="str">
        <f t="shared" ca="1" si="11"/>
        <v xml:space="preserve"> </v>
      </c>
      <c r="AB121" s="477">
        <f t="shared" ca="1" si="12"/>
        <v>2</v>
      </c>
      <c r="AC121" s="555">
        <f ca="1">(PVI*relINF/1000)*(100+AC120)/100</f>
        <v>6.5470600000000001</v>
      </c>
      <c r="AD121" s="555">
        <f ca="1">(PVI*relINF/2000)*(100+AD120)/100</f>
        <v>2.7699099999999999</v>
      </c>
      <c r="AE121" s="555">
        <f ca="1">(PVI*relINF/10000)*(100+AE120)/100</f>
        <v>0.55398199999999997</v>
      </c>
      <c r="AF121" s="555">
        <f ca="1">(PVI*relINF/20000)*(100+AF120)/100</f>
        <v>0.25180999999999998</v>
      </c>
      <c r="AG121" s="555">
        <f ca="1">(PVI*relINF/100000)*(100+AG120)/100</f>
        <v>4.5325799999999992E-2</v>
      </c>
      <c r="BD121" s="546" t="s">
        <v>1161</v>
      </c>
      <c r="BF121" s="406" t="s">
        <v>1219</v>
      </c>
      <c r="BH121" s="406" t="s">
        <v>1271</v>
      </c>
    </row>
    <row r="122" spans="1:60" ht="10.8" thickBot="1">
      <c r="E122" s="78" t="str">
        <f ca="1">IF(FOR&gt;4,LOOKUP(RANDBETWEEN(1,100),dé100,defense)," ")</f>
        <v>tour</v>
      </c>
      <c r="G122" s="78" t="str">
        <f ca="1">IF(FOR&gt;5,LOOKUP(RANDBETWEEN(1,100),dé100,defense)," ")</f>
        <v>herse</v>
      </c>
      <c r="I122" s="78" t="str">
        <f ca="1">IF(FOR&gt;6,LOOKUP(RANDBETWEEN(1,100),dé100,defense)," ")</f>
        <v xml:space="preserve"> </v>
      </c>
      <c r="L122" s="78" t="str">
        <f ca="1">IF(FOR&gt;7,LOOKUP(RANDBETWEEN(1,100),dé100,defense)," ")</f>
        <v xml:space="preserve"> </v>
      </c>
      <c r="M122" s="554"/>
      <c r="O122" s="536" t="str">
        <f t="shared" ca="1" si="13"/>
        <v xml:space="preserve"> </v>
      </c>
      <c r="P122" s="536" t="str">
        <f t="shared" ca="1" si="0"/>
        <v xml:space="preserve"> </v>
      </c>
      <c r="Q122" s="477" t="str">
        <f t="shared" ca="1" si="1"/>
        <v xml:space="preserve"> </v>
      </c>
      <c r="R122" s="536" t="str">
        <f t="shared" ca="1" si="2"/>
        <v xml:space="preserve"> </v>
      </c>
      <c r="S122" s="536" t="str">
        <f t="shared" ca="1" si="3"/>
        <v xml:space="preserve"> </v>
      </c>
      <c r="T122" s="536" t="str">
        <f t="shared" ca="1" si="4"/>
        <v xml:space="preserve"> </v>
      </c>
      <c r="U122" s="531" t="str">
        <f t="shared" ca="1" si="5"/>
        <v xml:space="preserve"> </v>
      </c>
      <c r="V122" s="537" t="str">
        <f t="shared" ca="1" si="6"/>
        <v xml:space="preserve"> </v>
      </c>
      <c r="W122" s="536" t="str">
        <f t="shared" ca="1" si="7"/>
        <v xml:space="preserve"> </v>
      </c>
      <c r="X122" s="536" t="str">
        <f t="shared" ca="1" si="8"/>
        <v xml:space="preserve"> </v>
      </c>
      <c r="Y122" s="536" t="str">
        <f t="shared" ca="1" si="9"/>
        <v xml:space="preserve"> </v>
      </c>
      <c r="Z122" s="536" t="str">
        <f t="shared" ca="1" si="10"/>
        <v xml:space="preserve"> </v>
      </c>
      <c r="AA122" s="536" t="str">
        <f t="shared" ca="1" si="11"/>
        <v xml:space="preserve"> </v>
      </c>
      <c r="AB122" s="477">
        <f t="shared" ca="1" si="12"/>
        <v>1</v>
      </c>
      <c r="AC122" s="187" t="s">
        <v>2163</v>
      </c>
      <c r="AD122" s="187">
        <f ca="1">RANDBETWEEN(1,100)</f>
        <v>7</v>
      </c>
      <c r="AE122" s="187"/>
      <c r="AF122" s="187"/>
      <c r="BD122" s="546" t="s">
        <v>1162</v>
      </c>
      <c r="BF122" s="406" t="s">
        <v>1220</v>
      </c>
      <c r="BH122" s="406" t="s">
        <v>1272</v>
      </c>
    </row>
    <row r="123" spans="1:60" ht="10.8" thickBot="1">
      <c r="A123" s="78" t="s">
        <v>613</v>
      </c>
      <c r="C123" s="556" t="str">
        <f ca="1">LOOKUP(relD100,dé100,religion)</f>
        <v>faible</v>
      </c>
      <c r="D123" s="557">
        <f>IF(religionFixe=0,LOOKUP(relD100,dé100,religionx),religionFixe)</f>
        <v>1.3</v>
      </c>
      <c r="O123" s="536" t="str">
        <f t="shared" ca="1" si="13"/>
        <v xml:space="preserve"> </v>
      </c>
      <c r="P123" s="536" t="str">
        <f t="shared" ca="1" si="0"/>
        <v xml:space="preserve"> </v>
      </c>
      <c r="Q123" s="477" t="str">
        <f t="shared" ca="1" si="1"/>
        <v xml:space="preserve"> </v>
      </c>
      <c r="R123" s="536" t="str">
        <f t="shared" ca="1" si="2"/>
        <v xml:space="preserve"> </v>
      </c>
      <c r="S123" s="536" t="str">
        <f t="shared" ca="1" si="3"/>
        <v xml:space="preserve"> </v>
      </c>
      <c r="T123" s="536" t="str">
        <f t="shared" ca="1" si="4"/>
        <v xml:space="preserve"> </v>
      </c>
      <c r="U123" s="531" t="str">
        <f t="shared" ca="1" si="5"/>
        <v xml:space="preserve"> </v>
      </c>
      <c r="V123" s="537" t="str">
        <f t="shared" ca="1" si="6"/>
        <v xml:space="preserve"> </v>
      </c>
      <c r="W123" s="536" t="str">
        <f t="shared" ca="1" si="7"/>
        <v xml:space="preserve"> </v>
      </c>
      <c r="X123" s="536" t="str">
        <f t="shared" ca="1" si="8"/>
        <v xml:space="preserve"> </v>
      </c>
      <c r="Y123" s="536" t="str">
        <f t="shared" ca="1" si="9"/>
        <v xml:space="preserve"> </v>
      </c>
      <c r="Z123" s="536" t="str">
        <f t="shared" ca="1" si="10"/>
        <v xml:space="preserve"> </v>
      </c>
      <c r="AA123" s="536" t="str">
        <f t="shared" ca="1" si="11"/>
        <v xml:space="preserve"> </v>
      </c>
      <c r="AB123" s="477">
        <f t="shared" ca="1" si="12"/>
        <v>2</v>
      </c>
      <c r="AC123" s="187"/>
      <c r="AD123" s="187"/>
      <c r="AE123" s="187"/>
      <c r="AF123" s="187"/>
      <c r="BD123" s="546" t="s">
        <v>1163</v>
      </c>
      <c r="BF123" s="406" t="s">
        <v>1221</v>
      </c>
      <c r="BH123" s="406" t="s">
        <v>1273</v>
      </c>
    </row>
    <row r="124" spans="1:60" ht="10.8" thickBot="1">
      <c r="A124" s="78" t="s">
        <v>2164</v>
      </c>
      <c r="C124" s="521" t="s">
        <v>1950</v>
      </c>
      <c r="D124" s="558">
        <f ca="1">INT(AC121)</f>
        <v>6</v>
      </c>
      <c r="E124" s="521" t="s">
        <v>2165</v>
      </c>
      <c r="F124" s="548">
        <f ca="1">INT(AD121)</f>
        <v>2</v>
      </c>
      <c r="G124" s="521" t="s">
        <v>1915</v>
      </c>
      <c r="H124" s="548">
        <f ca="1">INT(AE121)</f>
        <v>0</v>
      </c>
      <c r="I124" s="521" t="s">
        <v>2166</v>
      </c>
      <c r="J124" s="548">
        <f ca="1">INT(AF121)</f>
        <v>0</v>
      </c>
      <c r="L124" s="521" t="s">
        <v>2167</v>
      </c>
      <c r="M124" s="548">
        <f ca="1">INT(AG121)</f>
        <v>0</v>
      </c>
      <c r="O124" s="536" t="str">
        <f t="shared" ca="1" si="13"/>
        <v xml:space="preserve"> </v>
      </c>
      <c r="P124" s="536" t="str">
        <f t="shared" ca="1" si="0"/>
        <v xml:space="preserve"> </v>
      </c>
      <c r="Q124" s="477" t="str">
        <f t="shared" ca="1" si="1"/>
        <v xml:space="preserve"> </v>
      </c>
      <c r="R124" s="536" t="str">
        <f t="shared" ca="1" si="2"/>
        <v xml:space="preserve"> </v>
      </c>
      <c r="S124" s="536" t="str">
        <f t="shared" ca="1" si="3"/>
        <v xml:space="preserve"> </v>
      </c>
      <c r="T124" s="536" t="str">
        <f t="shared" ca="1" si="4"/>
        <v xml:space="preserve"> </v>
      </c>
      <c r="U124" s="531" t="str">
        <f t="shared" ca="1" si="5"/>
        <v xml:space="preserve"> </v>
      </c>
      <c r="V124" s="537" t="str">
        <f t="shared" ca="1" si="6"/>
        <v xml:space="preserve"> </v>
      </c>
      <c r="W124" s="536" t="str">
        <f t="shared" ca="1" si="7"/>
        <v xml:space="preserve"> </v>
      </c>
      <c r="X124" s="536" t="str">
        <f t="shared" ca="1" si="8"/>
        <v xml:space="preserve"> </v>
      </c>
      <c r="Y124" s="536" t="str">
        <f t="shared" ca="1" si="9"/>
        <v xml:space="preserve"> </v>
      </c>
      <c r="Z124" s="536" t="str">
        <f t="shared" ca="1" si="10"/>
        <v xml:space="preserve"> </v>
      </c>
      <c r="AA124" s="536" t="str">
        <f t="shared" ca="1" si="11"/>
        <v xml:space="preserve"> </v>
      </c>
      <c r="AB124" s="477">
        <f t="shared" ca="1" si="12"/>
        <v>2</v>
      </c>
      <c r="AC124" s="187"/>
      <c r="AD124" s="187"/>
      <c r="AE124" s="187"/>
      <c r="AF124" s="187"/>
      <c r="BD124" s="546" t="s">
        <v>1164</v>
      </c>
      <c r="BF124" s="528" t="s">
        <v>1222</v>
      </c>
      <c r="BH124" s="406" t="s">
        <v>1274</v>
      </c>
    </row>
    <row r="125" spans="1:60">
      <c r="B125" s="186" t="s">
        <v>649</v>
      </c>
      <c r="D125" s="78" t="str">
        <f ca="1">IF(RANDBETWEEN(1,100)&lt;(AC121*100)-(100*(INT(AC121))),"+1","0")</f>
        <v>+1</v>
      </c>
      <c r="F125" s="78" t="str">
        <f ca="1">IF(RANDBETWEEN(1,100)&lt;(AD121*100)-(100*(INT(AD121))),"+1","0")</f>
        <v>+1</v>
      </c>
      <c r="H125" s="78" t="str">
        <f ca="1">IF(RANDBETWEEN(1,100)&lt;(AE121*100)-(100*(INT(AE121))),"+1","0")</f>
        <v>0</v>
      </c>
      <c r="J125" s="78" t="str">
        <f ca="1">IF(RANDBETWEEN(1,100)&lt;(AF121*100)-(100*(INT(AF121))),"+1","0")</f>
        <v>0</v>
      </c>
      <c r="M125" s="78" t="str">
        <f ca="1">IF(RANDBETWEEN(1,100)&lt;(AG121*100)-(100*(INT(AG121))),"+1","0")</f>
        <v>0</v>
      </c>
      <c r="O125" s="536" t="str">
        <f t="shared" ca="1" si="13"/>
        <v xml:space="preserve"> </v>
      </c>
      <c r="P125" s="536" t="str">
        <f t="shared" ca="1" si="0"/>
        <v xml:space="preserve"> </v>
      </c>
      <c r="Q125" s="477" t="str">
        <f t="shared" ca="1" si="1"/>
        <v xml:space="preserve"> </v>
      </c>
      <c r="R125" s="536" t="str">
        <f t="shared" ca="1" si="2"/>
        <v xml:space="preserve"> </v>
      </c>
      <c r="S125" s="536" t="str">
        <f t="shared" ca="1" si="3"/>
        <v xml:space="preserve"> </v>
      </c>
      <c r="T125" s="536" t="str">
        <f t="shared" ca="1" si="4"/>
        <v xml:space="preserve"> </v>
      </c>
      <c r="U125" s="531" t="str">
        <f t="shared" ca="1" si="5"/>
        <v xml:space="preserve"> </v>
      </c>
      <c r="V125" s="537" t="str">
        <f t="shared" ca="1" si="6"/>
        <v xml:space="preserve"> </v>
      </c>
      <c r="W125" s="536" t="str">
        <f t="shared" ca="1" si="7"/>
        <v xml:space="preserve"> </v>
      </c>
      <c r="X125" s="536" t="str">
        <f t="shared" ca="1" si="8"/>
        <v xml:space="preserve"> </v>
      </c>
      <c r="Y125" s="536" t="str">
        <f t="shared" ca="1" si="9"/>
        <v xml:space="preserve"> </v>
      </c>
      <c r="Z125" s="536" t="str">
        <f t="shared" ca="1" si="10"/>
        <v xml:space="preserve"> </v>
      </c>
      <c r="AA125" s="536" t="str">
        <f t="shared" ca="1" si="11"/>
        <v xml:space="preserve"> </v>
      </c>
      <c r="AB125" s="477">
        <f t="shared" ca="1" si="12"/>
        <v>1</v>
      </c>
      <c r="AC125" s="187" t="s">
        <v>2168</v>
      </c>
      <c r="AD125" s="187">
        <f t="shared" ref="AD125:AD160" ca="1" si="14">RANDBETWEEN(1,100)</f>
        <v>32</v>
      </c>
      <c r="AE125" s="187"/>
      <c r="AF125" s="187"/>
      <c r="BD125" s="546" t="s">
        <v>1165</v>
      </c>
      <c r="BF125" s="405" t="s">
        <v>1223</v>
      </c>
      <c r="BH125" s="406" t="s">
        <v>1275</v>
      </c>
    </row>
    <row r="126" spans="1:60" ht="10.8" thickBot="1">
      <c r="O126" s="536" t="str">
        <f t="shared" ca="1" si="13"/>
        <v xml:space="preserve"> </v>
      </c>
      <c r="P126" s="536" t="str">
        <f t="shared" ca="1" si="0"/>
        <v xml:space="preserve"> </v>
      </c>
      <c r="Q126" s="477" t="str">
        <f t="shared" ca="1" si="1"/>
        <v xml:space="preserve"> </v>
      </c>
      <c r="R126" s="536" t="str">
        <f t="shared" ca="1" si="2"/>
        <v xml:space="preserve"> </v>
      </c>
      <c r="S126" s="536" t="str">
        <f t="shared" ca="1" si="3"/>
        <v xml:space="preserve"> </v>
      </c>
      <c r="T126" s="536" t="str">
        <f t="shared" ca="1" si="4"/>
        <v xml:space="preserve"> </v>
      </c>
      <c r="U126" s="531" t="str">
        <f t="shared" ca="1" si="5"/>
        <v xml:space="preserve"> </v>
      </c>
      <c r="V126" s="537" t="str">
        <f t="shared" ca="1" si="6"/>
        <v xml:space="preserve"> </v>
      </c>
      <c r="W126" s="536" t="str">
        <f t="shared" ca="1" si="7"/>
        <v xml:space="preserve"> </v>
      </c>
      <c r="X126" s="536" t="str">
        <f t="shared" ca="1" si="8"/>
        <v xml:space="preserve"> </v>
      </c>
      <c r="Y126" s="536" t="str">
        <f t="shared" ca="1" si="9"/>
        <v xml:space="preserve"> </v>
      </c>
      <c r="Z126" s="536" t="str">
        <f t="shared" ca="1" si="10"/>
        <v xml:space="preserve"> </v>
      </c>
      <c r="AA126" s="536" t="str">
        <f t="shared" ca="1" si="11"/>
        <v xml:space="preserve"> </v>
      </c>
      <c r="AB126" s="477">
        <f t="shared" ca="1" si="12"/>
        <v>2</v>
      </c>
      <c r="AC126" s="187"/>
      <c r="AD126" s="187">
        <f t="shared" ca="1" si="14"/>
        <v>77</v>
      </c>
      <c r="AE126" s="187"/>
      <c r="AF126" s="187"/>
      <c r="BD126" s="546" t="s">
        <v>1166</v>
      </c>
      <c r="BF126" s="405" t="s">
        <v>1224</v>
      </c>
      <c r="BH126" s="406" t="s">
        <v>1276</v>
      </c>
    </row>
    <row r="127" spans="1:60" ht="10.8" thickBot="1">
      <c r="A127" s="78" t="s">
        <v>558</v>
      </c>
      <c r="C127" s="556" t="str">
        <f ca="1">LOOKUP(RICd100+NTR-4+(PVI/20000),dé100,richesseT)</f>
        <v>très pauvre</v>
      </c>
      <c r="D127" s="205">
        <f>IF(RichesseFixe=0,LOOKUP(RICd100+NTR-4+(PVI/20000),dé100,richesseX),RichesseFixe)</f>
        <v>1.1000000000000001</v>
      </c>
      <c r="E127" s="220" t="s">
        <v>2123</v>
      </c>
      <c r="F127" s="94" t="str">
        <f ca="1">LOOKUP(RANDBETWEEN(1,100),dé100,favorise)</f>
        <v>clergé</v>
      </c>
      <c r="O127" s="536" t="str">
        <f t="shared" ca="1" si="13"/>
        <v xml:space="preserve"> </v>
      </c>
      <c r="P127" s="536" t="str">
        <f t="shared" ca="1" si="0"/>
        <v xml:space="preserve"> </v>
      </c>
      <c r="Q127" s="477" t="str">
        <f t="shared" ca="1" si="1"/>
        <v xml:space="preserve"> </v>
      </c>
      <c r="R127" s="536" t="str">
        <f t="shared" ca="1" si="2"/>
        <v xml:space="preserve"> </v>
      </c>
      <c r="S127" s="536" t="str">
        <f t="shared" ca="1" si="3"/>
        <v xml:space="preserve"> </v>
      </c>
      <c r="T127" s="536" t="str">
        <f t="shared" ca="1" si="4"/>
        <v xml:space="preserve"> </v>
      </c>
      <c r="U127" s="531" t="str">
        <f t="shared" ca="1" si="5"/>
        <v xml:space="preserve"> </v>
      </c>
      <c r="V127" s="537" t="str">
        <f t="shared" ca="1" si="6"/>
        <v xml:space="preserve"> </v>
      </c>
      <c r="W127" s="536" t="str">
        <f t="shared" ca="1" si="7"/>
        <v xml:space="preserve"> </v>
      </c>
      <c r="X127" s="536" t="str">
        <f t="shared" ca="1" si="8"/>
        <v xml:space="preserve"> </v>
      </c>
      <c r="Y127" s="536" t="str">
        <f t="shared" ca="1" si="9"/>
        <v xml:space="preserve"> </v>
      </c>
      <c r="Z127" s="536" t="str">
        <f t="shared" ca="1" si="10"/>
        <v xml:space="preserve"> </v>
      </c>
      <c r="AA127" s="536" t="str">
        <f t="shared" ca="1" si="11"/>
        <v xml:space="preserve"> </v>
      </c>
      <c r="AB127" s="477">
        <f t="shared" ca="1" si="12"/>
        <v>2</v>
      </c>
      <c r="AC127" s="187"/>
      <c r="AD127" s="187">
        <f t="shared" ca="1" si="14"/>
        <v>95</v>
      </c>
      <c r="AE127" s="187"/>
      <c r="AF127" s="187"/>
      <c r="BD127" s="546" t="s">
        <v>1167</v>
      </c>
      <c r="BF127" s="405" t="s">
        <v>1225</v>
      </c>
      <c r="BH127" s="406" t="s">
        <v>1277</v>
      </c>
    </row>
    <row r="128" spans="1:60" ht="10.8" thickBot="1">
      <c r="O128" s="536" t="str">
        <f t="shared" ca="1" si="13"/>
        <v xml:space="preserve"> </v>
      </c>
      <c r="P128" s="536" t="str">
        <f t="shared" ca="1" si="0"/>
        <v xml:space="preserve"> </v>
      </c>
      <c r="Q128" s="477" t="str">
        <f t="shared" ca="1" si="1"/>
        <v xml:space="preserve"> </v>
      </c>
      <c r="R128" s="536" t="str">
        <f t="shared" ca="1" si="2"/>
        <v xml:space="preserve"> </v>
      </c>
      <c r="S128" s="536" t="str">
        <f t="shared" ca="1" si="3"/>
        <v xml:space="preserve"> </v>
      </c>
      <c r="T128" s="536" t="str">
        <f t="shared" ca="1" si="4"/>
        <v xml:space="preserve"> </v>
      </c>
      <c r="U128" s="531" t="str">
        <f t="shared" ca="1" si="5"/>
        <v xml:space="preserve"> </v>
      </c>
      <c r="V128" s="537" t="str">
        <f t="shared" ca="1" si="6"/>
        <v xml:space="preserve"> </v>
      </c>
      <c r="W128" s="536" t="str">
        <f t="shared" ca="1" si="7"/>
        <v xml:space="preserve"> </v>
      </c>
      <c r="X128" s="536" t="str">
        <f t="shared" ca="1" si="8"/>
        <v xml:space="preserve"> </v>
      </c>
      <c r="Y128" s="536" t="str">
        <f t="shared" ca="1" si="9"/>
        <v xml:space="preserve"> </v>
      </c>
      <c r="Z128" s="536" t="str">
        <f t="shared" ca="1" si="10"/>
        <v xml:space="preserve"> </v>
      </c>
      <c r="AA128" s="536" t="str">
        <f t="shared" ca="1" si="11"/>
        <v xml:space="preserve"> </v>
      </c>
      <c r="AB128" s="477">
        <f t="shared" ca="1" si="12"/>
        <v>1</v>
      </c>
      <c r="AC128" s="187"/>
      <c r="AD128" s="187">
        <f t="shared" ca="1" si="14"/>
        <v>87</v>
      </c>
      <c r="AE128" s="187"/>
      <c r="AF128" s="187"/>
      <c r="BD128" s="546" t="s">
        <v>1168</v>
      </c>
      <c r="BF128" s="405" t="s">
        <v>1226</v>
      </c>
      <c r="BH128" s="406" t="s">
        <v>1278</v>
      </c>
    </row>
    <row r="129" spans="1:60" ht="10.8" thickBot="1">
      <c r="A129" s="78" t="s">
        <v>2169</v>
      </c>
      <c r="C129" s="559">
        <f ca="1">MIN(IF(marcheFixe=0,INT(RIC*(RANDBETWEEN(5,10)+NTR-4)*SQRT(PVI/10000)),marcheFixe),25)</f>
        <v>5</v>
      </c>
      <c r="F129" s="428">
        <f ca="1">ROUND(SUM(F131:F155),0)</f>
        <v>38</v>
      </c>
      <c r="H129" s="560"/>
      <c r="I129" s="561"/>
      <c r="J129" s="183" t="s">
        <v>2170</v>
      </c>
      <c r="K129" s="180"/>
      <c r="O129" s="536" t="str">
        <f t="shared" ca="1" si="13"/>
        <v xml:space="preserve"> </v>
      </c>
      <c r="P129" s="536" t="str">
        <f t="shared" ca="1" si="0"/>
        <v xml:space="preserve"> </v>
      </c>
      <c r="Q129" s="477" t="str">
        <f t="shared" ca="1" si="1"/>
        <v xml:space="preserve"> </v>
      </c>
      <c r="R129" s="536" t="str">
        <f t="shared" ca="1" si="2"/>
        <v xml:space="preserve"> </v>
      </c>
      <c r="S129" s="536" t="str">
        <f t="shared" ca="1" si="3"/>
        <v xml:space="preserve"> </v>
      </c>
      <c r="T129" s="536" t="str">
        <f t="shared" ca="1" si="4"/>
        <v xml:space="preserve"> </v>
      </c>
      <c r="U129" s="531" t="str">
        <f t="shared" ca="1" si="5"/>
        <v xml:space="preserve"> </v>
      </c>
      <c r="V129" s="537" t="str">
        <f t="shared" ca="1" si="6"/>
        <v xml:space="preserve"> </v>
      </c>
      <c r="W129" s="536" t="str">
        <f t="shared" ca="1" si="7"/>
        <v xml:space="preserve"> </v>
      </c>
      <c r="X129" s="536" t="str">
        <f t="shared" ca="1" si="8"/>
        <v xml:space="preserve"> </v>
      </c>
      <c r="Y129" s="536" t="str">
        <f t="shared" ca="1" si="9"/>
        <v xml:space="preserve"> </v>
      </c>
      <c r="Z129" s="536" t="str">
        <f t="shared" ca="1" si="10"/>
        <v xml:space="preserve"> </v>
      </c>
      <c r="AA129" s="536" t="str">
        <f t="shared" ca="1" si="11"/>
        <v xml:space="preserve"> </v>
      </c>
      <c r="AB129" s="477">
        <f t="shared" ca="1" si="12"/>
        <v>2</v>
      </c>
      <c r="AC129" s="187"/>
      <c r="AD129" s="187">
        <f t="shared" ca="1" si="14"/>
        <v>100</v>
      </c>
      <c r="AE129" s="187"/>
      <c r="AF129" s="187"/>
      <c r="BD129" s="546" t="s">
        <v>1169</v>
      </c>
      <c r="BF129" s="405" t="s">
        <v>1227</v>
      </c>
      <c r="BH129" s="406" t="s">
        <v>1279</v>
      </c>
    </row>
    <row r="130" spans="1:60" ht="10.8" thickBot="1">
      <c r="A130" s="387" t="s">
        <v>2128</v>
      </c>
      <c r="B130" s="387" t="s">
        <v>1014</v>
      </c>
      <c r="C130" s="106" t="s">
        <v>1</v>
      </c>
      <c r="D130" s="387" t="s">
        <v>323</v>
      </c>
      <c r="E130" s="387" t="s">
        <v>2171</v>
      </c>
      <c r="F130" s="106" t="s">
        <v>2596</v>
      </c>
      <c r="G130" s="387" t="s">
        <v>2172</v>
      </c>
      <c r="H130" s="216" t="s">
        <v>2173</v>
      </c>
      <c r="I130" s="387"/>
      <c r="J130" s="562" t="s">
        <v>2174</v>
      </c>
      <c r="K130" s="563" t="s">
        <v>2175</v>
      </c>
      <c r="L130" s="387" t="s">
        <v>2176</v>
      </c>
      <c r="M130" s="387" t="s">
        <v>287</v>
      </c>
      <c r="N130" s="106"/>
      <c r="O130" s="536" t="str">
        <f t="shared" ca="1" si="13"/>
        <v xml:space="preserve"> </v>
      </c>
      <c r="P130" s="536" t="str">
        <f t="shared" ca="1" si="0"/>
        <v xml:space="preserve"> </v>
      </c>
      <c r="Q130" s="477" t="str">
        <f t="shared" ca="1" si="1"/>
        <v xml:space="preserve"> </v>
      </c>
      <c r="R130" s="536" t="str">
        <f t="shared" ca="1" si="2"/>
        <v xml:space="preserve"> </v>
      </c>
      <c r="S130" s="536" t="str">
        <f t="shared" ca="1" si="3"/>
        <v xml:space="preserve"> </v>
      </c>
      <c r="T130" s="536" t="str">
        <f t="shared" ca="1" si="4"/>
        <v xml:space="preserve"> </v>
      </c>
      <c r="U130" s="531" t="str">
        <f t="shared" ca="1" si="5"/>
        <v xml:space="preserve"> </v>
      </c>
      <c r="V130" s="537" t="str">
        <f t="shared" ca="1" si="6"/>
        <v xml:space="preserve"> </v>
      </c>
      <c r="W130" s="536" t="str">
        <f t="shared" ca="1" si="7"/>
        <v xml:space="preserve"> </v>
      </c>
      <c r="X130" s="536" t="str">
        <f t="shared" ca="1" si="8"/>
        <v xml:space="preserve"> </v>
      </c>
      <c r="Y130" s="536" t="str">
        <f t="shared" ca="1" si="9"/>
        <v xml:space="preserve"> </v>
      </c>
      <c r="Z130" s="536" t="str">
        <f t="shared" ca="1" si="10"/>
        <v xml:space="preserve"> </v>
      </c>
      <c r="AA130" s="536" t="str">
        <f t="shared" ca="1" si="11"/>
        <v xml:space="preserve"> </v>
      </c>
      <c r="AB130" s="477">
        <f t="shared" ca="1" si="12"/>
        <v>1</v>
      </c>
      <c r="AC130" s="187"/>
      <c r="AD130" s="187">
        <f t="shared" ca="1" si="14"/>
        <v>35</v>
      </c>
      <c r="AE130" s="187"/>
      <c r="AF130" s="187"/>
      <c r="BD130" s="546" t="s">
        <v>1170</v>
      </c>
      <c r="BF130" s="405" t="s">
        <v>1228</v>
      </c>
      <c r="BH130" s="528" t="s">
        <v>1280</v>
      </c>
    </row>
    <row r="131" spans="1:60">
      <c r="A131" s="564">
        <f ca="1">IF(NMA&gt;0,1," ")</f>
        <v>1</v>
      </c>
      <c r="B131" s="565">
        <f t="shared" ref="B131:B155" ca="1" si="15">IF($A131&lt;&gt;" ",RANDBETWEEN(1,NQU)," ")</f>
        <v>2</v>
      </c>
      <c r="C131" s="566" t="str">
        <f t="shared" ref="C131:C155" ca="1" si="16">IF($A131&lt;&gt;" ",LOOKUP($AD125,dé100,marche)," ")</f>
        <v>marché</v>
      </c>
      <c r="D131" s="565" t="str">
        <f t="shared" ref="D131:D155" ca="1" si="17">IF($A131&lt;&gt;" ",LOOKUP(MAX(1,ROUND((RANDBETWEEN(1,10)+LOOKUP($AD125,dé100,mQT))*RIC,0)),dé100,QMM)," ")</f>
        <v xml:space="preserve"> =</v>
      </c>
      <c r="E131" s="565">
        <f t="shared" ref="E131:E155" ca="1" si="18">IF($A131&lt;&gt;" ",ROUND(MIN(80,RIC*(LOOKUP(RANDBETWEEN(1,10),dé100,dé10x)*20+LOOKUP($AD125,dé100,mNE))),0)," ")</f>
        <v>22</v>
      </c>
      <c r="F131" s="567">
        <f t="shared" ref="F131:F155" ca="1" si="19">IF($A131&lt;&gt;" ",((100+(RANDBETWEEN(1,6)-RANDBETWEEN(1,6))*10)/100)*RIC*LOOKUP($AD125,dé100,mFR)*(PVI/10000)," ")</f>
        <v>11.931920000000002</v>
      </c>
      <c r="G131" s="565" t="str">
        <f t="shared" ref="G131:G155" ca="1" si="20">IF($A131&lt;&gt;" ",LOOKUP(RANDBETWEEN(1,12),ressource,ressourceAlea)," ")</f>
        <v>tissu</v>
      </c>
      <c r="H131" s="568" t="str">
        <f ca="1">IF(A131&lt;&gt;" ",IF(RANDBETWEEN(1,50)&lt;F131,"oui"," ")," ")</f>
        <v xml:space="preserve"> </v>
      </c>
      <c r="I131" s="569"/>
      <c r="J131" s="917">
        <f ca="1">IF($A131&lt;&gt;" ",1," ")</f>
        <v>1</v>
      </c>
      <c r="K131" s="918">
        <f ca="1">IF($A131&lt;&gt;" ",J131+ROUND($F131/3.6,0)," ")</f>
        <v>4</v>
      </c>
      <c r="L131" s="565" t="str">
        <f t="shared" ref="L131:L155" ca="1" si="21">IF($A131&lt;&gt;" ",LOOKUP(RANDBETWEEN(1,10),dé100,marcheNote)," ")</f>
        <v>très connu</v>
      </c>
      <c r="M131" s="565" t="str">
        <f t="shared" ref="M131:M155" ca="1" si="22">IF($A131&lt;&gt;" ",LOOKUP(MAX(1,ROUND((RANDBETWEEN(1,10)+LOOKUP($AD125,dé100,mQT))*RIC,0)),dé100,QMM)," ")</f>
        <v xml:space="preserve"> - -</v>
      </c>
      <c r="N131" s="572"/>
      <c r="O131" s="536" t="str">
        <f t="shared" ca="1" si="13"/>
        <v xml:space="preserve"> </v>
      </c>
      <c r="P131" s="536" t="str">
        <f t="shared" ca="1" si="0"/>
        <v xml:space="preserve"> </v>
      </c>
      <c r="Q131" s="477" t="str">
        <f t="shared" ca="1" si="1"/>
        <v xml:space="preserve"> </v>
      </c>
      <c r="R131" s="536" t="str">
        <f t="shared" ca="1" si="2"/>
        <v xml:space="preserve"> </v>
      </c>
      <c r="S131" s="536" t="str">
        <f t="shared" ca="1" si="3"/>
        <v xml:space="preserve"> </v>
      </c>
      <c r="T131" s="536" t="str">
        <f t="shared" ca="1" si="4"/>
        <v xml:space="preserve"> </v>
      </c>
      <c r="U131" s="531" t="str">
        <f t="shared" ca="1" si="5"/>
        <v xml:space="preserve"> </v>
      </c>
      <c r="V131" s="537" t="str">
        <f t="shared" ca="1" si="6"/>
        <v xml:space="preserve"> </v>
      </c>
      <c r="W131" s="536" t="str">
        <f t="shared" ca="1" si="7"/>
        <v xml:space="preserve"> </v>
      </c>
      <c r="X131" s="536" t="str">
        <f t="shared" ca="1" si="8"/>
        <v xml:space="preserve"> </v>
      </c>
      <c r="Y131" s="536" t="str">
        <f t="shared" ca="1" si="9"/>
        <v xml:space="preserve"> </v>
      </c>
      <c r="Z131" s="536" t="str">
        <f t="shared" ca="1" si="10"/>
        <v xml:space="preserve"> </v>
      </c>
      <c r="AA131" s="536" t="str">
        <f t="shared" ca="1" si="11"/>
        <v xml:space="preserve"> </v>
      </c>
      <c r="AB131" s="477">
        <f t="shared" ca="1" si="12"/>
        <v>1</v>
      </c>
      <c r="AC131" s="187"/>
      <c r="AD131" s="187">
        <f t="shared" ca="1" si="14"/>
        <v>92</v>
      </c>
      <c r="AE131" s="187"/>
      <c r="AF131" s="187"/>
      <c r="BD131" s="546" t="s">
        <v>1171</v>
      </c>
      <c r="BF131" s="405" t="s">
        <v>1229</v>
      </c>
      <c r="BH131" s="405" t="s">
        <v>1281</v>
      </c>
    </row>
    <row r="132" spans="1:60">
      <c r="A132" s="573">
        <f t="shared" ref="A132:A155" ca="1" si="23">IF(NMA&gt;A131,A131+1," ")</f>
        <v>2</v>
      </c>
      <c r="B132" s="536">
        <f t="shared" ca="1" si="15"/>
        <v>3</v>
      </c>
      <c r="C132" s="574" t="str">
        <f t="shared" ca="1" si="16"/>
        <v>foire</v>
      </c>
      <c r="D132" s="477" t="str">
        <f t="shared" ca="1" si="17"/>
        <v xml:space="preserve"> =</v>
      </c>
      <c r="E132" s="477">
        <f t="shared" ca="1" si="18"/>
        <v>77</v>
      </c>
      <c r="F132" s="531">
        <f t="shared" ca="1" si="19"/>
        <v>2.1307</v>
      </c>
      <c r="G132" s="477">
        <f t="shared" ca="1" si="20"/>
        <v>0</v>
      </c>
      <c r="H132" s="575" t="str">
        <f t="shared" ref="H132:H155" ca="1" si="24">IF(A132&lt;&gt;" ",IF(RANDBETWEEN(1,50)&lt;F132,"oui"," ")," ")</f>
        <v xml:space="preserve"> </v>
      </c>
      <c r="I132" s="576"/>
      <c r="J132" s="570">
        <f ca="1">IF($A132&lt;&gt;" ",K131+1," ")</f>
        <v>5</v>
      </c>
      <c r="K132" s="571">
        <f t="shared" ref="K132:K155" ca="1" si="25">IF($A132&lt;&gt;" ",J132+ROUND($F132/3.6,0)," ")</f>
        <v>6</v>
      </c>
      <c r="L132" s="477" t="str">
        <f t="shared" ca="1" si="21"/>
        <v xml:space="preserve"> </v>
      </c>
      <c r="M132" s="477" t="str">
        <f t="shared" ca="1" si="22"/>
        <v xml:space="preserve"> + </v>
      </c>
      <c r="N132" s="577"/>
      <c r="O132" s="536" t="str">
        <f t="shared" ca="1" si="13"/>
        <v xml:space="preserve"> </v>
      </c>
      <c r="P132" s="536" t="str">
        <f t="shared" ca="1" si="0"/>
        <v xml:space="preserve"> </v>
      </c>
      <c r="Q132" s="477" t="str">
        <f t="shared" ca="1" si="1"/>
        <v xml:space="preserve"> </v>
      </c>
      <c r="R132" s="536" t="str">
        <f t="shared" ca="1" si="2"/>
        <v xml:space="preserve"> </v>
      </c>
      <c r="S132" s="536" t="str">
        <f t="shared" ca="1" si="3"/>
        <v xml:space="preserve"> </v>
      </c>
      <c r="T132" s="536" t="str">
        <f t="shared" ca="1" si="4"/>
        <v xml:space="preserve"> </v>
      </c>
      <c r="U132" s="531" t="str">
        <f t="shared" ca="1" si="5"/>
        <v xml:space="preserve"> </v>
      </c>
      <c r="V132" s="537" t="str">
        <f t="shared" ca="1" si="6"/>
        <v xml:space="preserve"> </v>
      </c>
      <c r="W132" s="536" t="str">
        <f t="shared" ca="1" si="7"/>
        <v xml:space="preserve"> </v>
      </c>
      <c r="X132" s="536" t="str">
        <f t="shared" ca="1" si="8"/>
        <v xml:space="preserve"> </v>
      </c>
      <c r="Y132" s="536" t="str">
        <f t="shared" ca="1" si="9"/>
        <v xml:space="preserve"> </v>
      </c>
      <c r="Z132" s="536" t="str">
        <f t="shared" ca="1" si="10"/>
        <v xml:space="preserve"> </v>
      </c>
      <c r="AA132" s="536" t="str">
        <f t="shared" ca="1" si="11"/>
        <v xml:space="preserve"> </v>
      </c>
      <c r="AB132" s="477">
        <f t="shared" ca="1" si="12"/>
        <v>1</v>
      </c>
      <c r="AC132" s="187"/>
      <c r="AD132" s="187">
        <f t="shared" ca="1" si="14"/>
        <v>12</v>
      </c>
      <c r="AE132" s="187"/>
      <c r="AF132" s="187"/>
      <c r="BD132" s="546" t="s">
        <v>1172</v>
      </c>
      <c r="BF132" s="405" t="s">
        <v>1230</v>
      </c>
      <c r="BH132" s="405" t="s">
        <v>1282</v>
      </c>
    </row>
    <row r="133" spans="1:60">
      <c r="A133" s="573">
        <f t="shared" ca="1" si="23"/>
        <v>3</v>
      </c>
      <c r="B133" s="536">
        <f t="shared" ca="1" si="15"/>
        <v>3</v>
      </c>
      <c r="C133" s="574" t="str">
        <f t="shared" ca="1" si="16"/>
        <v>marché noir</v>
      </c>
      <c r="D133" s="477" t="str">
        <f t="shared" ca="1" si="17"/>
        <v xml:space="preserve"> =</v>
      </c>
      <c r="E133" s="477">
        <f t="shared" ca="1" si="18"/>
        <v>33</v>
      </c>
      <c r="F133" s="531">
        <f t="shared" ca="1" si="19"/>
        <v>8.9489400000000003</v>
      </c>
      <c r="G133" s="477" t="str">
        <f t="shared" ca="1" si="20"/>
        <v xml:space="preserve">Elevage </v>
      </c>
      <c r="H133" s="575" t="str">
        <f t="shared" ca="1" si="24"/>
        <v xml:space="preserve"> </v>
      </c>
      <c r="I133" s="576"/>
      <c r="J133" s="570">
        <f t="shared" ref="J133:J155" ca="1" si="26">IF($A133&lt;&gt;" ",K132+1," ")</f>
        <v>7</v>
      </c>
      <c r="K133" s="571">
        <f t="shared" ca="1" si="25"/>
        <v>9</v>
      </c>
      <c r="L133" s="477" t="str">
        <f t="shared" ca="1" si="21"/>
        <v xml:space="preserve"> </v>
      </c>
      <c r="M133" s="477" t="str">
        <f t="shared" ca="1" si="22"/>
        <v xml:space="preserve"> - -</v>
      </c>
      <c r="N133" s="577"/>
      <c r="O133" s="536" t="str">
        <f t="shared" ca="1" si="13"/>
        <v xml:space="preserve"> </v>
      </c>
      <c r="P133" s="536" t="str">
        <f t="shared" ca="1" si="0"/>
        <v xml:space="preserve"> </v>
      </c>
      <c r="Q133" s="477" t="str">
        <f t="shared" ca="1" si="1"/>
        <v xml:space="preserve"> </v>
      </c>
      <c r="R133" s="536" t="str">
        <f t="shared" ca="1" si="2"/>
        <v xml:space="preserve"> </v>
      </c>
      <c r="S133" s="536" t="str">
        <f t="shared" ca="1" si="3"/>
        <v xml:space="preserve"> </v>
      </c>
      <c r="T133" s="536" t="str">
        <f t="shared" ca="1" si="4"/>
        <v xml:space="preserve"> </v>
      </c>
      <c r="U133" s="531" t="str">
        <f t="shared" ca="1" si="5"/>
        <v xml:space="preserve"> </v>
      </c>
      <c r="V133" s="537" t="str">
        <f t="shared" ca="1" si="6"/>
        <v xml:space="preserve"> </v>
      </c>
      <c r="W133" s="536" t="str">
        <f t="shared" ca="1" si="7"/>
        <v xml:space="preserve"> </v>
      </c>
      <c r="X133" s="536" t="str">
        <f t="shared" ca="1" si="8"/>
        <v xml:space="preserve"> </v>
      </c>
      <c r="Y133" s="536" t="str">
        <f t="shared" ca="1" si="9"/>
        <v xml:space="preserve"> </v>
      </c>
      <c r="Z133" s="536" t="str">
        <f t="shared" ca="1" si="10"/>
        <v xml:space="preserve"> </v>
      </c>
      <c r="AA133" s="536" t="str">
        <f t="shared" ca="1" si="11"/>
        <v xml:space="preserve"> </v>
      </c>
      <c r="AB133" s="477">
        <f t="shared" ca="1" si="12"/>
        <v>2</v>
      </c>
      <c r="AC133" s="187"/>
      <c r="AD133" s="187">
        <f t="shared" ca="1" si="14"/>
        <v>38</v>
      </c>
      <c r="AE133" s="187"/>
      <c r="AF133" s="187"/>
      <c r="BD133" s="546" t="s">
        <v>1173</v>
      </c>
      <c r="BF133" s="405" t="s">
        <v>1231</v>
      </c>
      <c r="BH133" s="405" t="s">
        <v>1283</v>
      </c>
    </row>
    <row r="134" spans="1:60">
      <c r="A134" s="573">
        <f t="shared" ca="1" si="23"/>
        <v>4</v>
      </c>
      <c r="B134" s="536">
        <f t="shared" ca="1" si="15"/>
        <v>1</v>
      </c>
      <c r="C134" s="574" t="str">
        <f t="shared" ca="1" si="16"/>
        <v>foire</v>
      </c>
      <c r="D134" s="477" t="str">
        <f t="shared" ca="1" si="17"/>
        <v xml:space="preserve"> + </v>
      </c>
      <c r="E134" s="477">
        <f t="shared" ca="1" si="18"/>
        <v>80</v>
      </c>
      <c r="F134" s="531">
        <f t="shared" ca="1" si="19"/>
        <v>2.1307</v>
      </c>
      <c r="G134" s="477" t="str">
        <f t="shared" ca="1" si="20"/>
        <v xml:space="preserve">Elevage </v>
      </c>
      <c r="H134" s="575" t="str">
        <f t="shared" ca="1" si="24"/>
        <v xml:space="preserve"> </v>
      </c>
      <c r="I134" s="576"/>
      <c r="J134" s="570">
        <f t="shared" ca="1" si="26"/>
        <v>10</v>
      </c>
      <c r="K134" s="571">
        <f t="shared" ca="1" si="25"/>
        <v>11</v>
      </c>
      <c r="L134" s="477" t="str">
        <f t="shared" ca="1" si="21"/>
        <v xml:space="preserve"> </v>
      </c>
      <c r="M134" s="477" t="str">
        <f t="shared" ca="1" si="22"/>
        <v xml:space="preserve"> + </v>
      </c>
      <c r="N134" s="577"/>
      <c r="O134" s="536" t="str">
        <f t="shared" ca="1" si="13"/>
        <v xml:space="preserve"> </v>
      </c>
      <c r="P134" s="536" t="str">
        <f t="shared" ca="1" si="0"/>
        <v xml:space="preserve"> </v>
      </c>
      <c r="Q134" s="477" t="str">
        <f t="shared" ca="1" si="1"/>
        <v xml:space="preserve"> </v>
      </c>
      <c r="R134" s="536" t="str">
        <f t="shared" ca="1" si="2"/>
        <v xml:space="preserve"> </v>
      </c>
      <c r="S134" s="536" t="str">
        <f t="shared" ca="1" si="3"/>
        <v xml:space="preserve"> </v>
      </c>
      <c r="T134" s="536" t="str">
        <f t="shared" ca="1" si="4"/>
        <v xml:space="preserve"> </v>
      </c>
      <c r="U134" s="531" t="str">
        <f t="shared" ca="1" si="5"/>
        <v xml:space="preserve"> </v>
      </c>
      <c r="V134" s="537" t="str">
        <f t="shared" ca="1" si="6"/>
        <v xml:space="preserve"> </v>
      </c>
      <c r="W134" s="536" t="str">
        <f t="shared" ca="1" si="7"/>
        <v xml:space="preserve"> </v>
      </c>
      <c r="X134" s="536" t="str">
        <f t="shared" ca="1" si="8"/>
        <v xml:space="preserve"> </v>
      </c>
      <c r="Y134" s="536" t="str">
        <f t="shared" ca="1" si="9"/>
        <v xml:space="preserve"> </v>
      </c>
      <c r="Z134" s="536" t="str">
        <f t="shared" ca="1" si="10"/>
        <v xml:space="preserve"> </v>
      </c>
      <c r="AA134" s="536" t="str">
        <f t="shared" ca="1" si="11"/>
        <v xml:space="preserve"> </v>
      </c>
      <c r="AB134" s="477">
        <f t="shared" ca="1" si="12"/>
        <v>1</v>
      </c>
      <c r="AC134" s="187"/>
      <c r="AD134" s="187">
        <f t="shared" ca="1" si="14"/>
        <v>15</v>
      </c>
      <c r="AE134" s="187"/>
      <c r="AF134" s="187"/>
      <c r="BD134" s="546" t="s">
        <v>1174</v>
      </c>
      <c r="BF134" s="405" t="s">
        <v>1232</v>
      </c>
      <c r="BH134" s="405" t="s">
        <v>1284</v>
      </c>
    </row>
    <row r="135" spans="1:60">
      <c r="A135" s="573">
        <f t="shared" ca="1" si="23"/>
        <v>5</v>
      </c>
      <c r="B135" s="536">
        <f t="shared" ca="1" si="15"/>
        <v>2</v>
      </c>
      <c r="C135" s="574" t="str">
        <f t="shared" ca="1" si="16"/>
        <v>marché noir</v>
      </c>
      <c r="D135" s="477" t="str">
        <f t="shared" ca="1" si="17"/>
        <v xml:space="preserve"> - </v>
      </c>
      <c r="E135" s="477">
        <f t="shared" ca="1" si="18"/>
        <v>55</v>
      </c>
      <c r="F135" s="531">
        <f t="shared" ca="1" si="19"/>
        <v>12.7842</v>
      </c>
      <c r="G135" s="477">
        <f t="shared" ca="1" si="20"/>
        <v>0</v>
      </c>
      <c r="H135" s="575" t="str">
        <f t="shared" ca="1" si="24"/>
        <v xml:space="preserve"> </v>
      </c>
      <c r="I135" s="576"/>
      <c r="J135" s="570">
        <f t="shared" ca="1" si="26"/>
        <v>12</v>
      </c>
      <c r="K135" s="571">
        <f t="shared" ca="1" si="25"/>
        <v>16</v>
      </c>
      <c r="L135" s="477" t="str">
        <f t="shared" ca="1" si="21"/>
        <v>très connu</v>
      </c>
      <c r="M135" s="477" t="str">
        <f t="shared" ca="1" si="22"/>
        <v xml:space="preserve"> =</v>
      </c>
      <c r="N135" s="577"/>
      <c r="O135" s="536" t="str">
        <f t="shared" ca="1" si="13"/>
        <v xml:space="preserve"> </v>
      </c>
      <c r="P135" s="536" t="str">
        <f t="shared" ca="1" si="0"/>
        <v xml:space="preserve"> </v>
      </c>
      <c r="Q135" s="477" t="str">
        <f t="shared" ca="1" si="1"/>
        <v xml:space="preserve"> </v>
      </c>
      <c r="R135" s="536" t="str">
        <f t="shared" ca="1" si="2"/>
        <v xml:space="preserve"> </v>
      </c>
      <c r="S135" s="536" t="str">
        <f t="shared" ca="1" si="3"/>
        <v xml:space="preserve"> </v>
      </c>
      <c r="T135" s="536" t="str">
        <f t="shared" ca="1" si="4"/>
        <v xml:space="preserve"> </v>
      </c>
      <c r="U135" s="531" t="str">
        <f t="shared" ca="1" si="5"/>
        <v xml:space="preserve"> </v>
      </c>
      <c r="V135" s="537" t="str">
        <f t="shared" ca="1" si="6"/>
        <v xml:space="preserve"> </v>
      </c>
      <c r="W135" s="536" t="str">
        <f t="shared" ca="1" si="7"/>
        <v xml:space="preserve"> </v>
      </c>
      <c r="X135" s="536" t="str">
        <f t="shared" ca="1" si="8"/>
        <v xml:space="preserve"> </v>
      </c>
      <c r="Y135" s="536" t="str">
        <f t="shared" ca="1" si="9"/>
        <v xml:space="preserve"> </v>
      </c>
      <c r="Z135" s="536" t="str">
        <f t="shared" ca="1" si="10"/>
        <v xml:space="preserve"> </v>
      </c>
      <c r="AA135" s="536" t="str">
        <f t="shared" ca="1" si="11"/>
        <v xml:space="preserve"> </v>
      </c>
      <c r="AB135" s="477">
        <f t="shared" ca="1" si="12"/>
        <v>2</v>
      </c>
      <c r="AC135" s="187"/>
      <c r="AD135" s="187">
        <f t="shared" ca="1" si="14"/>
        <v>3</v>
      </c>
      <c r="AE135" s="187"/>
      <c r="AF135" s="187"/>
      <c r="BD135" s="546" t="s">
        <v>1175</v>
      </c>
      <c r="BF135" s="405" t="s">
        <v>1233</v>
      </c>
      <c r="BH135" s="405" t="s">
        <v>1285</v>
      </c>
    </row>
    <row r="136" spans="1:60">
      <c r="A136" s="573" t="str">
        <f t="shared" ca="1" si="23"/>
        <v xml:space="preserve"> </v>
      </c>
      <c r="B136" s="536" t="str">
        <f t="shared" ca="1" si="15"/>
        <v xml:space="preserve"> </v>
      </c>
      <c r="C136" s="574" t="str">
        <f t="shared" ca="1" si="16"/>
        <v xml:space="preserve"> </v>
      </c>
      <c r="D136" s="477" t="str">
        <f t="shared" ca="1" si="17"/>
        <v xml:space="preserve"> </v>
      </c>
      <c r="E136" s="477" t="str">
        <f t="shared" ca="1" si="18"/>
        <v xml:space="preserve"> </v>
      </c>
      <c r="F136" s="531" t="str">
        <f t="shared" ca="1" si="19"/>
        <v xml:space="preserve"> </v>
      </c>
      <c r="G136" s="477" t="str">
        <f t="shared" ca="1" si="20"/>
        <v xml:space="preserve"> </v>
      </c>
      <c r="H136" s="575" t="str">
        <f t="shared" ca="1" si="24"/>
        <v xml:space="preserve"> </v>
      </c>
      <c r="I136" s="576"/>
      <c r="J136" s="570" t="str">
        <f t="shared" ca="1" si="26"/>
        <v xml:space="preserve"> </v>
      </c>
      <c r="K136" s="571" t="str">
        <f t="shared" ca="1" si="25"/>
        <v xml:space="preserve"> </v>
      </c>
      <c r="L136" s="477" t="str">
        <f t="shared" ca="1" si="21"/>
        <v xml:space="preserve"> </v>
      </c>
      <c r="M136" s="477" t="str">
        <f t="shared" ca="1" si="22"/>
        <v xml:space="preserve"> </v>
      </c>
      <c r="N136" s="577"/>
      <c r="O136" s="536" t="str">
        <f t="shared" ca="1" si="13"/>
        <v xml:space="preserve"> </v>
      </c>
      <c r="P136" s="536" t="str">
        <f t="shared" ca="1" si="0"/>
        <v xml:space="preserve"> </v>
      </c>
      <c r="Q136" s="477" t="str">
        <f t="shared" ca="1" si="1"/>
        <v xml:space="preserve"> </v>
      </c>
      <c r="R136" s="536" t="str">
        <f t="shared" ca="1" si="2"/>
        <v xml:space="preserve"> </v>
      </c>
      <c r="S136" s="536" t="str">
        <f t="shared" ca="1" si="3"/>
        <v xml:space="preserve"> </v>
      </c>
      <c r="T136" s="536" t="str">
        <f t="shared" ca="1" si="4"/>
        <v xml:space="preserve"> </v>
      </c>
      <c r="U136" s="531" t="str">
        <f t="shared" ca="1" si="5"/>
        <v xml:space="preserve"> </v>
      </c>
      <c r="V136" s="537" t="str">
        <f t="shared" ca="1" si="6"/>
        <v xml:space="preserve"> </v>
      </c>
      <c r="W136" s="536" t="str">
        <f t="shared" ca="1" si="7"/>
        <v xml:space="preserve"> </v>
      </c>
      <c r="X136" s="536" t="str">
        <f t="shared" ca="1" si="8"/>
        <v xml:space="preserve"> </v>
      </c>
      <c r="Y136" s="536" t="str">
        <f t="shared" ca="1" si="9"/>
        <v xml:space="preserve"> </v>
      </c>
      <c r="Z136" s="536" t="str">
        <f t="shared" ca="1" si="10"/>
        <v xml:space="preserve"> </v>
      </c>
      <c r="AA136" s="536" t="str">
        <f t="shared" ca="1" si="11"/>
        <v xml:space="preserve"> </v>
      </c>
      <c r="AB136" s="477">
        <f t="shared" ca="1" si="12"/>
        <v>1</v>
      </c>
      <c r="AC136" s="187"/>
      <c r="AD136" s="187">
        <f t="shared" ca="1" si="14"/>
        <v>12</v>
      </c>
      <c r="AE136" s="187"/>
      <c r="AF136" s="187"/>
      <c r="BD136" s="546" t="s">
        <v>1176</v>
      </c>
      <c r="BF136" s="405" t="s">
        <v>1235</v>
      </c>
      <c r="BH136" s="405" t="s">
        <v>1286</v>
      </c>
    </row>
    <row r="137" spans="1:60">
      <c r="A137" s="573" t="str">
        <f t="shared" ca="1" si="23"/>
        <v xml:space="preserve"> </v>
      </c>
      <c r="B137" s="536" t="str">
        <f t="shared" ca="1" si="15"/>
        <v xml:space="preserve"> </v>
      </c>
      <c r="C137" s="574" t="str">
        <f t="shared" ca="1" si="16"/>
        <v xml:space="preserve"> </v>
      </c>
      <c r="D137" s="477" t="str">
        <f t="shared" ca="1" si="17"/>
        <v xml:space="preserve"> </v>
      </c>
      <c r="E137" s="477" t="str">
        <f t="shared" ca="1" si="18"/>
        <v xml:space="preserve"> </v>
      </c>
      <c r="F137" s="531" t="str">
        <f t="shared" ca="1" si="19"/>
        <v xml:space="preserve"> </v>
      </c>
      <c r="G137" s="477" t="str">
        <f t="shared" ca="1" si="20"/>
        <v xml:space="preserve"> </v>
      </c>
      <c r="H137" s="575" t="str">
        <f t="shared" ca="1" si="24"/>
        <v xml:space="preserve"> </v>
      </c>
      <c r="I137" s="576"/>
      <c r="J137" s="570" t="str">
        <f t="shared" ca="1" si="26"/>
        <v xml:space="preserve"> </v>
      </c>
      <c r="K137" s="571" t="str">
        <f t="shared" ca="1" si="25"/>
        <v xml:space="preserve"> </v>
      </c>
      <c r="L137" s="477" t="str">
        <f t="shared" ca="1" si="21"/>
        <v xml:space="preserve"> </v>
      </c>
      <c r="M137" s="477" t="str">
        <f t="shared" ca="1" si="22"/>
        <v xml:space="preserve"> </v>
      </c>
      <c r="N137" s="577"/>
      <c r="O137" s="536" t="str">
        <f t="shared" ca="1" si="13"/>
        <v xml:space="preserve"> </v>
      </c>
      <c r="P137" s="536" t="str">
        <f t="shared" ca="1" si="0"/>
        <v xml:space="preserve"> </v>
      </c>
      <c r="Q137" s="477" t="str">
        <f t="shared" ca="1" si="1"/>
        <v xml:space="preserve"> </v>
      </c>
      <c r="R137" s="536" t="str">
        <f t="shared" ca="1" si="2"/>
        <v xml:space="preserve"> </v>
      </c>
      <c r="S137" s="536" t="str">
        <f t="shared" ca="1" si="3"/>
        <v xml:space="preserve"> </v>
      </c>
      <c r="T137" s="536" t="str">
        <f t="shared" ca="1" si="4"/>
        <v xml:space="preserve"> </v>
      </c>
      <c r="U137" s="531" t="str">
        <f t="shared" ca="1" si="5"/>
        <v xml:space="preserve"> </v>
      </c>
      <c r="V137" s="537" t="str">
        <f t="shared" ca="1" si="6"/>
        <v xml:space="preserve"> </v>
      </c>
      <c r="W137" s="536" t="str">
        <f t="shared" ca="1" si="7"/>
        <v xml:space="preserve"> </v>
      </c>
      <c r="X137" s="536" t="str">
        <f t="shared" ca="1" si="8"/>
        <v xml:space="preserve"> </v>
      </c>
      <c r="Y137" s="536" t="str">
        <f t="shared" ca="1" si="9"/>
        <v xml:space="preserve"> </v>
      </c>
      <c r="Z137" s="536" t="str">
        <f t="shared" ca="1" si="10"/>
        <v xml:space="preserve"> </v>
      </c>
      <c r="AA137" s="536" t="str">
        <f t="shared" ca="1" si="11"/>
        <v xml:space="preserve"> </v>
      </c>
      <c r="AB137" s="477">
        <f t="shared" ca="1" si="12"/>
        <v>2</v>
      </c>
      <c r="AC137" s="187"/>
      <c r="AD137" s="187">
        <f t="shared" ca="1" si="14"/>
        <v>64</v>
      </c>
      <c r="AE137" s="187"/>
      <c r="AF137" s="187"/>
      <c r="BD137" s="546" t="s">
        <v>1177</v>
      </c>
      <c r="BF137" s="405" t="s">
        <v>1236</v>
      </c>
      <c r="BH137" s="405" t="s">
        <v>1287</v>
      </c>
    </row>
    <row r="138" spans="1:60">
      <c r="A138" s="573" t="str">
        <f t="shared" ca="1" si="23"/>
        <v xml:space="preserve"> </v>
      </c>
      <c r="B138" s="536" t="str">
        <f t="shared" ca="1" si="15"/>
        <v xml:space="preserve"> </v>
      </c>
      <c r="C138" s="574" t="str">
        <f t="shared" ca="1" si="16"/>
        <v xml:space="preserve"> </v>
      </c>
      <c r="D138" s="477" t="str">
        <f t="shared" ca="1" si="17"/>
        <v xml:space="preserve"> </v>
      </c>
      <c r="E138" s="477" t="str">
        <f t="shared" ca="1" si="18"/>
        <v xml:space="preserve"> </v>
      </c>
      <c r="F138" s="531" t="str">
        <f t="shared" ca="1" si="19"/>
        <v xml:space="preserve"> </v>
      </c>
      <c r="G138" s="477" t="str">
        <f t="shared" ca="1" si="20"/>
        <v xml:space="preserve"> </v>
      </c>
      <c r="H138" s="575" t="str">
        <f t="shared" ca="1" si="24"/>
        <v xml:space="preserve"> </v>
      </c>
      <c r="I138" s="576"/>
      <c r="J138" s="570" t="str">
        <f t="shared" ca="1" si="26"/>
        <v xml:space="preserve"> </v>
      </c>
      <c r="K138" s="571" t="str">
        <f t="shared" ca="1" si="25"/>
        <v xml:space="preserve"> </v>
      </c>
      <c r="L138" s="477" t="str">
        <f t="shared" ca="1" si="21"/>
        <v xml:space="preserve"> </v>
      </c>
      <c r="M138" s="477" t="str">
        <f t="shared" ca="1" si="22"/>
        <v xml:space="preserve"> </v>
      </c>
      <c r="N138" s="577"/>
      <c r="O138" s="536" t="str">
        <f t="shared" ca="1" si="13"/>
        <v xml:space="preserve"> </v>
      </c>
      <c r="P138" s="536" t="str">
        <f t="shared" ref="P138:P166" ca="1" si="27">IF($O138&lt;&gt;" ",LOOKUP(RANDBETWEEN(1,10),dé100,situationQ)," ")</f>
        <v xml:space="preserve"> </v>
      </c>
      <c r="Q138" s="477" t="str">
        <f t="shared" ref="Q138:Q166" ca="1" si="28">IF(P138="x"," ",IF($O138&lt;&gt;" ",LOOKUP(RANDBETWEEN(1,10),dé100,distanceQ)," "))</f>
        <v xml:space="preserve"> </v>
      </c>
      <c r="R138" s="536" t="str">
        <f t="shared" ref="R138:R166" ca="1" si="29">IF($O138&lt;&gt;" ",LOOKUP(RANDBETWEEN(1,100),dé100,NS)," ")</f>
        <v xml:space="preserve"> </v>
      </c>
      <c r="S138" s="536" t="str">
        <f t="shared" ref="S138:S166" ca="1" si="30">IF($O138&lt;&gt;" ",INT(DPO*(100+(RANDBETWEEN(1,6)-RANDBETWEEN(1,6)-(R138/2))*10)/100)," ")</f>
        <v xml:space="preserve"> </v>
      </c>
      <c r="T138" s="536" t="str">
        <f t="shared" ref="T138:T166" ca="1" si="31">IF($O138&lt;&gt;" ",INT(PVI/NQU*(100+(RANDBETWEEN(1,6)-RANDBETWEEN(1,6))*10)/100)," ")</f>
        <v xml:space="preserve"> </v>
      </c>
      <c r="U138" s="531" t="str">
        <f t="shared" ref="U138:U166" ca="1" si="32">IF($O138&lt;&gt;" ",100*SQRT(SVI*(T138/PVI)*(DPO/S138))," ")</f>
        <v xml:space="preserve"> </v>
      </c>
      <c r="V138" s="537" t="str">
        <f t="shared" ref="V138:V166" ca="1" si="33">IF($O138&lt;&gt;" ",2+LOOKUP(RANDBETWEEN(1,10),dé100,dé10x)," ")</f>
        <v xml:space="preserve"> </v>
      </c>
      <c r="W138" s="536" t="str">
        <f t="shared" ref="W138:W166" ca="1" si="34">IF($O138&lt;&gt;" ",LOOKUP(RANDBETWEEN(1,10),dé100,frontiereQ)," ")</f>
        <v xml:space="preserve"> </v>
      </c>
      <c r="X138" s="536" t="str">
        <f t="shared" ref="X138:X166" ca="1" si="35">IF($O138&lt;&gt;" ",LOOKUP(RANDBETWEEN(1,10),dé100,styleQ)," ")</f>
        <v xml:space="preserve"> </v>
      </c>
      <c r="Y138" s="536" t="str">
        <f t="shared" ref="Y138:Y166" ca="1" si="36">IF($O138&lt;&gt;" ",LOOKUP(RANDBETWEEN(1,10),dé100,PlusMoins)," ")</f>
        <v xml:space="preserve"> </v>
      </c>
      <c r="Z138" s="536" t="str">
        <f t="shared" ref="Z138:Z166" ca="1" si="37">IF($O138&lt;&gt;" ",LOOKUP(RANDBETWEEN(1,10),dé100,securiteQ)," ")</f>
        <v xml:space="preserve"> </v>
      </c>
      <c r="AA138" s="536" t="str">
        <f t="shared" ref="AA138:AA166" ca="1" si="38">IF($O138&lt;&gt;" ",LOOKUP(RANDBETWEEN(1,10),dé100,floreQ)," ")</f>
        <v xml:space="preserve"> </v>
      </c>
      <c r="AB138" s="477">
        <f t="shared" ref="AB138:AB166" ca="1" si="39">IF(ethniemax=0,IF($O138&lt;&gt;" ",MAX(1,INT(RANDBETWEEN(1,6)/(RIC*(R138+1))))," "),RANDBETWEEN(1,ethniemax))</f>
        <v>2</v>
      </c>
      <c r="AC138" s="187"/>
      <c r="AD138" s="187">
        <f t="shared" ca="1" si="14"/>
        <v>51</v>
      </c>
      <c r="AE138" s="187"/>
      <c r="AF138" s="187"/>
      <c r="BD138" s="546" t="s">
        <v>1178</v>
      </c>
      <c r="BF138" s="405" t="s">
        <v>1237</v>
      </c>
      <c r="BH138" s="405" t="s">
        <v>1288</v>
      </c>
    </row>
    <row r="139" spans="1:60">
      <c r="A139" s="573" t="str">
        <f t="shared" ca="1" si="23"/>
        <v xml:space="preserve"> </v>
      </c>
      <c r="B139" s="536" t="str">
        <f t="shared" ca="1" si="15"/>
        <v xml:space="preserve"> </v>
      </c>
      <c r="C139" s="574" t="str">
        <f t="shared" ca="1" si="16"/>
        <v xml:space="preserve"> </v>
      </c>
      <c r="D139" s="477" t="str">
        <f t="shared" ca="1" si="17"/>
        <v xml:space="preserve"> </v>
      </c>
      <c r="E139" s="477" t="str">
        <f t="shared" ca="1" si="18"/>
        <v xml:space="preserve"> </v>
      </c>
      <c r="F139" s="531" t="str">
        <f t="shared" ca="1" si="19"/>
        <v xml:space="preserve"> </v>
      </c>
      <c r="G139" s="477" t="str">
        <f t="shared" ca="1" si="20"/>
        <v xml:space="preserve"> </v>
      </c>
      <c r="H139" s="575" t="str">
        <f t="shared" ca="1" si="24"/>
        <v xml:space="preserve"> </v>
      </c>
      <c r="I139" s="576"/>
      <c r="J139" s="570" t="str">
        <f t="shared" ca="1" si="26"/>
        <v xml:space="preserve"> </v>
      </c>
      <c r="K139" s="571" t="str">
        <f t="shared" ca="1" si="25"/>
        <v xml:space="preserve"> </v>
      </c>
      <c r="L139" s="477" t="str">
        <f t="shared" ca="1" si="21"/>
        <v xml:space="preserve"> </v>
      </c>
      <c r="M139" s="477" t="str">
        <f t="shared" ca="1" si="22"/>
        <v xml:space="preserve"> </v>
      </c>
      <c r="N139" s="577"/>
      <c r="O139" s="536" t="str">
        <f t="shared" ref="O139:O166" ca="1" si="40">IF(NQU&gt;O138,O138+1," ")</f>
        <v xml:space="preserve"> </v>
      </c>
      <c r="P139" s="536" t="str">
        <f t="shared" ca="1" si="27"/>
        <v xml:space="preserve"> </v>
      </c>
      <c r="Q139" s="477" t="str">
        <f t="shared" ca="1" si="28"/>
        <v xml:space="preserve"> </v>
      </c>
      <c r="R139" s="536" t="str">
        <f t="shared" ca="1" si="29"/>
        <v xml:space="preserve"> </v>
      </c>
      <c r="S139" s="536" t="str">
        <f t="shared" ca="1" si="30"/>
        <v xml:space="preserve"> </v>
      </c>
      <c r="T139" s="536" t="str">
        <f t="shared" ca="1" si="31"/>
        <v xml:space="preserve"> </v>
      </c>
      <c r="U139" s="531" t="str">
        <f t="shared" ca="1" si="32"/>
        <v xml:space="preserve"> </v>
      </c>
      <c r="V139" s="537" t="str">
        <f t="shared" ca="1" si="33"/>
        <v xml:space="preserve"> </v>
      </c>
      <c r="W139" s="536" t="str">
        <f t="shared" ca="1" si="34"/>
        <v xml:space="preserve"> </v>
      </c>
      <c r="X139" s="536" t="str">
        <f t="shared" ca="1" si="35"/>
        <v xml:space="preserve"> </v>
      </c>
      <c r="Y139" s="536" t="str">
        <f t="shared" ca="1" si="36"/>
        <v xml:space="preserve"> </v>
      </c>
      <c r="Z139" s="536" t="str">
        <f t="shared" ca="1" si="37"/>
        <v xml:space="preserve"> </v>
      </c>
      <c r="AA139" s="536" t="str">
        <f t="shared" ca="1" si="38"/>
        <v xml:space="preserve"> </v>
      </c>
      <c r="AB139" s="477">
        <f t="shared" ca="1" si="39"/>
        <v>1</v>
      </c>
      <c r="AC139" s="187"/>
      <c r="AD139" s="187">
        <f t="shared" ca="1" si="14"/>
        <v>28</v>
      </c>
      <c r="AE139" s="187"/>
      <c r="AF139" s="187"/>
      <c r="BD139" s="546" t="s">
        <v>1179</v>
      </c>
      <c r="BF139" s="405" t="s">
        <v>1238</v>
      </c>
      <c r="BH139" s="405" t="s">
        <v>1289</v>
      </c>
    </row>
    <row r="140" spans="1:60" ht="10.8" thickBot="1">
      <c r="A140" s="573" t="str">
        <f t="shared" ca="1" si="23"/>
        <v xml:space="preserve"> </v>
      </c>
      <c r="B140" s="536" t="str">
        <f t="shared" ca="1" si="15"/>
        <v xml:space="preserve"> </v>
      </c>
      <c r="C140" s="574" t="str">
        <f t="shared" ca="1" si="16"/>
        <v xml:space="preserve"> </v>
      </c>
      <c r="D140" s="477" t="str">
        <f t="shared" ca="1" si="17"/>
        <v xml:space="preserve"> </v>
      </c>
      <c r="E140" s="477" t="str">
        <f t="shared" ca="1" si="18"/>
        <v xml:space="preserve"> </v>
      </c>
      <c r="F140" s="531" t="str">
        <f t="shared" ca="1" si="19"/>
        <v xml:space="preserve"> </v>
      </c>
      <c r="G140" s="477" t="str">
        <f t="shared" ca="1" si="20"/>
        <v xml:space="preserve"> </v>
      </c>
      <c r="H140" s="575" t="str">
        <f t="shared" ca="1" si="24"/>
        <v xml:space="preserve"> </v>
      </c>
      <c r="I140" s="576"/>
      <c r="J140" s="570" t="str">
        <f t="shared" ca="1" si="26"/>
        <v xml:space="preserve"> </v>
      </c>
      <c r="K140" s="571" t="str">
        <f t="shared" ca="1" si="25"/>
        <v xml:space="preserve"> </v>
      </c>
      <c r="L140" s="477" t="str">
        <f t="shared" ca="1" si="21"/>
        <v xml:space="preserve"> </v>
      </c>
      <c r="M140" s="477" t="str">
        <f t="shared" ca="1" si="22"/>
        <v xml:space="preserve"> </v>
      </c>
      <c r="N140" s="577"/>
      <c r="O140" s="536" t="str">
        <f t="shared" ca="1" si="40"/>
        <v xml:space="preserve"> </v>
      </c>
      <c r="P140" s="536" t="str">
        <f t="shared" ca="1" si="27"/>
        <v xml:space="preserve"> </v>
      </c>
      <c r="Q140" s="477" t="str">
        <f t="shared" ca="1" si="28"/>
        <v xml:space="preserve"> </v>
      </c>
      <c r="R140" s="536" t="str">
        <f t="shared" ca="1" si="29"/>
        <v xml:space="preserve"> </v>
      </c>
      <c r="S140" s="536" t="str">
        <f t="shared" ca="1" si="30"/>
        <v xml:space="preserve"> </v>
      </c>
      <c r="T140" s="536" t="str">
        <f t="shared" ca="1" si="31"/>
        <v xml:space="preserve"> </v>
      </c>
      <c r="U140" s="531" t="str">
        <f t="shared" ca="1" si="32"/>
        <v xml:space="preserve"> </v>
      </c>
      <c r="V140" s="537" t="str">
        <f t="shared" ca="1" si="33"/>
        <v xml:space="preserve"> </v>
      </c>
      <c r="W140" s="536" t="str">
        <f t="shared" ca="1" si="34"/>
        <v xml:space="preserve"> </v>
      </c>
      <c r="X140" s="536" t="str">
        <f t="shared" ca="1" si="35"/>
        <v xml:space="preserve"> </v>
      </c>
      <c r="Y140" s="536" t="str">
        <f t="shared" ca="1" si="36"/>
        <v xml:space="preserve"> </v>
      </c>
      <c r="Z140" s="536" t="str">
        <f t="shared" ca="1" si="37"/>
        <v xml:space="preserve"> </v>
      </c>
      <c r="AA140" s="536" t="str">
        <f t="shared" ca="1" si="38"/>
        <v xml:space="preserve"> </v>
      </c>
      <c r="AB140" s="477">
        <f t="shared" ca="1" si="39"/>
        <v>2</v>
      </c>
      <c r="AC140" s="187"/>
      <c r="AD140" s="187">
        <f t="shared" ca="1" si="14"/>
        <v>86</v>
      </c>
      <c r="AE140" s="187"/>
      <c r="AF140" s="187"/>
      <c r="BD140" s="546" t="s">
        <v>1180</v>
      </c>
      <c r="BF140" s="405" t="s">
        <v>1239</v>
      </c>
      <c r="BH140" s="405" t="s">
        <v>1290</v>
      </c>
    </row>
    <row r="141" spans="1:60" ht="10.8" thickBot="1">
      <c r="A141" s="573" t="str">
        <f t="shared" ca="1" si="23"/>
        <v xml:space="preserve"> </v>
      </c>
      <c r="B141" s="536" t="str">
        <f t="shared" ca="1" si="15"/>
        <v xml:space="preserve"> </v>
      </c>
      <c r="C141" s="574" t="str">
        <f t="shared" ca="1" si="16"/>
        <v xml:space="preserve"> </v>
      </c>
      <c r="D141" s="477" t="str">
        <f t="shared" ca="1" si="17"/>
        <v xml:space="preserve"> </v>
      </c>
      <c r="E141" s="477" t="str">
        <f t="shared" ca="1" si="18"/>
        <v xml:space="preserve"> </v>
      </c>
      <c r="F141" s="531" t="str">
        <f t="shared" ca="1" si="19"/>
        <v xml:space="preserve"> </v>
      </c>
      <c r="G141" s="477" t="str">
        <f t="shared" ca="1" si="20"/>
        <v xml:space="preserve"> </v>
      </c>
      <c r="H141" s="575" t="str">
        <f t="shared" ca="1" si="24"/>
        <v xml:space="preserve"> </v>
      </c>
      <c r="I141" s="576"/>
      <c r="J141" s="570" t="str">
        <f t="shared" ca="1" si="26"/>
        <v xml:space="preserve"> </v>
      </c>
      <c r="K141" s="571" t="str">
        <f t="shared" ca="1" si="25"/>
        <v xml:space="preserve"> </v>
      </c>
      <c r="L141" s="477" t="str">
        <f t="shared" ca="1" si="21"/>
        <v xml:space="preserve"> </v>
      </c>
      <c r="M141" s="477" t="str">
        <f t="shared" ca="1" si="22"/>
        <v xml:space="preserve"> </v>
      </c>
      <c r="N141" s="577"/>
      <c r="O141" s="536" t="str">
        <f t="shared" ca="1" si="40"/>
        <v xml:space="preserve"> </v>
      </c>
      <c r="P141" s="536" t="str">
        <f t="shared" ca="1" si="27"/>
        <v xml:space="preserve"> </v>
      </c>
      <c r="Q141" s="477" t="str">
        <f t="shared" ca="1" si="28"/>
        <v xml:space="preserve"> </v>
      </c>
      <c r="R141" s="536" t="str">
        <f t="shared" ca="1" si="29"/>
        <v xml:space="preserve"> </v>
      </c>
      <c r="S141" s="536" t="str">
        <f t="shared" ca="1" si="30"/>
        <v xml:space="preserve"> </v>
      </c>
      <c r="T141" s="536" t="str">
        <f t="shared" ca="1" si="31"/>
        <v xml:space="preserve"> </v>
      </c>
      <c r="U141" s="531" t="str">
        <f t="shared" ca="1" si="32"/>
        <v xml:space="preserve"> </v>
      </c>
      <c r="V141" s="537" t="str">
        <f t="shared" ca="1" si="33"/>
        <v xml:space="preserve"> </v>
      </c>
      <c r="W141" s="536" t="str">
        <f t="shared" ca="1" si="34"/>
        <v xml:space="preserve"> </v>
      </c>
      <c r="X141" s="536" t="str">
        <f t="shared" ca="1" si="35"/>
        <v xml:space="preserve"> </v>
      </c>
      <c r="Y141" s="536" t="str">
        <f t="shared" ca="1" si="36"/>
        <v xml:space="preserve"> </v>
      </c>
      <c r="Z141" s="536" t="str">
        <f t="shared" ca="1" si="37"/>
        <v xml:space="preserve"> </v>
      </c>
      <c r="AA141" s="536" t="str">
        <f t="shared" ca="1" si="38"/>
        <v xml:space="preserve"> </v>
      </c>
      <c r="AB141" s="477">
        <f t="shared" ca="1" si="39"/>
        <v>2</v>
      </c>
      <c r="AD141" s="187">
        <f t="shared" ca="1" si="14"/>
        <v>63</v>
      </c>
      <c r="BD141" s="546" t="s">
        <v>1181</v>
      </c>
      <c r="BF141" s="528" t="s">
        <v>1240</v>
      </c>
      <c r="BH141" s="405" t="s">
        <v>1291</v>
      </c>
    </row>
    <row r="142" spans="1:60">
      <c r="A142" s="573" t="str">
        <f t="shared" ca="1" si="23"/>
        <v xml:space="preserve"> </v>
      </c>
      <c r="B142" s="536" t="str">
        <f t="shared" ca="1" si="15"/>
        <v xml:space="preserve"> </v>
      </c>
      <c r="C142" s="574" t="str">
        <f t="shared" ca="1" si="16"/>
        <v xml:space="preserve"> </v>
      </c>
      <c r="D142" s="477" t="str">
        <f t="shared" ca="1" si="17"/>
        <v xml:space="preserve"> </v>
      </c>
      <c r="E142" s="477" t="str">
        <f t="shared" ca="1" si="18"/>
        <v xml:space="preserve"> </v>
      </c>
      <c r="F142" s="531" t="str">
        <f t="shared" ca="1" si="19"/>
        <v xml:space="preserve"> </v>
      </c>
      <c r="G142" s="477" t="str">
        <f t="shared" ca="1" si="20"/>
        <v xml:space="preserve"> </v>
      </c>
      <c r="H142" s="575" t="str">
        <f t="shared" ca="1" si="24"/>
        <v xml:space="preserve"> </v>
      </c>
      <c r="I142" s="576"/>
      <c r="J142" s="570" t="str">
        <f t="shared" ca="1" si="26"/>
        <v xml:space="preserve"> </v>
      </c>
      <c r="K142" s="571" t="str">
        <f t="shared" ca="1" si="25"/>
        <v xml:space="preserve"> </v>
      </c>
      <c r="L142" s="477" t="str">
        <f t="shared" ca="1" si="21"/>
        <v xml:space="preserve"> </v>
      </c>
      <c r="M142" s="477" t="str">
        <f t="shared" ca="1" si="22"/>
        <v xml:space="preserve"> </v>
      </c>
      <c r="N142" s="577"/>
      <c r="O142" s="536" t="str">
        <f t="shared" ca="1" si="40"/>
        <v xml:space="preserve"> </v>
      </c>
      <c r="P142" s="536" t="str">
        <f t="shared" ca="1" si="27"/>
        <v xml:space="preserve"> </v>
      </c>
      <c r="Q142" s="477" t="str">
        <f t="shared" ca="1" si="28"/>
        <v xml:space="preserve"> </v>
      </c>
      <c r="R142" s="536" t="str">
        <f t="shared" ca="1" si="29"/>
        <v xml:space="preserve"> </v>
      </c>
      <c r="S142" s="536" t="str">
        <f t="shared" ca="1" si="30"/>
        <v xml:space="preserve"> </v>
      </c>
      <c r="T142" s="536" t="str">
        <f t="shared" ca="1" si="31"/>
        <v xml:space="preserve"> </v>
      </c>
      <c r="U142" s="531" t="str">
        <f t="shared" ca="1" si="32"/>
        <v xml:space="preserve"> </v>
      </c>
      <c r="V142" s="537" t="str">
        <f t="shared" ca="1" si="33"/>
        <v xml:space="preserve"> </v>
      </c>
      <c r="W142" s="536" t="str">
        <f t="shared" ca="1" si="34"/>
        <v xml:space="preserve"> </v>
      </c>
      <c r="X142" s="536" t="str">
        <f t="shared" ca="1" si="35"/>
        <v xml:space="preserve"> </v>
      </c>
      <c r="Y142" s="536" t="str">
        <f t="shared" ca="1" si="36"/>
        <v xml:space="preserve"> </v>
      </c>
      <c r="Z142" s="536" t="str">
        <f t="shared" ca="1" si="37"/>
        <v xml:space="preserve"> </v>
      </c>
      <c r="AA142" s="536" t="str">
        <f t="shared" ca="1" si="38"/>
        <v xml:space="preserve"> </v>
      </c>
      <c r="AB142" s="477">
        <f t="shared" ca="1" si="39"/>
        <v>2</v>
      </c>
      <c r="AD142" s="187">
        <f t="shared" ca="1" si="14"/>
        <v>12</v>
      </c>
      <c r="BD142" s="546" t="s">
        <v>1182</v>
      </c>
      <c r="BF142" s="406" t="s">
        <v>1241</v>
      </c>
      <c r="BH142" s="405" t="s">
        <v>1292</v>
      </c>
    </row>
    <row r="143" spans="1:60">
      <c r="A143" s="573" t="str">
        <f t="shared" ca="1" si="23"/>
        <v xml:space="preserve"> </v>
      </c>
      <c r="B143" s="536" t="str">
        <f t="shared" ca="1" si="15"/>
        <v xml:space="preserve"> </v>
      </c>
      <c r="C143" s="574" t="str">
        <f t="shared" ca="1" si="16"/>
        <v xml:space="preserve"> </v>
      </c>
      <c r="D143" s="477" t="str">
        <f t="shared" ca="1" si="17"/>
        <v xml:space="preserve"> </v>
      </c>
      <c r="E143" s="477" t="str">
        <f t="shared" ca="1" si="18"/>
        <v xml:space="preserve"> </v>
      </c>
      <c r="F143" s="531" t="str">
        <f t="shared" ca="1" si="19"/>
        <v xml:space="preserve"> </v>
      </c>
      <c r="G143" s="477" t="str">
        <f t="shared" ca="1" si="20"/>
        <v xml:space="preserve"> </v>
      </c>
      <c r="H143" s="575" t="str">
        <f t="shared" ca="1" si="24"/>
        <v xml:space="preserve"> </v>
      </c>
      <c r="I143" s="576"/>
      <c r="J143" s="570" t="str">
        <f t="shared" ca="1" si="26"/>
        <v xml:space="preserve"> </v>
      </c>
      <c r="K143" s="571" t="str">
        <f t="shared" ca="1" si="25"/>
        <v xml:space="preserve"> </v>
      </c>
      <c r="L143" s="477" t="str">
        <f t="shared" ca="1" si="21"/>
        <v xml:space="preserve"> </v>
      </c>
      <c r="M143" s="477" t="str">
        <f t="shared" ca="1" si="22"/>
        <v xml:space="preserve"> </v>
      </c>
      <c r="N143" s="577"/>
      <c r="O143" s="536" t="str">
        <f t="shared" ca="1" si="40"/>
        <v xml:space="preserve"> </v>
      </c>
      <c r="P143" s="536" t="str">
        <f t="shared" ca="1" si="27"/>
        <v xml:space="preserve"> </v>
      </c>
      <c r="Q143" s="477" t="str">
        <f t="shared" ca="1" si="28"/>
        <v xml:space="preserve"> </v>
      </c>
      <c r="R143" s="536" t="str">
        <f t="shared" ca="1" si="29"/>
        <v xml:space="preserve"> </v>
      </c>
      <c r="S143" s="536" t="str">
        <f t="shared" ca="1" si="30"/>
        <v xml:space="preserve"> </v>
      </c>
      <c r="T143" s="536" t="str">
        <f t="shared" ca="1" si="31"/>
        <v xml:space="preserve"> </v>
      </c>
      <c r="U143" s="531" t="str">
        <f t="shared" ca="1" si="32"/>
        <v xml:space="preserve"> </v>
      </c>
      <c r="V143" s="537" t="str">
        <f t="shared" ca="1" si="33"/>
        <v xml:space="preserve"> </v>
      </c>
      <c r="W143" s="536" t="str">
        <f t="shared" ca="1" si="34"/>
        <v xml:space="preserve"> </v>
      </c>
      <c r="X143" s="536" t="str">
        <f t="shared" ca="1" si="35"/>
        <v xml:space="preserve"> </v>
      </c>
      <c r="Y143" s="536" t="str">
        <f t="shared" ca="1" si="36"/>
        <v xml:space="preserve"> </v>
      </c>
      <c r="Z143" s="536" t="str">
        <f t="shared" ca="1" si="37"/>
        <v xml:space="preserve"> </v>
      </c>
      <c r="AA143" s="536" t="str">
        <f t="shared" ca="1" si="38"/>
        <v xml:space="preserve"> </v>
      </c>
      <c r="AB143" s="477">
        <f t="shared" ca="1" si="39"/>
        <v>2</v>
      </c>
      <c r="AD143" s="187">
        <f t="shared" ca="1" si="14"/>
        <v>20</v>
      </c>
      <c r="BD143" s="546" t="s">
        <v>1183</v>
      </c>
      <c r="BF143" s="406" t="s">
        <v>1242</v>
      </c>
      <c r="BH143" s="405" t="s">
        <v>1293</v>
      </c>
    </row>
    <row r="144" spans="1:60">
      <c r="A144" s="573" t="str">
        <f t="shared" ca="1" si="23"/>
        <v xml:space="preserve"> </v>
      </c>
      <c r="B144" s="536" t="str">
        <f t="shared" ca="1" si="15"/>
        <v xml:space="preserve"> </v>
      </c>
      <c r="C144" s="574" t="str">
        <f t="shared" ca="1" si="16"/>
        <v xml:space="preserve"> </v>
      </c>
      <c r="D144" s="477" t="str">
        <f t="shared" ca="1" si="17"/>
        <v xml:space="preserve"> </v>
      </c>
      <c r="E144" s="477" t="str">
        <f t="shared" ca="1" si="18"/>
        <v xml:space="preserve"> </v>
      </c>
      <c r="F144" s="531" t="str">
        <f t="shared" ca="1" si="19"/>
        <v xml:space="preserve"> </v>
      </c>
      <c r="G144" s="477" t="str">
        <f t="shared" ca="1" si="20"/>
        <v xml:space="preserve"> </v>
      </c>
      <c r="H144" s="575" t="str">
        <f t="shared" ca="1" si="24"/>
        <v xml:space="preserve"> </v>
      </c>
      <c r="I144" s="576"/>
      <c r="J144" s="570" t="str">
        <f t="shared" ca="1" si="26"/>
        <v xml:space="preserve"> </v>
      </c>
      <c r="K144" s="571" t="str">
        <f t="shared" ca="1" si="25"/>
        <v xml:space="preserve"> </v>
      </c>
      <c r="L144" s="477" t="str">
        <f t="shared" ca="1" si="21"/>
        <v xml:space="preserve"> </v>
      </c>
      <c r="M144" s="477" t="str">
        <f t="shared" ca="1" si="22"/>
        <v xml:space="preserve"> </v>
      </c>
      <c r="N144" s="577"/>
      <c r="O144" s="536" t="str">
        <f t="shared" ca="1" si="40"/>
        <v xml:space="preserve"> </v>
      </c>
      <c r="P144" s="536" t="str">
        <f t="shared" ca="1" si="27"/>
        <v xml:space="preserve"> </v>
      </c>
      <c r="Q144" s="477" t="str">
        <f t="shared" ca="1" si="28"/>
        <v xml:space="preserve"> </v>
      </c>
      <c r="R144" s="536" t="str">
        <f t="shared" ca="1" si="29"/>
        <v xml:space="preserve"> </v>
      </c>
      <c r="S144" s="536" t="str">
        <f t="shared" ca="1" si="30"/>
        <v xml:space="preserve"> </v>
      </c>
      <c r="T144" s="536" t="str">
        <f t="shared" ca="1" si="31"/>
        <v xml:space="preserve"> </v>
      </c>
      <c r="U144" s="531" t="str">
        <f t="shared" ca="1" si="32"/>
        <v xml:space="preserve"> </v>
      </c>
      <c r="V144" s="537" t="str">
        <f t="shared" ca="1" si="33"/>
        <v xml:space="preserve"> </v>
      </c>
      <c r="W144" s="536" t="str">
        <f t="shared" ca="1" si="34"/>
        <v xml:space="preserve"> </v>
      </c>
      <c r="X144" s="536" t="str">
        <f t="shared" ca="1" si="35"/>
        <v xml:space="preserve"> </v>
      </c>
      <c r="Y144" s="536" t="str">
        <f t="shared" ca="1" si="36"/>
        <v xml:space="preserve"> </v>
      </c>
      <c r="Z144" s="536" t="str">
        <f t="shared" ca="1" si="37"/>
        <v xml:space="preserve"> </v>
      </c>
      <c r="AA144" s="536" t="str">
        <f t="shared" ca="1" si="38"/>
        <v xml:space="preserve"> </v>
      </c>
      <c r="AB144" s="477">
        <f t="shared" ca="1" si="39"/>
        <v>1</v>
      </c>
      <c r="AD144" s="187">
        <f t="shared" ca="1" si="14"/>
        <v>83</v>
      </c>
      <c r="BD144" s="546" t="s">
        <v>1184</v>
      </c>
      <c r="BF144" s="406" t="s">
        <v>1243</v>
      </c>
      <c r="BH144" s="405" t="s">
        <v>1294</v>
      </c>
    </row>
    <row r="145" spans="1:60">
      <c r="A145" s="573" t="str">
        <f t="shared" ca="1" si="23"/>
        <v xml:space="preserve"> </v>
      </c>
      <c r="B145" s="536" t="str">
        <f t="shared" ca="1" si="15"/>
        <v xml:space="preserve"> </v>
      </c>
      <c r="C145" s="574" t="str">
        <f t="shared" ca="1" si="16"/>
        <v xml:space="preserve"> </v>
      </c>
      <c r="D145" s="477" t="str">
        <f t="shared" ca="1" si="17"/>
        <v xml:space="preserve"> </v>
      </c>
      <c r="E145" s="477" t="str">
        <f t="shared" ca="1" si="18"/>
        <v xml:space="preserve"> </v>
      </c>
      <c r="F145" s="531" t="str">
        <f t="shared" ca="1" si="19"/>
        <v xml:space="preserve"> </v>
      </c>
      <c r="G145" s="477" t="str">
        <f t="shared" ca="1" si="20"/>
        <v xml:space="preserve"> </v>
      </c>
      <c r="H145" s="575" t="str">
        <f t="shared" ca="1" si="24"/>
        <v xml:space="preserve"> </v>
      </c>
      <c r="I145" s="576"/>
      <c r="J145" s="570" t="str">
        <f t="shared" ca="1" si="26"/>
        <v xml:space="preserve"> </v>
      </c>
      <c r="K145" s="571" t="str">
        <f t="shared" ca="1" si="25"/>
        <v xml:space="preserve"> </v>
      </c>
      <c r="L145" s="477" t="str">
        <f t="shared" ca="1" si="21"/>
        <v xml:space="preserve"> </v>
      </c>
      <c r="M145" s="477" t="str">
        <f t="shared" ca="1" si="22"/>
        <v xml:space="preserve"> </v>
      </c>
      <c r="N145" s="577"/>
      <c r="O145" s="536" t="str">
        <f t="shared" ca="1" si="40"/>
        <v xml:space="preserve"> </v>
      </c>
      <c r="P145" s="536" t="str">
        <f t="shared" ca="1" si="27"/>
        <v xml:space="preserve"> </v>
      </c>
      <c r="Q145" s="477" t="str">
        <f t="shared" ca="1" si="28"/>
        <v xml:space="preserve"> </v>
      </c>
      <c r="R145" s="536" t="str">
        <f t="shared" ca="1" si="29"/>
        <v xml:space="preserve"> </v>
      </c>
      <c r="S145" s="536" t="str">
        <f t="shared" ca="1" si="30"/>
        <v xml:space="preserve"> </v>
      </c>
      <c r="T145" s="536" t="str">
        <f t="shared" ca="1" si="31"/>
        <v xml:space="preserve"> </v>
      </c>
      <c r="U145" s="531" t="str">
        <f t="shared" ca="1" si="32"/>
        <v xml:space="preserve"> </v>
      </c>
      <c r="V145" s="537" t="str">
        <f t="shared" ca="1" si="33"/>
        <v xml:space="preserve"> </v>
      </c>
      <c r="W145" s="536" t="str">
        <f t="shared" ca="1" si="34"/>
        <v xml:space="preserve"> </v>
      </c>
      <c r="X145" s="536" t="str">
        <f t="shared" ca="1" si="35"/>
        <v xml:space="preserve"> </v>
      </c>
      <c r="Y145" s="536" t="str">
        <f t="shared" ca="1" si="36"/>
        <v xml:space="preserve"> </v>
      </c>
      <c r="Z145" s="536" t="str">
        <f t="shared" ca="1" si="37"/>
        <v xml:space="preserve"> </v>
      </c>
      <c r="AA145" s="536" t="str">
        <f t="shared" ca="1" si="38"/>
        <v xml:space="preserve"> </v>
      </c>
      <c r="AB145" s="477">
        <f t="shared" ca="1" si="39"/>
        <v>2</v>
      </c>
      <c r="AD145" s="187">
        <f t="shared" ca="1" si="14"/>
        <v>12</v>
      </c>
      <c r="BD145" s="546" t="s">
        <v>1185</v>
      </c>
      <c r="BF145" s="406" t="s">
        <v>1244</v>
      </c>
      <c r="BH145" s="405" t="s">
        <v>1295</v>
      </c>
    </row>
    <row r="146" spans="1:60">
      <c r="A146" s="573" t="str">
        <f t="shared" ca="1" si="23"/>
        <v xml:space="preserve"> </v>
      </c>
      <c r="B146" s="536" t="str">
        <f t="shared" ca="1" si="15"/>
        <v xml:space="preserve"> </v>
      </c>
      <c r="C146" s="574" t="str">
        <f t="shared" ca="1" si="16"/>
        <v xml:space="preserve"> </v>
      </c>
      <c r="D146" s="477" t="str">
        <f t="shared" ca="1" si="17"/>
        <v xml:space="preserve"> </v>
      </c>
      <c r="E146" s="477" t="str">
        <f t="shared" ca="1" si="18"/>
        <v xml:space="preserve"> </v>
      </c>
      <c r="F146" s="531" t="str">
        <f t="shared" ca="1" si="19"/>
        <v xml:space="preserve"> </v>
      </c>
      <c r="G146" s="477" t="str">
        <f t="shared" ca="1" si="20"/>
        <v xml:space="preserve"> </v>
      </c>
      <c r="H146" s="575" t="str">
        <f t="shared" ca="1" si="24"/>
        <v xml:space="preserve"> </v>
      </c>
      <c r="I146" s="576"/>
      <c r="J146" s="570" t="str">
        <f t="shared" ca="1" si="26"/>
        <v xml:space="preserve"> </v>
      </c>
      <c r="K146" s="571" t="str">
        <f t="shared" ca="1" si="25"/>
        <v xml:space="preserve"> </v>
      </c>
      <c r="L146" s="477" t="str">
        <f t="shared" ca="1" si="21"/>
        <v xml:space="preserve"> </v>
      </c>
      <c r="M146" s="477" t="str">
        <f t="shared" ca="1" si="22"/>
        <v xml:space="preserve"> </v>
      </c>
      <c r="N146" s="577"/>
      <c r="O146" s="536" t="str">
        <f t="shared" ca="1" si="40"/>
        <v xml:space="preserve"> </v>
      </c>
      <c r="P146" s="536" t="str">
        <f t="shared" ca="1" si="27"/>
        <v xml:space="preserve"> </v>
      </c>
      <c r="Q146" s="477" t="str">
        <f t="shared" ca="1" si="28"/>
        <v xml:space="preserve"> </v>
      </c>
      <c r="R146" s="536" t="str">
        <f t="shared" ca="1" si="29"/>
        <v xml:space="preserve"> </v>
      </c>
      <c r="S146" s="536" t="str">
        <f t="shared" ca="1" si="30"/>
        <v xml:space="preserve"> </v>
      </c>
      <c r="T146" s="536" t="str">
        <f t="shared" ca="1" si="31"/>
        <v xml:space="preserve"> </v>
      </c>
      <c r="U146" s="531" t="str">
        <f t="shared" ca="1" si="32"/>
        <v xml:space="preserve"> </v>
      </c>
      <c r="V146" s="537" t="str">
        <f t="shared" ca="1" si="33"/>
        <v xml:space="preserve"> </v>
      </c>
      <c r="W146" s="536" t="str">
        <f t="shared" ca="1" si="34"/>
        <v xml:space="preserve"> </v>
      </c>
      <c r="X146" s="536" t="str">
        <f t="shared" ca="1" si="35"/>
        <v xml:space="preserve"> </v>
      </c>
      <c r="Y146" s="536" t="str">
        <f t="shared" ca="1" si="36"/>
        <v xml:space="preserve"> </v>
      </c>
      <c r="Z146" s="536" t="str">
        <f t="shared" ca="1" si="37"/>
        <v xml:space="preserve"> </v>
      </c>
      <c r="AA146" s="536" t="str">
        <f t="shared" ca="1" si="38"/>
        <v xml:space="preserve"> </v>
      </c>
      <c r="AB146" s="477">
        <f t="shared" ca="1" si="39"/>
        <v>2</v>
      </c>
      <c r="AD146" s="187">
        <f t="shared" ca="1" si="14"/>
        <v>8</v>
      </c>
      <c r="BD146" s="546" t="s">
        <v>1186</v>
      </c>
      <c r="BF146" s="406" t="s">
        <v>1245</v>
      </c>
      <c r="BH146" s="405" t="s">
        <v>1296</v>
      </c>
    </row>
    <row r="147" spans="1:60">
      <c r="A147" s="573" t="str">
        <f t="shared" ca="1" si="23"/>
        <v xml:space="preserve"> </v>
      </c>
      <c r="B147" s="536" t="str">
        <f t="shared" ca="1" si="15"/>
        <v xml:space="preserve"> </v>
      </c>
      <c r="C147" s="574" t="str">
        <f t="shared" ca="1" si="16"/>
        <v xml:space="preserve"> </v>
      </c>
      <c r="D147" s="477" t="str">
        <f t="shared" ca="1" si="17"/>
        <v xml:space="preserve"> </v>
      </c>
      <c r="E147" s="477" t="str">
        <f t="shared" ca="1" si="18"/>
        <v xml:space="preserve"> </v>
      </c>
      <c r="F147" s="531" t="str">
        <f t="shared" ca="1" si="19"/>
        <v xml:space="preserve"> </v>
      </c>
      <c r="G147" s="477" t="str">
        <f t="shared" ca="1" si="20"/>
        <v xml:space="preserve"> </v>
      </c>
      <c r="H147" s="575" t="str">
        <f t="shared" ca="1" si="24"/>
        <v xml:space="preserve"> </v>
      </c>
      <c r="I147" s="576"/>
      <c r="J147" s="570" t="str">
        <f t="shared" ca="1" si="26"/>
        <v xml:space="preserve"> </v>
      </c>
      <c r="K147" s="571" t="str">
        <f t="shared" ca="1" si="25"/>
        <v xml:space="preserve"> </v>
      </c>
      <c r="L147" s="477" t="str">
        <f t="shared" ca="1" si="21"/>
        <v xml:space="preserve"> </v>
      </c>
      <c r="M147" s="477" t="str">
        <f t="shared" ca="1" si="22"/>
        <v xml:space="preserve"> </v>
      </c>
      <c r="N147" s="577"/>
      <c r="O147" s="536" t="str">
        <f t="shared" ca="1" si="40"/>
        <v xml:space="preserve"> </v>
      </c>
      <c r="P147" s="536" t="str">
        <f t="shared" ca="1" si="27"/>
        <v xml:space="preserve"> </v>
      </c>
      <c r="Q147" s="477" t="str">
        <f t="shared" ca="1" si="28"/>
        <v xml:space="preserve"> </v>
      </c>
      <c r="R147" s="536" t="str">
        <f t="shared" ca="1" si="29"/>
        <v xml:space="preserve"> </v>
      </c>
      <c r="S147" s="536" t="str">
        <f t="shared" ca="1" si="30"/>
        <v xml:space="preserve"> </v>
      </c>
      <c r="T147" s="536" t="str">
        <f t="shared" ca="1" si="31"/>
        <v xml:space="preserve"> </v>
      </c>
      <c r="U147" s="531" t="str">
        <f t="shared" ca="1" si="32"/>
        <v xml:space="preserve"> </v>
      </c>
      <c r="V147" s="537" t="str">
        <f t="shared" ca="1" si="33"/>
        <v xml:space="preserve"> </v>
      </c>
      <c r="W147" s="536" t="str">
        <f t="shared" ca="1" si="34"/>
        <v xml:space="preserve"> </v>
      </c>
      <c r="X147" s="536" t="str">
        <f t="shared" ca="1" si="35"/>
        <v xml:space="preserve"> </v>
      </c>
      <c r="Y147" s="536" t="str">
        <f t="shared" ca="1" si="36"/>
        <v xml:space="preserve"> </v>
      </c>
      <c r="Z147" s="536" t="str">
        <f t="shared" ca="1" si="37"/>
        <v xml:space="preserve"> </v>
      </c>
      <c r="AA147" s="536" t="str">
        <f t="shared" ca="1" si="38"/>
        <v xml:space="preserve"> </v>
      </c>
      <c r="AB147" s="477">
        <f t="shared" ca="1" si="39"/>
        <v>1</v>
      </c>
      <c r="AD147" s="187">
        <f t="shared" ca="1" si="14"/>
        <v>11</v>
      </c>
      <c r="BD147" s="546" t="s">
        <v>1187</v>
      </c>
      <c r="BF147" s="406" t="s">
        <v>1246</v>
      </c>
      <c r="BH147" s="405" t="s">
        <v>1297</v>
      </c>
    </row>
    <row r="148" spans="1:60">
      <c r="A148" s="573" t="str">
        <f t="shared" ca="1" si="23"/>
        <v xml:space="preserve"> </v>
      </c>
      <c r="B148" s="536" t="str">
        <f t="shared" ca="1" si="15"/>
        <v xml:space="preserve"> </v>
      </c>
      <c r="C148" s="574" t="str">
        <f t="shared" ca="1" si="16"/>
        <v xml:space="preserve"> </v>
      </c>
      <c r="D148" s="477" t="str">
        <f t="shared" ca="1" si="17"/>
        <v xml:space="preserve"> </v>
      </c>
      <c r="E148" s="477" t="str">
        <f t="shared" ca="1" si="18"/>
        <v xml:space="preserve"> </v>
      </c>
      <c r="F148" s="531" t="str">
        <f t="shared" ca="1" si="19"/>
        <v xml:space="preserve"> </v>
      </c>
      <c r="G148" s="477" t="str">
        <f t="shared" ca="1" si="20"/>
        <v xml:space="preserve"> </v>
      </c>
      <c r="H148" s="575" t="str">
        <f t="shared" ca="1" si="24"/>
        <v xml:space="preserve"> </v>
      </c>
      <c r="I148" s="576"/>
      <c r="J148" s="570" t="str">
        <f t="shared" ca="1" si="26"/>
        <v xml:space="preserve"> </v>
      </c>
      <c r="K148" s="571" t="str">
        <f t="shared" ca="1" si="25"/>
        <v xml:space="preserve"> </v>
      </c>
      <c r="L148" s="477" t="str">
        <f t="shared" ca="1" si="21"/>
        <v xml:space="preserve"> </v>
      </c>
      <c r="M148" s="477" t="str">
        <f t="shared" ca="1" si="22"/>
        <v xml:space="preserve"> </v>
      </c>
      <c r="N148" s="577"/>
      <c r="O148" s="536" t="str">
        <f t="shared" ca="1" si="40"/>
        <v xml:space="preserve"> </v>
      </c>
      <c r="P148" s="536" t="str">
        <f t="shared" ca="1" si="27"/>
        <v xml:space="preserve"> </v>
      </c>
      <c r="Q148" s="477" t="str">
        <f t="shared" ca="1" si="28"/>
        <v xml:space="preserve"> </v>
      </c>
      <c r="R148" s="536" t="str">
        <f t="shared" ca="1" si="29"/>
        <v xml:space="preserve"> </v>
      </c>
      <c r="S148" s="536" t="str">
        <f t="shared" ca="1" si="30"/>
        <v xml:space="preserve"> </v>
      </c>
      <c r="T148" s="536" t="str">
        <f t="shared" ca="1" si="31"/>
        <v xml:space="preserve"> </v>
      </c>
      <c r="U148" s="531" t="str">
        <f t="shared" ca="1" si="32"/>
        <v xml:space="preserve"> </v>
      </c>
      <c r="V148" s="537" t="str">
        <f t="shared" ca="1" si="33"/>
        <v xml:space="preserve"> </v>
      </c>
      <c r="W148" s="536" t="str">
        <f t="shared" ca="1" si="34"/>
        <v xml:space="preserve"> </v>
      </c>
      <c r="X148" s="536" t="str">
        <f t="shared" ca="1" si="35"/>
        <v xml:space="preserve"> </v>
      </c>
      <c r="Y148" s="536" t="str">
        <f t="shared" ca="1" si="36"/>
        <v xml:space="preserve"> </v>
      </c>
      <c r="Z148" s="536" t="str">
        <f t="shared" ca="1" si="37"/>
        <v xml:space="preserve"> </v>
      </c>
      <c r="AA148" s="536" t="str">
        <f t="shared" ca="1" si="38"/>
        <v xml:space="preserve"> </v>
      </c>
      <c r="AB148" s="477">
        <f t="shared" ca="1" si="39"/>
        <v>1</v>
      </c>
      <c r="AD148" s="187">
        <f t="shared" ca="1" si="14"/>
        <v>68</v>
      </c>
      <c r="BD148" s="546" t="s">
        <v>1188</v>
      </c>
      <c r="BF148" s="406" t="s">
        <v>1247</v>
      </c>
      <c r="BH148" s="405" t="s">
        <v>1298</v>
      </c>
    </row>
    <row r="149" spans="1:60">
      <c r="A149" s="573" t="str">
        <f t="shared" ca="1" si="23"/>
        <v xml:space="preserve"> </v>
      </c>
      <c r="B149" s="536" t="str">
        <f t="shared" ca="1" si="15"/>
        <v xml:space="preserve"> </v>
      </c>
      <c r="C149" s="574" t="str">
        <f t="shared" ca="1" si="16"/>
        <v xml:space="preserve"> </v>
      </c>
      <c r="D149" s="477" t="str">
        <f t="shared" ca="1" si="17"/>
        <v xml:space="preserve"> </v>
      </c>
      <c r="E149" s="477" t="str">
        <f t="shared" ca="1" si="18"/>
        <v xml:space="preserve"> </v>
      </c>
      <c r="F149" s="531" t="str">
        <f t="shared" ca="1" si="19"/>
        <v xml:space="preserve"> </v>
      </c>
      <c r="G149" s="477" t="str">
        <f t="shared" ca="1" si="20"/>
        <v xml:space="preserve"> </v>
      </c>
      <c r="H149" s="575" t="str">
        <f t="shared" ca="1" si="24"/>
        <v xml:space="preserve"> </v>
      </c>
      <c r="I149" s="576"/>
      <c r="J149" s="570" t="str">
        <f t="shared" ca="1" si="26"/>
        <v xml:space="preserve"> </v>
      </c>
      <c r="K149" s="571" t="str">
        <f t="shared" ca="1" si="25"/>
        <v xml:space="preserve"> </v>
      </c>
      <c r="L149" s="477" t="str">
        <f t="shared" ca="1" si="21"/>
        <v xml:space="preserve"> </v>
      </c>
      <c r="M149" s="477" t="str">
        <f t="shared" ca="1" si="22"/>
        <v xml:space="preserve"> </v>
      </c>
      <c r="N149" s="577"/>
      <c r="O149" s="536" t="str">
        <f t="shared" ca="1" si="40"/>
        <v xml:space="preserve"> </v>
      </c>
      <c r="P149" s="536" t="str">
        <f t="shared" ca="1" si="27"/>
        <v xml:space="preserve"> </v>
      </c>
      <c r="Q149" s="477" t="str">
        <f t="shared" ca="1" si="28"/>
        <v xml:space="preserve"> </v>
      </c>
      <c r="R149" s="536" t="str">
        <f t="shared" ca="1" si="29"/>
        <v xml:space="preserve"> </v>
      </c>
      <c r="S149" s="536" t="str">
        <f t="shared" ca="1" si="30"/>
        <v xml:space="preserve"> </v>
      </c>
      <c r="T149" s="536" t="str">
        <f t="shared" ca="1" si="31"/>
        <v xml:space="preserve"> </v>
      </c>
      <c r="U149" s="531" t="str">
        <f t="shared" ca="1" si="32"/>
        <v xml:space="preserve"> </v>
      </c>
      <c r="V149" s="537" t="str">
        <f t="shared" ca="1" si="33"/>
        <v xml:space="preserve"> </v>
      </c>
      <c r="W149" s="536" t="str">
        <f t="shared" ca="1" si="34"/>
        <v xml:space="preserve"> </v>
      </c>
      <c r="X149" s="536" t="str">
        <f t="shared" ca="1" si="35"/>
        <v xml:space="preserve"> </v>
      </c>
      <c r="Y149" s="536" t="str">
        <f t="shared" ca="1" si="36"/>
        <v xml:space="preserve"> </v>
      </c>
      <c r="Z149" s="536" t="str">
        <f t="shared" ca="1" si="37"/>
        <v xml:space="preserve"> </v>
      </c>
      <c r="AA149" s="536" t="str">
        <f t="shared" ca="1" si="38"/>
        <v xml:space="preserve"> </v>
      </c>
      <c r="AB149" s="477">
        <f t="shared" ca="1" si="39"/>
        <v>2</v>
      </c>
      <c r="AD149" s="187">
        <f t="shared" ca="1" si="14"/>
        <v>90</v>
      </c>
      <c r="BD149" s="546" t="s">
        <v>1189</v>
      </c>
      <c r="BF149" s="406" t="s">
        <v>1248</v>
      </c>
      <c r="BH149" s="405" t="s">
        <v>1299</v>
      </c>
    </row>
    <row r="150" spans="1:60" ht="10.8" thickBot="1">
      <c r="A150" s="573" t="str">
        <f t="shared" ca="1" si="23"/>
        <v xml:space="preserve"> </v>
      </c>
      <c r="B150" s="536" t="str">
        <f t="shared" ca="1" si="15"/>
        <v xml:space="preserve"> </v>
      </c>
      <c r="C150" s="574" t="str">
        <f t="shared" ca="1" si="16"/>
        <v xml:space="preserve"> </v>
      </c>
      <c r="D150" s="477" t="str">
        <f t="shared" ca="1" si="17"/>
        <v xml:space="preserve"> </v>
      </c>
      <c r="E150" s="477" t="str">
        <f t="shared" ca="1" si="18"/>
        <v xml:space="preserve"> </v>
      </c>
      <c r="F150" s="531" t="str">
        <f t="shared" ca="1" si="19"/>
        <v xml:space="preserve"> </v>
      </c>
      <c r="G150" s="477" t="str">
        <f t="shared" ca="1" si="20"/>
        <v xml:space="preserve"> </v>
      </c>
      <c r="H150" s="575" t="str">
        <f t="shared" ca="1" si="24"/>
        <v xml:space="preserve"> </v>
      </c>
      <c r="I150" s="576"/>
      <c r="J150" s="570" t="str">
        <f t="shared" ca="1" si="26"/>
        <v xml:space="preserve"> </v>
      </c>
      <c r="K150" s="571" t="str">
        <f t="shared" ca="1" si="25"/>
        <v xml:space="preserve"> </v>
      </c>
      <c r="L150" s="477" t="str">
        <f t="shared" ca="1" si="21"/>
        <v xml:space="preserve"> </v>
      </c>
      <c r="M150" s="477" t="str">
        <f t="shared" ca="1" si="22"/>
        <v xml:space="preserve"> </v>
      </c>
      <c r="N150" s="577"/>
      <c r="O150" s="536" t="str">
        <f t="shared" ca="1" si="40"/>
        <v xml:space="preserve"> </v>
      </c>
      <c r="P150" s="536" t="str">
        <f t="shared" ca="1" si="27"/>
        <v xml:space="preserve"> </v>
      </c>
      <c r="Q150" s="477" t="str">
        <f t="shared" ca="1" si="28"/>
        <v xml:space="preserve"> </v>
      </c>
      <c r="R150" s="536" t="str">
        <f t="shared" ca="1" si="29"/>
        <v xml:space="preserve"> </v>
      </c>
      <c r="S150" s="536" t="str">
        <f t="shared" ca="1" si="30"/>
        <v xml:space="preserve"> </v>
      </c>
      <c r="T150" s="536" t="str">
        <f t="shared" ca="1" si="31"/>
        <v xml:space="preserve"> </v>
      </c>
      <c r="U150" s="531" t="str">
        <f t="shared" ca="1" si="32"/>
        <v xml:space="preserve"> </v>
      </c>
      <c r="V150" s="537" t="str">
        <f t="shared" ca="1" si="33"/>
        <v xml:space="preserve"> </v>
      </c>
      <c r="W150" s="536" t="str">
        <f t="shared" ca="1" si="34"/>
        <v xml:space="preserve"> </v>
      </c>
      <c r="X150" s="536" t="str">
        <f t="shared" ca="1" si="35"/>
        <v xml:space="preserve"> </v>
      </c>
      <c r="Y150" s="536" t="str">
        <f t="shared" ca="1" si="36"/>
        <v xml:space="preserve"> </v>
      </c>
      <c r="Z150" s="536" t="str">
        <f t="shared" ca="1" si="37"/>
        <v xml:space="preserve"> </v>
      </c>
      <c r="AA150" s="536" t="str">
        <f t="shared" ca="1" si="38"/>
        <v xml:space="preserve"> </v>
      </c>
      <c r="AB150" s="477">
        <f t="shared" ca="1" si="39"/>
        <v>1</v>
      </c>
      <c r="AD150" s="187">
        <f t="shared" ca="1" si="14"/>
        <v>7</v>
      </c>
      <c r="BD150" s="578" t="s">
        <v>1190</v>
      </c>
      <c r="BF150" s="406" t="s">
        <v>1249</v>
      </c>
      <c r="BH150" s="405" t="s">
        <v>1300</v>
      </c>
    </row>
    <row r="151" spans="1:60" ht="10.8" thickBot="1">
      <c r="A151" s="573" t="str">
        <f t="shared" ca="1" si="23"/>
        <v xml:space="preserve"> </v>
      </c>
      <c r="B151" s="536" t="str">
        <f t="shared" ca="1" si="15"/>
        <v xml:space="preserve"> </v>
      </c>
      <c r="C151" s="574" t="str">
        <f t="shared" ca="1" si="16"/>
        <v xml:space="preserve"> </v>
      </c>
      <c r="D151" s="477" t="str">
        <f t="shared" ca="1" si="17"/>
        <v xml:space="preserve"> </v>
      </c>
      <c r="E151" s="477" t="str">
        <f t="shared" ca="1" si="18"/>
        <v xml:space="preserve"> </v>
      </c>
      <c r="F151" s="531" t="str">
        <f t="shared" ca="1" si="19"/>
        <v xml:space="preserve"> </v>
      </c>
      <c r="G151" s="477" t="str">
        <f t="shared" ca="1" si="20"/>
        <v xml:space="preserve"> </v>
      </c>
      <c r="H151" s="575" t="str">
        <f t="shared" ca="1" si="24"/>
        <v xml:space="preserve"> </v>
      </c>
      <c r="I151" s="576"/>
      <c r="J151" s="570" t="str">
        <f t="shared" ca="1" si="26"/>
        <v xml:space="preserve"> </v>
      </c>
      <c r="K151" s="571" t="str">
        <f t="shared" ca="1" si="25"/>
        <v xml:space="preserve"> </v>
      </c>
      <c r="L151" s="477" t="str">
        <f t="shared" ca="1" si="21"/>
        <v xml:space="preserve"> </v>
      </c>
      <c r="M151" s="477" t="str">
        <f t="shared" ca="1" si="22"/>
        <v xml:space="preserve"> </v>
      </c>
      <c r="N151" s="577"/>
      <c r="O151" s="536" t="str">
        <f t="shared" ca="1" si="40"/>
        <v xml:space="preserve"> </v>
      </c>
      <c r="P151" s="536" t="str">
        <f t="shared" ca="1" si="27"/>
        <v xml:space="preserve"> </v>
      </c>
      <c r="Q151" s="477" t="str">
        <f t="shared" ca="1" si="28"/>
        <v xml:space="preserve"> </v>
      </c>
      <c r="R151" s="536" t="str">
        <f t="shared" ca="1" si="29"/>
        <v xml:space="preserve"> </v>
      </c>
      <c r="S151" s="536" t="str">
        <f t="shared" ca="1" si="30"/>
        <v xml:space="preserve"> </v>
      </c>
      <c r="T151" s="536" t="str">
        <f t="shared" ca="1" si="31"/>
        <v xml:space="preserve"> </v>
      </c>
      <c r="U151" s="531" t="str">
        <f t="shared" ca="1" si="32"/>
        <v xml:space="preserve"> </v>
      </c>
      <c r="V151" s="537" t="str">
        <f t="shared" ca="1" si="33"/>
        <v xml:space="preserve"> </v>
      </c>
      <c r="W151" s="536" t="str">
        <f t="shared" ca="1" si="34"/>
        <v xml:space="preserve"> </v>
      </c>
      <c r="X151" s="536" t="str">
        <f t="shared" ca="1" si="35"/>
        <v xml:space="preserve"> </v>
      </c>
      <c r="Y151" s="536" t="str">
        <f t="shared" ca="1" si="36"/>
        <v xml:space="preserve"> </v>
      </c>
      <c r="Z151" s="536" t="str">
        <f t="shared" ca="1" si="37"/>
        <v xml:space="preserve"> </v>
      </c>
      <c r="AA151" s="536" t="str">
        <f t="shared" ca="1" si="38"/>
        <v xml:space="preserve"> </v>
      </c>
      <c r="AB151" s="477">
        <f t="shared" ca="1" si="39"/>
        <v>2</v>
      </c>
      <c r="AD151" s="187">
        <f t="shared" ca="1" si="14"/>
        <v>70</v>
      </c>
      <c r="BD151" s="579" t="s">
        <v>1191</v>
      </c>
      <c r="BF151" s="406" t="s">
        <v>1250</v>
      </c>
      <c r="BH151" s="528" t="s">
        <v>1301</v>
      </c>
    </row>
    <row r="152" spans="1:60">
      <c r="A152" s="573" t="str">
        <f t="shared" ca="1" si="23"/>
        <v xml:space="preserve"> </v>
      </c>
      <c r="B152" s="536" t="str">
        <f t="shared" ca="1" si="15"/>
        <v xml:space="preserve"> </v>
      </c>
      <c r="C152" s="574" t="str">
        <f t="shared" ca="1" si="16"/>
        <v xml:space="preserve"> </v>
      </c>
      <c r="D152" s="477" t="str">
        <f t="shared" ca="1" si="17"/>
        <v xml:space="preserve"> </v>
      </c>
      <c r="E152" s="477" t="str">
        <f t="shared" ca="1" si="18"/>
        <v xml:space="preserve"> </v>
      </c>
      <c r="F152" s="531" t="str">
        <f t="shared" ca="1" si="19"/>
        <v xml:space="preserve"> </v>
      </c>
      <c r="G152" s="477" t="str">
        <f t="shared" ca="1" si="20"/>
        <v xml:space="preserve"> </v>
      </c>
      <c r="H152" s="575" t="str">
        <f t="shared" ca="1" si="24"/>
        <v xml:space="preserve"> </v>
      </c>
      <c r="I152" s="576"/>
      <c r="J152" s="570" t="str">
        <f t="shared" ca="1" si="26"/>
        <v xml:space="preserve"> </v>
      </c>
      <c r="K152" s="571" t="str">
        <f t="shared" ca="1" si="25"/>
        <v xml:space="preserve"> </v>
      </c>
      <c r="L152" s="477" t="str">
        <f t="shared" ca="1" si="21"/>
        <v xml:space="preserve"> </v>
      </c>
      <c r="M152" s="477" t="str">
        <f t="shared" ca="1" si="22"/>
        <v xml:space="preserve"> </v>
      </c>
      <c r="N152" s="577"/>
      <c r="O152" s="536" t="str">
        <f t="shared" ca="1" si="40"/>
        <v xml:space="preserve"> </v>
      </c>
      <c r="P152" s="536" t="str">
        <f t="shared" ca="1" si="27"/>
        <v xml:space="preserve"> </v>
      </c>
      <c r="Q152" s="477" t="str">
        <f t="shared" ca="1" si="28"/>
        <v xml:space="preserve"> </v>
      </c>
      <c r="R152" s="536" t="str">
        <f t="shared" ca="1" si="29"/>
        <v xml:space="preserve"> </v>
      </c>
      <c r="S152" s="536" t="str">
        <f t="shared" ca="1" si="30"/>
        <v xml:space="preserve"> </v>
      </c>
      <c r="T152" s="536" t="str">
        <f t="shared" ca="1" si="31"/>
        <v xml:space="preserve"> </v>
      </c>
      <c r="U152" s="531" t="str">
        <f t="shared" ca="1" si="32"/>
        <v xml:space="preserve"> </v>
      </c>
      <c r="V152" s="537" t="str">
        <f t="shared" ca="1" si="33"/>
        <v xml:space="preserve"> </v>
      </c>
      <c r="W152" s="536" t="str">
        <f t="shared" ca="1" si="34"/>
        <v xml:space="preserve"> </v>
      </c>
      <c r="X152" s="536" t="str">
        <f t="shared" ca="1" si="35"/>
        <v xml:space="preserve"> </v>
      </c>
      <c r="Y152" s="536" t="str">
        <f t="shared" ca="1" si="36"/>
        <v xml:space="preserve"> </v>
      </c>
      <c r="Z152" s="536" t="str">
        <f t="shared" ca="1" si="37"/>
        <v xml:space="preserve"> </v>
      </c>
      <c r="AA152" s="536" t="str">
        <f t="shared" ca="1" si="38"/>
        <v xml:space="preserve"> </v>
      </c>
      <c r="AB152" s="477">
        <f t="shared" ca="1" si="39"/>
        <v>1</v>
      </c>
      <c r="AD152" s="187">
        <f t="shared" ca="1" si="14"/>
        <v>4</v>
      </c>
      <c r="BD152" s="405" t="s">
        <v>1192</v>
      </c>
      <c r="BF152" s="406" t="s">
        <v>1251</v>
      </c>
      <c r="BH152" s="406" t="s">
        <v>1302</v>
      </c>
    </row>
    <row r="153" spans="1:60">
      <c r="A153" s="573" t="str">
        <f t="shared" ca="1" si="23"/>
        <v xml:space="preserve"> </v>
      </c>
      <c r="B153" s="536" t="str">
        <f t="shared" ca="1" si="15"/>
        <v xml:space="preserve"> </v>
      </c>
      <c r="C153" s="574" t="str">
        <f t="shared" ca="1" si="16"/>
        <v xml:space="preserve"> </v>
      </c>
      <c r="D153" s="477" t="str">
        <f t="shared" ca="1" si="17"/>
        <v xml:space="preserve"> </v>
      </c>
      <c r="E153" s="477" t="str">
        <f t="shared" ca="1" si="18"/>
        <v xml:space="preserve"> </v>
      </c>
      <c r="F153" s="531" t="str">
        <f t="shared" ca="1" si="19"/>
        <v xml:space="preserve"> </v>
      </c>
      <c r="G153" s="477" t="str">
        <f t="shared" ca="1" si="20"/>
        <v xml:space="preserve"> </v>
      </c>
      <c r="H153" s="575" t="str">
        <f t="shared" ca="1" si="24"/>
        <v xml:space="preserve"> </v>
      </c>
      <c r="I153" s="576"/>
      <c r="J153" s="570" t="str">
        <f t="shared" ca="1" si="26"/>
        <v xml:space="preserve"> </v>
      </c>
      <c r="K153" s="571" t="str">
        <f t="shared" ca="1" si="25"/>
        <v xml:space="preserve"> </v>
      </c>
      <c r="L153" s="477" t="str">
        <f t="shared" ca="1" si="21"/>
        <v xml:space="preserve"> </v>
      </c>
      <c r="M153" s="477" t="str">
        <f t="shared" ca="1" si="22"/>
        <v xml:space="preserve"> </v>
      </c>
      <c r="N153" s="577"/>
      <c r="O153" s="536" t="str">
        <f t="shared" ca="1" si="40"/>
        <v xml:space="preserve"> </v>
      </c>
      <c r="P153" s="536" t="str">
        <f t="shared" ca="1" si="27"/>
        <v xml:space="preserve"> </v>
      </c>
      <c r="Q153" s="477" t="str">
        <f t="shared" ca="1" si="28"/>
        <v xml:space="preserve"> </v>
      </c>
      <c r="R153" s="536" t="str">
        <f t="shared" ca="1" si="29"/>
        <v xml:space="preserve"> </v>
      </c>
      <c r="S153" s="536" t="str">
        <f t="shared" ca="1" si="30"/>
        <v xml:space="preserve"> </v>
      </c>
      <c r="T153" s="536" t="str">
        <f t="shared" ca="1" si="31"/>
        <v xml:space="preserve"> </v>
      </c>
      <c r="U153" s="531" t="str">
        <f t="shared" ca="1" si="32"/>
        <v xml:space="preserve"> </v>
      </c>
      <c r="V153" s="537" t="str">
        <f t="shared" ca="1" si="33"/>
        <v xml:space="preserve"> </v>
      </c>
      <c r="W153" s="536" t="str">
        <f t="shared" ca="1" si="34"/>
        <v xml:space="preserve"> </v>
      </c>
      <c r="X153" s="536" t="str">
        <f t="shared" ca="1" si="35"/>
        <v xml:space="preserve"> </v>
      </c>
      <c r="Y153" s="536" t="str">
        <f t="shared" ca="1" si="36"/>
        <v xml:space="preserve"> </v>
      </c>
      <c r="Z153" s="536" t="str">
        <f t="shared" ca="1" si="37"/>
        <v xml:space="preserve"> </v>
      </c>
      <c r="AA153" s="536" t="str">
        <f t="shared" ca="1" si="38"/>
        <v xml:space="preserve"> </v>
      </c>
      <c r="AB153" s="477">
        <f t="shared" ca="1" si="39"/>
        <v>2</v>
      </c>
      <c r="AD153" s="187">
        <f t="shared" ca="1" si="14"/>
        <v>15</v>
      </c>
      <c r="BD153" s="405" t="s">
        <v>1193</v>
      </c>
      <c r="BF153" s="406" t="s">
        <v>1252</v>
      </c>
      <c r="BH153" s="406" t="s">
        <v>1303</v>
      </c>
    </row>
    <row r="154" spans="1:60">
      <c r="A154" s="573" t="str">
        <f t="shared" ca="1" si="23"/>
        <v xml:space="preserve"> </v>
      </c>
      <c r="B154" s="536" t="str">
        <f t="shared" ca="1" si="15"/>
        <v xml:space="preserve"> </v>
      </c>
      <c r="C154" s="574" t="str">
        <f t="shared" ca="1" si="16"/>
        <v xml:space="preserve"> </v>
      </c>
      <c r="D154" s="477" t="str">
        <f t="shared" ca="1" si="17"/>
        <v xml:space="preserve"> </v>
      </c>
      <c r="E154" s="477" t="str">
        <f t="shared" ca="1" si="18"/>
        <v xml:space="preserve"> </v>
      </c>
      <c r="F154" s="531" t="str">
        <f t="shared" ca="1" si="19"/>
        <v xml:space="preserve"> </v>
      </c>
      <c r="G154" s="477" t="str">
        <f t="shared" ca="1" si="20"/>
        <v xml:space="preserve"> </v>
      </c>
      <c r="H154" s="575" t="str">
        <f t="shared" ca="1" si="24"/>
        <v xml:space="preserve"> </v>
      </c>
      <c r="I154" s="576"/>
      <c r="J154" s="570" t="str">
        <f t="shared" ca="1" si="26"/>
        <v xml:space="preserve"> </v>
      </c>
      <c r="K154" s="571" t="str">
        <f t="shared" ca="1" si="25"/>
        <v xml:space="preserve"> </v>
      </c>
      <c r="L154" s="477" t="str">
        <f t="shared" ca="1" si="21"/>
        <v xml:space="preserve"> </v>
      </c>
      <c r="M154" s="477" t="str">
        <f t="shared" ca="1" si="22"/>
        <v xml:space="preserve"> </v>
      </c>
      <c r="N154" s="577"/>
      <c r="O154" s="536" t="str">
        <f t="shared" ca="1" si="40"/>
        <v xml:space="preserve"> </v>
      </c>
      <c r="P154" s="536" t="str">
        <f t="shared" ca="1" si="27"/>
        <v xml:space="preserve"> </v>
      </c>
      <c r="Q154" s="477" t="str">
        <f t="shared" ca="1" si="28"/>
        <v xml:space="preserve"> </v>
      </c>
      <c r="R154" s="536" t="str">
        <f t="shared" ca="1" si="29"/>
        <v xml:space="preserve"> </v>
      </c>
      <c r="S154" s="536" t="str">
        <f t="shared" ca="1" si="30"/>
        <v xml:space="preserve"> </v>
      </c>
      <c r="T154" s="536" t="str">
        <f t="shared" ca="1" si="31"/>
        <v xml:space="preserve"> </v>
      </c>
      <c r="U154" s="531" t="str">
        <f t="shared" ca="1" si="32"/>
        <v xml:space="preserve"> </v>
      </c>
      <c r="V154" s="537" t="str">
        <f t="shared" ca="1" si="33"/>
        <v xml:space="preserve"> </v>
      </c>
      <c r="W154" s="536" t="str">
        <f t="shared" ca="1" si="34"/>
        <v xml:space="preserve"> </v>
      </c>
      <c r="X154" s="536" t="str">
        <f t="shared" ca="1" si="35"/>
        <v xml:space="preserve"> </v>
      </c>
      <c r="Y154" s="536" t="str">
        <f t="shared" ca="1" si="36"/>
        <v xml:space="preserve"> </v>
      </c>
      <c r="Z154" s="536" t="str">
        <f t="shared" ca="1" si="37"/>
        <v xml:space="preserve"> </v>
      </c>
      <c r="AA154" s="536" t="str">
        <f t="shared" ca="1" si="38"/>
        <v xml:space="preserve"> </v>
      </c>
      <c r="AB154" s="477">
        <f t="shared" ca="1" si="39"/>
        <v>2</v>
      </c>
      <c r="AD154" s="187">
        <f t="shared" ca="1" si="14"/>
        <v>69</v>
      </c>
      <c r="BD154" s="405" t="s">
        <v>1194</v>
      </c>
      <c r="BF154" s="406" t="s">
        <v>1253</v>
      </c>
      <c r="BH154" s="406" t="s">
        <v>1304</v>
      </c>
    </row>
    <row r="155" spans="1:60" ht="10.8" thickBot="1">
      <c r="A155" s="580" t="str">
        <f t="shared" ca="1" si="23"/>
        <v xml:space="preserve"> </v>
      </c>
      <c r="B155" s="581" t="str">
        <f t="shared" ca="1" si="15"/>
        <v xml:space="preserve"> </v>
      </c>
      <c r="C155" s="582" t="str">
        <f t="shared" ca="1" si="16"/>
        <v xml:space="preserve"> </v>
      </c>
      <c r="D155" s="583" t="str">
        <f t="shared" ca="1" si="17"/>
        <v xml:space="preserve"> </v>
      </c>
      <c r="E155" s="583" t="str">
        <f t="shared" ca="1" si="18"/>
        <v xml:space="preserve"> </v>
      </c>
      <c r="F155" s="584" t="str">
        <f t="shared" ca="1" si="19"/>
        <v xml:space="preserve"> </v>
      </c>
      <c r="G155" s="583" t="str">
        <f t="shared" ca="1" si="20"/>
        <v xml:space="preserve"> </v>
      </c>
      <c r="H155" s="585" t="str">
        <f t="shared" ca="1" si="24"/>
        <v xml:space="preserve"> </v>
      </c>
      <c r="I155" s="586"/>
      <c r="J155" s="587" t="str">
        <f t="shared" ca="1" si="26"/>
        <v xml:space="preserve"> </v>
      </c>
      <c r="K155" s="588" t="str">
        <f t="shared" ca="1" si="25"/>
        <v xml:space="preserve"> </v>
      </c>
      <c r="L155" s="583" t="str">
        <f t="shared" ca="1" si="21"/>
        <v xml:space="preserve"> </v>
      </c>
      <c r="M155" s="583" t="str">
        <f t="shared" ca="1" si="22"/>
        <v xml:space="preserve"> </v>
      </c>
      <c r="N155" s="589"/>
      <c r="O155" s="536" t="str">
        <f t="shared" ca="1" si="40"/>
        <v xml:space="preserve"> </v>
      </c>
      <c r="P155" s="536" t="str">
        <f t="shared" ca="1" si="27"/>
        <v xml:space="preserve"> </v>
      </c>
      <c r="Q155" s="477" t="str">
        <f t="shared" ca="1" si="28"/>
        <v xml:space="preserve"> </v>
      </c>
      <c r="R155" s="536" t="str">
        <f t="shared" ca="1" si="29"/>
        <v xml:space="preserve"> </v>
      </c>
      <c r="S155" s="536" t="str">
        <f t="shared" ca="1" si="30"/>
        <v xml:space="preserve"> </v>
      </c>
      <c r="T155" s="536" t="str">
        <f t="shared" ca="1" si="31"/>
        <v xml:space="preserve"> </v>
      </c>
      <c r="U155" s="531" t="str">
        <f t="shared" ca="1" si="32"/>
        <v xml:space="preserve"> </v>
      </c>
      <c r="V155" s="537" t="str">
        <f t="shared" ca="1" si="33"/>
        <v xml:space="preserve"> </v>
      </c>
      <c r="W155" s="536" t="str">
        <f t="shared" ca="1" si="34"/>
        <v xml:space="preserve"> </v>
      </c>
      <c r="X155" s="536" t="str">
        <f t="shared" ca="1" si="35"/>
        <v xml:space="preserve"> </v>
      </c>
      <c r="Y155" s="536" t="str">
        <f t="shared" ca="1" si="36"/>
        <v xml:space="preserve"> </v>
      </c>
      <c r="Z155" s="536" t="str">
        <f t="shared" ca="1" si="37"/>
        <v xml:space="preserve"> </v>
      </c>
      <c r="AA155" s="536" t="str">
        <f t="shared" ca="1" si="38"/>
        <v xml:space="preserve"> </v>
      </c>
      <c r="AB155" s="477">
        <f t="shared" ca="1" si="39"/>
        <v>1</v>
      </c>
      <c r="AD155" s="187">
        <f t="shared" ca="1" si="14"/>
        <v>28</v>
      </c>
      <c r="BD155" s="405" t="s">
        <v>1195</v>
      </c>
      <c r="BF155" s="406" t="s">
        <v>1254</v>
      </c>
      <c r="BH155" s="406" t="s">
        <v>1305</v>
      </c>
    </row>
    <row r="156" spans="1:60" s="668" customFormat="1" ht="12">
      <c r="A156" s="913" t="s">
        <v>2177</v>
      </c>
      <c r="B156" s="892"/>
      <c r="C156" s="892" t="str">
        <f ca="1">LOOKUP(RANDBETWEEN(1,1010),[0]!Dé1000,[0]!Prenom1000)</f>
        <v>Alcyone</v>
      </c>
      <c r="D156" s="892"/>
      <c r="E156" s="893"/>
      <c r="F156" s="914" t="s">
        <v>3692</v>
      </c>
      <c r="G156" s="892"/>
      <c r="H156" s="915"/>
      <c r="I156" s="916" t="s">
        <v>2178</v>
      </c>
      <c r="J156" s="895" t="str">
        <f ca="1">LOOKUP(RANDBETWEEN(1,1010),[0]!Dé1000,[0]!Prenom1000)</f>
        <v>Ludivine</v>
      </c>
      <c r="K156" s="895"/>
      <c r="L156" s="892"/>
      <c r="M156" s="892"/>
      <c r="N156" s="893"/>
      <c r="O156" s="875" t="str">
        <f t="shared" ca="1" si="40"/>
        <v xml:space="preserve"> </v>
      </c>
      <c r="P156" s="875" t="str">
        <f t="shared" ca="1" si="27"/>
        <v xml:space="preserve"> </v>
      </c>
      <c r="Q156" s="876" t="str">
        <f t="shared" ca="1" si="28"/>
        <v xml:space="preserve"> </v>
      </c>
      <c r="R156" s="875" t="str">
        <f t="shared" ca="1" si="29"/>
        <v xml:space="preserve"> </v>
      </c>
      <c r="S156" s="875" t="str">
        <f t="shared" ca="1" si="30"/>
        <v xml:space="preserve"> </v>
      </c>
      <c r="T156" s="875" t="str">
        <f t="shared" ca="1" si="31"/>
        <v xml:space="preserve"> </v>
      </c>
      <c r="U156" s="877" t="str">
        <f t="shared" ca="1" si="32"/>
        <v xml:space="preserve"> </v>
      </c>
      <c r="V156" s="878" t="str">
        <f t="shared" ca="1" si="33"/>
        <v xml:space="preserve"> </v>
      </c>
      <c r="W156" s="875" t="str">
        <f t="shared" ca="1" si="34"/>
        <v xml:space="preserve"> </v>
      </c>
      <c r="X156" s="875" t="str">
        <f t="shared" ca="1" si="35"/>
        <v xml:space="preserve"> </v>
      </c>
      <c r="Y156" s="875" t="str">
        <f t="shared" ca="1" si="36"/>
        <v xml:space="preserve"> </v>
      </c>
      <c r="Z156" s="875" t="str">
        <f t="shared" ca="1" si="37"/>
        <v xml:space="preserve"> </v>
      </c>
      <c r="AA156" s="875" t="str">
        <f t="shared" ca="1" si="38"/>
        <v xml:space="preserve"> </v>
      </c>
      <c r="AB156" s="876">
        <f t="shared" ca="1" si="39"/>
        <v>2</v>
      </c>
      <c r="AD156" s="794">
        <f t="shared" ca="1" si="14"/>
        <v>67</v>
      </c>
      <c r="BD156" s="879" t="s">
        <v>1196</v>
      </c>
      <c r="BH156" s="880" t="s">
        <v>1306</v>
      </c>
    </row>
    <row r="157" spans="1:60" s="668" customFormat="1" ht="12">
      <c r="A157" s="881" t="s">
        <v>1549</v>
      </c>
      <c r="B157" s="872"/>
      <c r="C157" s="872" t="str">
        <f ca="1">LOOKUP(RANDBETWEEN(1,1010),[0]!Dé1000,[0]!Prenom1000)</f>
        <v>Douce</v>
      </c>
      <c r="D157" s="872"/>
      <c r="E157" s="873"/>
      <c r="F157" s="882" t="s">
        <v>1898</v>
      </c>
      <c r="G157" s="883" t="str">
        <f ca="1">LOOKUP(RANDBETWEEN(1,1010),[0]!Dé1000,[0]!Prenom1000)</f>
        <v>Rose</v>
      </c>
      <c r="H157" s="884"/>
      <c r="I157" s="885"/>
      <c r="J157" s="885"/>
      <c r="K157" s="884"/>
      <c r="L157" s="883"/>
      <c r="M157" s="883"/>
      <c r="N157" s="886"/>
      <c r="O157" s="875" t="str">
        <f t="shared" ca="1" si="40"/>
        <v xml:space="preserve"> </v>
      </c>
      <c r="P157" s="875" t="str">
        <f t="shared" ca="1" si="27"/>
        <v xml:space="preserve"> </v>
      </c>
      <c r="Q157" s="876" t="str">
        <f t="shared" ca="1" si="28"/>
        <v xml:space="preserve"> </v>
      </c>
      <c r="R157" s="875" t="str">
        <f t="shared" ca="1" si="29"/>
        <v xml:space="preserve"> </v>
      </c>
      <c r="S157" s="875" t="str">
        <f t="shared" ca="1" si="30"/>
        <v xml:space="preserve"> </v>
      </c>
      <c r="T157" s="875" t="str">
        <f t="shared" ca="1" si="31"/>
        <v xml:space="preserve"> </v>
      </c>
      <c r="U157" s="877" t="str">
        <f t="shared" ca="1" si="32"/>
        <v xml:space="preserve"> </v>
      </c>
      <c r="V157" s="878" t="str">
        <f t="shared" ca="1" si="33"/>
        <v xml:space="preserve"> </v>
      </c>
      <c r="W157" s="875" t="str">
        <f t="shared" ca="1" si="34"/>
        <v xml:space="preserve"> </v>
      </c>
      <c r="X157" s="875" t="str">
        <f t="shared" ca="1" si="35"/>
        <v xml:space="preserve"> </v>
      </c>
      <c r="Y157" s="875" t="str">
        <f t="shared" ca="1" si="36"/>
        <v xml:space="preserve"> </v>
      </c>
      <c r="Z157" s="875" t="str">
        <f t="shared" ca="1" si="37"/>
        <v xml:space="preserve"> </v>
      </c>
      <c r="AA157" s="875" t="str">
        <f t="shared" ca="1" si="38"/>
        <v xml:space="preserve"> </v>
      </c>
      <c r="AB157" s="876">
        <f t="shared" ca="1" si="39"/>
        <v>2</v>
      </c>
      <c r="AD157" s="794">
        <f t="shared" ca="1" si="14"/>
        <v>35</v>
      </c>
      <c r="BD157" s="879" t="s">
        <v>1197</v>
      </c>
      <c r="BH157" s="880" t="s">
        <v>1307</v>
      </c>
    </row>
    <row r="158" spans="1:60" s="668" customFormat="1" ht="12">
      <c r="A158" s="887" t="s">
        <v>2179</v>
      </c>
      <c r="B158" s="883"/>
      <c r="C158" s="883" t="str">
        <f ca="1">LOOKUP(RANDBETWEEN(1,1010),[0]!Dé1000,[0]!Prenom1000)</f>
        <v>Merlin</v>
      </c>
      <c r="D158" s="883"/>
      <c r="E158" s="886"/>
      <c r="F158" s="888"/>
      <c r="H158" s="889"/>
      <c r="I158" s="889"/>
      <c r="J158" s="889"/>
      <c r="K158" s="889"/>
      <c r="L158" s="890"/>
      <c r="M158" s="890"/>
      <c r="N158" s="891"/>
      <c r="O158" s="875" t="str">
        <f t="shared" ca="1" si="40"/>
        <v xml:space="preserve"> </v>
      </c>
      <c r="P158" s="875" t="str">
        <f t="shared" ca="1" si="27"/>
        <v xml:space="preserve"> </v>
      </c>
      <c r="Q158" s="876" t="str">
        <f t="shared" ca="1" si="28"/>
        <v xml:space="preserve"> </v>
      </c>
      <c r="R158" s="875" t="str">
        <f t="shared" ca="1" si="29"/>
        <v xml:space="preserve"> </v>
      </c>
      <c r="S158" s="875" t="str">
        <f t="shared" ca="1" si="30"/>
        <v xml:space="preserve"> </v>
      </c>
      <c r="T158" s="875" t="str">
        <f t="shared" ca="1" si="31"/>
        <v xml:space="preserve"> </v>
      </c>
      <c r="U158" s="877" t="str">
        <f t="shared" ca="1" si="32"/>
        <v xml:space="preserve"> </v>
      </c>
      <c r="V158" s="878" t="str">
        <f t="shared" ca="1" si="33"/>
        <v xml:space="preserve"> </v>
      </c>
      <c r="W158" s="875" t="str">
        <f t="shared" ca="1" si="34"/>
        <v xml:space="preserve"> </v>
      </c>
      <c r="X158" s="875" t="str">
        <f t="shared" ca="1" si="35"/>
        <v xml:space="preserve"> </v>
      </c>
      <c r="Y158" s="875" t="str">
        <f t="shared" ca="1" si="36"/>
        <v xml:space="preserve"> </v>
      </c>
      <c r="Z158" s="875" t="str">
        <f t="shared" ca="1" si="37"/>
        <v xml:space="preserve"> </v>
      </c>
      <c r="AA158" s="875" t="str">
        <f t="shared" ca="1" si="38"/>
        <v xml:space="preserve"> </v>
      </c>
      <c r="AB158" s="876">
        <f t="shared" ca="1" si="39"/>
        <v>2</v>
      </c>
      <c r="AD158" s="794">
        <f t="shared" ca="1" si="14"/>
        <v>42</v>
      </c>
      <c r="BD158" s="879" t="s">
        <v>1198</v>
      </c>
      <c r="BH158" s="880" t="s">
        <v>1308</v>
      </c>
    </row>
    <row r="159" spans="1:60" s="668" customFormat="1" ht="12">
      <c r="A159" s="410"/>
      <c r="B159" s="892"/>
      <c r="C159" s="892"/>
      <c r="D159" s="892"/>
      <c r="E159" s="893"/>
      <c r="F159" s="410"/>
      <c r="G159" s="894"/>
      <c r="H159" s="895"/>
      <c r="I159" s="895"/>
      <c r="J159" s="895"/>
      <c r="K159" s="895"/>
      <c r="L159" s="892"/>
      <c r="M159" s="892"/>
      <c r="N159" s="893"/>
      <c r="O159" s="875" t="str">
        <f t="shared" ca="1" si="40"/>
        <v xml:space="preserve"> </v>
      </c>
      <c r="P159" s="875" t="str">
        <f t="shared" ca="1" si="27"/>
        <v xml:space="preserve"> </v>
      </c>
      <c r="Q159" s="876" t="str">
        <f t="shared" ca="1" si="28"/>
        <v xml:space="preserve"> </v>
      </c>
      <c r="R159" s="875" t="str">
        <f t="shared" ca="1" si="29"/>
        <v xml:space="preserve"> </v>
      </c>
      <c r="S159" s="875" t="str">
        <f t="shared" ca="1" si="30"/>
        <v xml:space="preserve"> </v>
      </c>
      <c r="T159" s="875" t="str">
        <f t="shared" ca="1" si="31"/>
        <v xml:space="preserve"> </v>
      </c>
      <c r="U159" s="877" t="str">
        <f t="shared" ca="1" si="32"/>
        <v xml:space="preserve"> </v>
      </c>
      <c r="V159" s="878" t="str">
        <f t="shared" ca="1" si="33"/>
        <v xml:space="preserve"> </v>
      </c>
      <c r="W159" s="875" t="str">
        <f t="shared" ca="1" si="34"/>
        <v xml:space="preserve"> </v>
      </c>
      <c r="X159" s="875" t="str">
        <f t="shared" ca="1" si="35"/>
        <v xml:space="preserve"> </v>
      </c>
      <c r="Y159" s="875" t="str">
        <f t="shared" ca="1" si="36"/>
        <v xml:space="preserve"> </v>
      </c>
      <c r="Z159" s="875" t="str">
        <f t="shared" ca="1" si="37"/>
        <v xml:space="preserve"> </v>
      </c>
      <c r="AA159" s="875" t="str">
        <f t="shared" ca="1" si="38"/>
        <v xml:space="preserve"> </v>
      </c>
      <c r="AB159" s="876">
        <f t="shared" ca="1" si="39"/>
        <v>2</v>
      </c>
      <c r="AD159" s="794">
        <f t="shared" ca="1" si="14"/>
        <v>7</v>
      </c>
      <c r="BD159" s="879" t="s">
        <v>1199</v>
      </c>
      <c r="BH159" s="880" t="s">
        <v>1309</v>
      </c>
    </row>
    <row r="160" spans="1:60" s="668" customFormat="1" ht="12">
      <c r="A160" s="871" t="s">
        <v>2181</v>
      </c>
      <c r="B160" s="872"/>
      <c r="C160" s="873"/>
      <c r="D160" s="874" t="s">
        <v>2182</v>
      </c>
      <c r="E160" s="872" t="str">
        <f ca="1">LOOKUP(RANDBETWEEN(1,1010),[0]!Dé1000,[0]!Prenom1000)</f>
        <v>Arabelle</v>
      </c>
      <c r="F160" s="896"/>
      <c r="G160" s="897" t="s">
        <v>2180</v>
      </c>
      <c r="H160" s="890" t="str">
        <f ca="1">LOOKUP(RANDBETWEEN(1,1010),[0]!Dé1000,[0]!Prenom1000)</f>
        <v>Solange</v>
      </c>
      <c r="I160" s="889"/>
      <c r="J160" s="889"/>
      <c r="K160" s="889"/>
      <c r="L160" s="890"/>
      <c r="M160" s="890"/>
      <c r="N160" s="891"/>
      <c r="O160" s="875" t="str">
        <f t="shared" ca="1" si="40"/>
        <v xml:space="preserve"> </v>
      </c>
      <c r="P160" s="875" t="str">
        <f t="shared" ca="1" si="27"/>
        <v xml:space="preserve"> </v>
      </c>
      <c r="Q160" s="876" t="str">
        <f t="shared" ca="1" si="28"/>
        <v xml:space="preserve"> </v>
      </c>
      <c r="R160" s="875" t="str">
        <f t="shared" ca="1" si="29"/>
        <v xml:space="preserve"> </v>
      </c>
      <c r="S160" s="875" t="str">
        <f t="shared" ca="1" si="30"/>
        <v xml:space="preserve"> </v>
      </c>
      <c r="T160" s="875" t="str">
        <f t="shared" ca="1" si="31"/>
        <v xml:space="preserve"> </v>
      </c>
      <c r="U160" s="877" t="str">
        <f t="shared" ca="1" si="32"/>
        <v xml:space="preserve"> </v>
      </c>
      <c r="V160" s="878" t="str">
        <f t="shared" ca="1" si="33"/>
        <v xml:space="preserve"> </v>
      </c>
      <c r="W160" s="875" t="str">
        <f t="shared" ca="1" si="34"/>
        <v xml:space="preserve"> </v>
      </c>
      <c r="X160" s="875" t="str">
        <f t="shared" ca="1" si="35"/>
        <v xml:space="preserve"> </v>
      </c>
      <c r="Y160" s="875" t="str">
        <f t="shared" ca="1" si="36"/>
        <v xml:space="preserve"> </v>
      </c>
      <c r="Z160" s="875" t="str">
        <f t="shared" ca="1" si="37"/>
        <v xml:space="preserve"> </v>
      </c>
      <c r="AA160" s="875" t="str">
        <f t="shared" ca="1" si="38"/>
        <v xml:space="preserve"> </v>
      </c>
      <c r="AB160" s="876">
        <f t="shared" ca="1" si="39"/>
        <v>1</v>
      </c>
      <c r="AD160" s="794">
        <f t="shared" ca="1" si="14"/>
        <v>60</v>
      </c>
      <c r="BD160" s="879" t="s">
        <v>1200</v>
      </c>
      <c r="BH160" s="880" t="s">
        <v>1310</v>
      </c>
    </row>
    <row r="161" spans="1:56" s="668" customFormat="1" ht="12">
      <c r="A161" s="898" t="s">
        <v>2183</v>
      </c>
      <c r="B161" s="883"/>
      <c r="C161" s="883"/>
      <c r="D161" s="883"/>
      <c r="E161" s="883"/>
      <c r="F161" s="899"/>
      <c r="G161" s="892"/>
      <c r="H161" s="892"/>
      <c r="I161" s="892"/>
      <c r="J161" s="892"/>
      <c r="K161" s="892"/>
      <c r="L161" s="892"/>
      <c r="M161" s="892"/>
      <c r="N161" s="893"/>
      <c r="O161" s="875" t="str">
        <f t="shared" ca="1" si="40"/>
        <v xml:space="preserve"> </v>
      </c>
      <c r="P161" s="875" t="str">
        <f t="shared" ca="1" si="27"/>
        <v xml:space="preserve"> </v>
      </c>
      <c r="Q161" s="876" t="str">
        <f t="shared" ca="1" si="28"/>
        <v xml:space="preserve"> </v>
      </c>
      <c r="R161" s="875" t="str">
        <f t="shared" ca="1" si="29"/>
        <v xml:space="preserve"> </v>
      </c>
      <c r="S161" s="875" t="str">
        <f t="shared" ca="1" si="30"/>
        <v xml:space="preserve"> </v>
      </c>
      <c r="T161" s="875" t="str">
        <f t="shared" ca="1" si="31"/>
        <v xml:space="preserve"> </v>
      </c>
      <c r="U161" s="877" t="str">
        <f t="shared" ca="1" si="32"/>
        <v xml:space="preserve"> </v>
      </c>
      <c r="V161" s="878" t="str">
        <f t="shared" ca="1" si="33"/>
        <v xml:space="preserve"> </v>
      </c>
      <c r="W161" s="875" t="str">
        <f t="shared" ca="1" si="34"/>
        <v xml:space="preserve"> </v>
      </c>
      <c r="X161" s="875" t="str">
        <f t="shared" ca="1" si="35"/>
        <v xml:space="preserve"> </v>
      </c>
      <c r="Y161" s="875" t="str">
        <f t="shared" ca="1" si="36"/>
        <v xml:space="preserve"> </v>
      </c>
      <c r="Z161" s="875" t="str">
        <f t="shared" ca="1" si="37"/>
        <v xml:space="preserve"> </v>
      </c>
      <c r="AA161" s="875" t="str">
        <f t="shared" ca="1" si="38"/>
        <v xml:space="preserve"> </v>
      </c>
      <c r="AB161" s="876">
        <f t="shared" ca="1" si="39"/>
        <v>1</v>
      </c>
      <c r="BD161" s="879" t="s">
        <v>1201</v>
      </c>
    </row>
    <row r="162" spans="1:56" s="668" customFormat="1" ht="12">
      <c r="A162" s="410"/>
      <c r="B162" s="892"/>
      <c r="C162" s="892"/>
      <c r="D162" s="892"/>
      <c r="E162" s="892"/>
      <c r="F162" s="900"/>
      <c r="G162" s="890"/>
      <c r="H162" s="890"/>
      <c r="I162" s="890"/>
      <c r="J162" s="890"/>
      <c r="K162" s="890"/>
      <c r="L162" s="890"/>
      <c r="M162" s="890"/>
      <c r="N162" s="890"/>
      <c r="O162" s="875" t="str">
        <f t="shared" ca="1" si="40"/>
        <v xml:space="preserve"> </v>
      </c>
      <c r="P162" s="875" t="str">
        <f t="shared" ca="1" si="27"/>
        <v xml:space="preserve"> </v>
      </c>
      <c r="Q162" s="876" t="str">
        <f t="shared" ca="1" si="28"/>
        <v xml:space="preserve"> </v>
      </c>
      <c r="R162" s="875" t="str">
        <f t="shared" ca="1" si="29"/>
        <v xml:space="preserve"> </v>
      </c>
      <c r="S162" s="875" t="str">
        <f t="shared" ca="1" si="30"/>
        <v xml:space="preserve"> </v>
      </c>
      <c r="T162" s="875" t="str">
        <f t="shared" ca="1" si="31"/>
        <v xml:space="preserve"> </v>
      </c>
      <c r="U162" s="877" t="str">
        <f t="shared" ca="1" si="32"/>
        <v xml:space="preserve"> </v>
      </c>
      <c r="V162" s="878" t="str">
        <f t="shared" ca="1" si="33"/>
        <v xml:space="preserve"> </v>
      </c>
      <c r="W162" s="875" t="str">
        <f t="shared" ca="1" si="34"/>
        <v xml:space="preserve"> </v>
      </c>
      <c r="X162" s="875" t="str">
        <f t="shared" ca="1" si="35"/>
        <v xml:space="preserve"> </v>
      </c>
      <c r="Y162" s="875" t="str">
        <f t="shared" ca="1" si="36"/>
        <v xml:space="preserve"> </v>
      </c>
      <c r="Z162" s="875" t="str">
        <f t="shared" ca="1" si="37"/>
        <v xml:space="preserve"> </v>
      </c>
      <c r="AA162" s="875" t="str">
        <f t="shared" ca="1" si="38"/>
        <v xml:space="preserve"> </v>
      </c>
      <c r="AB162" s="876">
        <f t="shared" ca="1" si="39"/>
        <v>2</v>
      </c>
    </row>
    <row r="163" spans="1:56" s="668" customFormat="1" ht="12">
      <c r="A163" s="871" t="s">
        <v>2184</v>
      </c>
      <c r="B163" s="872"/>
      <c r="C163" s="872"/>
      <c r="D163" s="872"/>
      <c r="E163" s="873"/>
      <c r="F163" s="898" t="s">
        <v>2185</v>
      </c>
      <c r="G163" s="883"/>
      <c r="H163" s="883"/>
      <c r="I163" s="883"/>
      <c r="J163" s="883"/>
      <c r="K163" s="883"/>
      <c r="L163" s="883"/>
      <c r="M163" s="883"/>
      <c r="N163" s="886"/>
      <c r="O163" s="875" t="str">
        <f t="shared" ca="1" si="40"/>
        <v xml:space="preserve"> </v>
      </c>
      <c r="P163" s="875" t="str">
        <f t="shared" ca="1" si="27"/>
        <v xml:space="preserve"> </v>
      </c>
      <c r="Q163" s="876" t="str">
        <f t="shared" ca="1" si="28"/>
        <v xml:space="preserve"> </v>
      </c>
      <c r="R163" s="875" t="str">
        <f t="shared" ca="1" si="29"/>
        <v xml:space="preserve"> </v>
      </c>
      <c r="S163" s="875" t="str">
        <f t="shared" ca="1" si="30"/>
        <v xml:space="preserve"> </v>
      </c>
      <c r="T163" s="875" t="str">
        <f t="shared" ca="1" si="31"/>
        <v xml:space="preserve"> </v>
      </c>
      <c r="U163" s="877" t="str">
        <f t="shared" ca="1" si="32"/>
        <v xml:space="preserve"> </v>
      </c>
      <c r="V163" s="878" t="str">
        <f t="shared" ca="1" si="33"/>
        <v xml:space="preserve"> </v>
      </c>
      <c r="W163" s="875" t="str">
        <f t="shared" ca="1" si="34"/>
        <v xml:space="preserve"> </v>
      </c>
      <c r="X163" s="875" t="str">
        <f t="shared" ca="1" si="35"/>
        <v xml:space="preserve"> </v>
      </c>
      <c r="Y163" s="875" t="str">
        <f t="shared" ca="1" si="36"/>
        <v xml:space="preserve"> </v>
      </c>
      <c r="Z163" s="875" t="str">
        <f t="shared" ca="1" si="37"/>
        <v xml:space="preserve"> </v>
      </c>
      <c r="AA163" s="875" t="str">
        <f t="shared" ca="1" si="38"/>
        <v xml:space="preserve"> </v>
      </c>
      <c r="AB163" s="876">
        <f t="shared" ca="1" si="39"/>
        <v>2</v>
      </c>
    </row>
    <row r="164" spans="1:56" s="668" customFormat="1" ht="12">
      <c r="A164" s="898" t="s">
        <v>2186</v>
      </c>
      <c r="B164" s="883"/>
      <c r="C164" s="883"/>
      <c r="D164" s="883"/>
      <c r="E164" s="886"/>
      <c r="F164" s="901"/>
      <c r="G164" s="890"/>
      <c r="H164" s="890"/>
      <c r="I164" s="890"/>
      <c r="J164" s="890"/>
      <c r="K164" s="890"/>
      <c r="L164" s="890"/>
      <c r="M164" s="890"/>
      <c r="N164" s="891"/>
      <c r="O164" s="875" t="str">
        <f t="shared" ca="1" si="40"/>
        <v xml:space="preserve"> </v>
      </c>
      <c r="P164" s="875" t="str">
        <f t="shared" ca="1" si="27"/>
        <v xml:space="preserve"> </v>
      </c>
      <c r="Q164" s="876" t="str">
        <f t="shared" ca="1" si="28"/>
        <v xml:space="preserve"> </v>
      </c>
      <c r="R164" s="875" t="str">
        <f t="shared" ca="1" si="29"/>
        <v xml:space="preserve"> </v>
      </c>
      <c r="S164" s="875" t="str">
        <f t="shared" ca="1" si="30"/>
        <v xml:space="preserve"> </v>
      </c>
      <c r="T164" s="875" t="str">
        <f t="shared" ca="1" si="31"/>
        <v xml:space="preserve"> </v>
      </c>
      <c r="U164" s="877" t="str">
        <f t="shared" ca="1" si="32"/>
        <v xml:space="preserve"> </v>
      </c>
      <c r="V164" s="878" t="str">
        <f t="shared" ca="1" si="33"/>
        <v xml:space="preserve"> </v>
      </c>
      <c r="W164" s="875" t="str">
        <f t="shared" ca="1" si="34"/>
        <v xml:space="preserve"> </v>
      </c>
      <c r="X164" s="875" t="str">
        <f t="shared" ca="1" si="35"/>
        <v xml:space="preserve"> </v>
      </c>
      <c r="Y164" s="875" t="str">
        <f t="shared" ca="1" si="36"/>
        <v xml:space="preserve"> </v>
      </c>
      <c r="Z164" s="875" t="str">
        <f t="shared" ca="1" si="37"/>
        <v xml:space="preserve"> </v>
      </c>
      <c r="AA164" s="875" t="str">
        <f t="shared" ca="1" si="38"/>
        <v xml:space="preserve"> </v>
      </c>
      <c r="AB164" s="876">
        <f t="shared" ca="1" si="39"/>
        <v>1</v>
      </c>
    </row>
    <row r="165" spans="1:56" s="668" customFormat="1" ht="12">
      <c r="A165" s="410"/>
      <c r="B165" s="892"/>
      <c r="C165" s="892"/>
      <c r="D165" s="892"/>
      <c r="E165" s="893"/>
      <c r="F165" s="410"/>
      <c r="G165" s="892"/>
      <c r="H165" s="892"/>
      <c r="I165" s="892"/>
      <c r="J165" s="892"/>
      <c r="K165" s="892"/>
      <c r="L165" s="892"/>
      <c r="M165" s="892"/>
      <c r="N165" s="893"/>
      <c r="O165" s="875" t="str">
        <f t="shared" ca="1" si="40"/>
        <v xml:space="preserve"> </v>
      </c>
      <c r="P165" s="875" t="str">
        <f t="shared" ca="1" si="27"/>
        <v xml:space="preserve"> </v>
      </c>
      <c r="Q165" s="876" t="str">
        <f t="shared" ca="1" si="28"/>
        <v xml:space="preserve"> </v>
      </c>
      <c r="R165" s="875" t="str">
        <f t="shared" ca="1" si="29"/>
        <v xml:space="preserve"> </v>
      </c>
      <c r="S165" s="875" t="str">
        <f t="shared" ca="1" si="30"/>
        <v xml:space="preserve"> </v>
      </c>
      <c r="T165" s="875" t="str">
        <f t="shared" ca="1" si="31"/>
        <v xml:space="preserve"> </v>
      </c>
      <c r="U165" s="877" t="str">
        <f t="shared" ca="1" si="32"/>
        <v xml:space="preserve"> </v>
      </c>
      <c r="V165" s="878" t="str">
        <f t="shared" ca="1" si="33"/>
        <v xml:space="preserve"> </v>
      </c>
      <c r="W165" s="875" t="str">
        <f t="shared" ca="1" si="34"/>
        <v xml:space="preserve"> </v>
      </c>
      <c r="X165" s="875" t="str">
        <f t="shared" ca="1" si="35"/>
        <v xml:space="preserve"> </v>
      </c>
      <c r="Y165" s="875" t="str">
        <f t="shared" ca="1" si="36"/>
        <v xml:space="preserve"> </v>
      </c>
      <c r="Z165" s="875" t="str">
        <f t="shared" ca="1" si="37"/>
        <v xml:space="preserve"> </v>
      </c>
      <c r="AA165" s="875" t="str">
        <f t="shared" ca="1" si="38"/>
        <v xml:space="preserve"> </v>
      </c>
      <c r="AB165" s="876">
        <f t="shared" ca="1" si="39"/>
        <v>1</v>
      </c>
    </row>
    <row r="166" spans="1:56" s="668" customFormat="1" ht="12.6" thickBot="1">
      <c r="A166" s="871" t="s">
        <v>2187</v>
      </c>
      <c r="B166" s="872"/>
      <c r="C166" s="872"/>
      <c r="D166" s="872"/>
      <c r="E166" s="873"/>
      <c r="F166" s="871" t="s">
        <v>2188</v>
      </c>
      <c r="G166" s="872"/>
      <c r="H166" s="872"/>
      <c r="I166" s="872"/>
      <c r="J166" s="872"/>
      <c r="K166" s="872"/>
      <c r="L166" s="872"/>
      <c r="M166" s="872"/>
      <c r="N166" s="873"/>
      <c r="O166" s="794" t="str">
        <f t="shared" ca="1" si="40"/>
        <v xml:space="preserve"> </v>
      </c>
      <c r="P166" s="794" t="str">
        <f t="shared" ca="1" si="27"/>
        <v xml:space="preserve"> </v>
      </c>
      <c r="Q166" s="876" t="str">
        <f t="shared" ca="1" si="28"/>
        <v xml:space="preserve"> </v>
      </c>
      <c r="R166" s="794" t="str">
        <f t="shared" ca="1" si="29"/>
        <v xml:space="preserve"> </v>
      </c>
      <c r="S166" s="794" t="str">
        <f t="shared" ca="1" si="30"/>
        <v xml:space="preserve"> </v>
      </c>
      <c r="T166" s="794" t="str">
        <f t="shared" ca="1" si="31"/>
        <v xml:space="preserve"> </v>
      </c>
      <c r="U166" s="877" t="str">
        <f t="shared" ca="1" si="32"/>
        <v xml:space="preserve"> </v>
      </c>
      <c r="V166" s="902" t="str">
        <f t="shared" ca="1" si="33"/>
        <v xml:space="preserve"> </v>
      </c>
      <c r="W166" s="794" t="str">
        <f t="shared" ca="1" si="34"/>
        <v xml:space="preserve"> </v>
      </c>
      <c r="X166" s="794" t="str">
        <f t="shared" ca="1" si="35"/>
        <v xml:space="preserve"> </v>
      </c>
      <c r="Y166" s="794" t="str">
        <f t="shared" ca="1" si="36"/>
        <v xml:space="preserve"> </v>
      </c>
      <c r="Z166" s="794" t="str">
        <f t="shared" ca="1" si="37"/>
        <v xml:space="preserve"> </v>
      </c>
      <c r="AA166" s="794" t="str">
        <f t="shared" ca="1" si="38"/>
        <v xml:space="preserve"> </v>
      </c>
      <c r="AB166" s="876">
        <f t="shared" ca="1" si="39"/>
        <v>2</v>
      </c>
    </row>
    <row r="167" spans="1:56" s="668" customFormat="1" ht="12.6" thickBot="1">
      <c r="A167" s="903"/>
      <c r="B167" s="904"/>
      <c r="C167" s="904"/>
      <c r="D167" s="904"/>
      <c r="E167" s="904"/>
      <c r="F167" s="904"/>
      <c r="G167" s="904"/>
      <c r="H167" s="904"/>
      <c r="I167" s="904"/>
      <c r="J167" s="904"/>
      <c r="K167" s="904"/>
      <c r="L167" s="904"/>
      <c r="M167" s="904"/>
      <c r="N167" s="905"/>
      <c r="O167" s="906"/>
      <c r="P167" s="907"/>
      <c r="Q167" s="907"/>
      <c r="R167" s="907"/>
      <c r="S167" s="908" t="s">
        <v>2189</v>
      </c>
      <c r="T167" s="909">
        <f ca="1">PVI-SUM(T106:T166)</f>
        <v>389</v>
      </c>
      <c r="U167" s="910"/>
      <c r="V167" s="911"/>
      <c r="W167" s="911"/>
      <c r="X167" s="911"/>
      <c r="Y167" s="911"/>
      <c r="Z167" s="911"/>
      <c r="AA167" s="911"/>
      <c r="AB167" s="912"/>
    </row>
    <row r="168" spans="1:56">
      <c r="T168" s="428"/>
    </row>
    <row r="169" spans="1:56" ht="9.75" customHeight="1">
      <c r="AJ169" s="256" t="s">
        <v>1143</v>
      </c>
    </row>
    <row r="170" spans="1:56" ht="9.75" customHeight="1">
      <c r="AJ170" s="256" t="s">
        <v>1146</v>
      </c>
    </row>
    <row r="171" spans="1:56" ht="9.75" customHeight="1">
      <c r="AJ171" s="256" t="s">
        <v>1147</v>
      </c>
    </row>
    <row r="172" spans="1:56" ht="9.75" customHeight="1">
      <c r="AJ172" s="256" t="s">
        <v>1148</v>
      </c>
    </row>
    <row r="173" spans="1:56" ht="9.75" customHeight="1">
      <c r="AJ173" s="256" t="s">
        <v>1149</v>
      </c>
    </row>
    <row r="174" spans="1:56" ht="9.75" customHeight="1">
      <c r="AJ174" s="256" t="s">
        <v>1150</v>
      </c>
    </row>
    <row r="175" spans="1:56" ht="9.75" customHeight="1">
      <c r="AJ175" s="256" t="s">
        <v>1151</v>
      </c>
    </row>
    <row r="176" spans="1:56" ht="9.75" customHeight="1">
      <c r="AJ176" s="256" t="s">
        <v>1152</v>
      </c>
    </row>
    <row r="177" spans="36:36" ht="9.75" customHeight="1">
      <c r="AJ177" s="256" t="s">
        <v>1153</v>
      </c>
    </row>
    <row r="178" spans="36:36" ht="9.75" customHeight="1">
      <c r="AJ178" s="256" t="s">
        <v>1154</v>
      </c>
    </row>
    <row r="179" spans="36:36" ht="9.75" customHeight="1">
      <c r="AJ179" s="257" t="s">
        <v>1155</v>
      </c>
    </row>
    <row r="180" spans="36:36" ht="9.75" customHeight="1">
      <c r="AJ180" s="254" t="s">
        <v>1156</v>
      </c>
    </row>
    <row r="181" spans="36:36" ht="9.75" customHeight="1">
      <c r="AJ181" s="254" t="s">
        <v>1157</v>
      </c>
    </row>
    <row r="182" spans="36:36" ht="9.75" customHeight="1">
      <c r="AJ182" s="254" t="s">
        <v>1158</v>
      </c>
    </row>
    <row r="183" spans="36:36" ht="9.75" customHeight="1">
      <c r="AJ183" s="254" t="s">
        <v>1159</v>
      </c>
    </row>
    <row r="184" spans="36:36" ht="9.75" customHeight="1">
      <c r="AJ184" s="254" t="s">
        <v>1160</v>
      </c>
    </row>
    <row r="185" spans="36:36" ht="9.75" customHeight="1">
      <c r="AJ185" s="254" t="s">
        <v>1161</v>
      </c>
    </row>
    <row r="186" spans="36:36" ht="9.75" customHeight="1">
      <c r="AJ186" s="254" t="s">
        <v>1162</v>
      </c>
    </row>
    <row r="187" spans="36:36" ht="9.75" customHeight="1">
      <c r="AJ187" s="254" t="s">
        <v>1163</v>
      </c>
    </row>
    <row r="188" spans="36:36" ht="9.75" customHeight="1">
      <c r="AJ188" s="254" t="s">
        <v>1164</v>
      </c>
    </row>
    <row r="189" spans="36:36" ht="9.75" customHeight="1">
      <c r="AJ189" s="254" t="s">
        <v>1165</v>
      </c>
    </row>
    <row r="190" spans="36:36" ht="9.75" customHeight="1">
      <c r="AJ190" s="254" t="s">
        <v>1166</v>
      </c>
    </row>
    <row r="191" spans="36:36" ht="9.75" customHeight="1">
      <c r="AJ191" s="254" t="s">
        <v>1167</v>
      </c>
    </row>
    <row r="192" spans="36:36" ht="9.75" customHeight="1">
      <c r="AJ192" s="254" t="s">
        <v>1168</v>
      </c>
    </row>
    <row r="193" spans="36:36" ht="9.75" customHeight="1">
      <c r="AJ193" s="254" t="s">
        <v>1169</v>
      </c>
    </row>
    <row r="194" spans="36:36" ht="9.75" customHeight="1">
      <c r="AJ194" s="254" t="s">
        <v>1170</v>
      </c>
    </row>
    <row r="195" spans="36:36" ht="9.75" customHeight="1">
      <c r="AJ195" s="254" t="s">
        <v>1171</v>
      </c>
    </row>
    <row r="196" spans="36:36" ht="9.75" customHeight="1">
      <c r="AJ196" s="254" t="s">
        <v>1172</v>
      </c>
    </row>
    <row r="197" spans="36:36" ht="9.75" customHeight="1">
      <c r="AJ197" s="254" t="s">
        <v>1173</v>
      </c>
    </row>
    <row r="198" spans="36:36" ht="9.75" customHeight="1">
      <c r="AJ198" s="254" t="s">
        <v>1174</v>
      </c>
    </row>
    <row r="199" spans="36:36" ht="9.75" customHeight="1">
      <c r="AJ199" s="254" t="s">
        <v>1175</v>
      </c>
    </row>
    <row r="200" spans="36:36" ht="9.75" customHeight="1">
      <c r="AJ200" s="254" t="s">
        <v>1176</v>
      </c>
    </row>
    <row r="201" spans="36:36" ht="9.75" customHeight="1">
      <c r="AJ201" s="254" t="s">
        <v>1177</v>
      </c>
    </row>
    <row r="202" spans="36:36" ht="9.75" customHeight="1">
      <c r="AJ202" s="254" t="s">
        <v>1178</v>
      </c>
    </row>
    <row r="203" spans="36:36" ht="9.75" customHeight="1">
      <c r="AJ203" s="254" t="s">
        <v>1179</v>
      </c>
    </row>
    <row r="204" spans="36:36" ht="9.75" customHeight="1">
      <c r="AJ204" s="254" t="s">
        <v>1180</v>
      </c>
    </row>
    <row r="205" spans="36:36" ht="9.75" customHeight="1">
      <c r="AJ205" s="254" t="s">
        <v>1181</v>
      </c>
    </row>
    <row r="206" spans="36:36" ht="9.75" customHeight="1">
      <c r="AJ206" s="254" t="s">
        <v>1182</v>
      </c>
    </row>
    <row r="207" spans="36:36" ht="9.75" customHeight="1">
      <c r="AJ207" s="254" t="s">
        <v>1183</v>
      </c>
    </row>
    <row r="208" spans="36:36" ht="9.75" customHeight="1">
      <c r="AJ208" s="254" t="s">
        <v>1184</v>
      </c>
    </row>
    <row r="209" spans="36:36" ht="9.75" customHeight="1">
      <c r="AJ209" s="254" t="s">
        <v>1185</v>
      </c>
    </row>
    <row r="210" spans="36:36" ht="9.75" customHeight="1">
      <c r="AJ210" s="254" t="s">
        <v>1186</v>
      </c>
    </row>
    <row r="211" spans="36:36" ht="9.75" customHeight="1">
      <c r="AJ211" s="254" t="s">
        <v>1187</v>
      </c>
    </row>
    <row r="212" spans="36:36" ht="9.75" customHeight="1">
      <c r="AJ212" s="254" t="s">
        <v>1188</v>
      </c>
    </row>
    <row r="213" spans="36:36" ht="9.75" customHeight="1">
      <c r="AJ213" s="254" t="s">
        <v>1189</v>
      </c>
    </row>
    <row r="214" spans="36:36" ht="9.75" customHeight="1">
      <c r="AJ214" s="254" t="s">
        <v>1190</v>
      </c>
    </row>
    <row r="215" spans="36:36" ht="9.75" customHeight="1">
      <c r="AJ215" s="256" t="s">
        <v>1191</v>
      </c>
    </row>
    <row r="216" spans="36:36" ht="9.75" customHeight="1">
      <c r="AJ216" s="256" t="s">
        <v>1192</v>
      </c>
    </row>
    <row r="217" spans="36:36" ht="9.75" customHeight="1">
      <c r="AJ217" s="256" t="s">
        <v>1193</v>
      </c>
    </row>
    <row r="218" spans="36:36" ht="9.75" customHeight="1">
      <c r="AJ218" s="256" t="s">
        <v>1194</v>
      </c>
    </row>
    <row r="219" spans="36:36" ht="9.75" customHeight="1">
      <c r="AJ219" s="256" t="s">
        <v>1195</v>
      </c>
    </row>
    <row r="220" spans="36:36" ht="9.75" customHeight="1">
      <c r="AJ220" s="256" t="s">
        <v>1196</v>
      </c>
    </row>
    <row r="221" spans="36:36" ht="9.75" customHeight="1">
      <c r="AJ221" s="256" t="s">
        <v>1197</v>
      </c>
    </row>
    <row r="222" spans="36:36" ht="9.75" customHeight="1">
      <c r="AJ222" s="256" t="s">
        <v>1198</v>
      </c>
    </row>
    <row r="223" spans="36:36" ht="9.75" customHeight="1">
      <c r="AJ223" s="256" t="s">
        <v>1199</v>
      </c>
    </row>
    <row r="224" spans="36:36" ht="9.75" customHeight="1">
      <c r="AJ224" s="256" t="s">
        <v>1200</v>
      </c>
    </row>
    <row r="225" spans="36:36" ht="9.75" customHeight="1">
      <c r="AJ225" s="256" t="s">
        <v>1201</v>
      </c>
    </row>
    <row r="226" spans="36:36" ht="9.75" customHeight="1">
      <c r="AJ226" s="257" t="s">
        <v>1202</v>
      </c>
    </row>
    <row r="227" spans="36:36" ht="9.75" customHeight="1">
      <c r="AJ227" s="254" t="s">
        <v>1203</v>
      </c>
    </row>
    <row r="228" spans="36:36" ht="9.75" customHeight="1">
      <c r="AJ228" s="254" t="s">
        <v>1204</v>
      </c>
    </row>
    <row r="229" spans="36:36" ht="9.75" customHeight="1">
      <c r="AJ229" s="254" t="s">
        <v>1205</v>
      </c>
    </row>
    <row r="230" spans="36:36" ht="9.75" customHeight="1">
      <c r="AJ230" s="254" t="s">
        <v>1206</v>
      </c>
    </row>
    <row r="231" spans="36:36" ht="9.75" customHeight="1">
      <c r="AJ231" s="254" t="s">
        <v>1207</v>
      </c>
    </row>
    <row r="232" spans="36:36" ht="9.75" customHeight="1">
      <c r="AJ232" s="254" t="s">
        <v>1208</v>
      </c>
    </row>
    <row r="233" spans="36:36" ht="9.75" customHeight="1">
      <c r="AJ233" s="254" t="s">
        <v>1209</v>
      </c>
    </row>
    <row r="234" spans="36:36" ht="9.75" customHeight="1">
      <c r="AJ234" s="254" t="s">
        <v>1210</v>
      </c>
    </row>
    <row r="235" spans="36:36" ht="9.75" customHeight="1">
      <c r="AJ235" s="254" t="s">
        <v>1211</v>
      </c>
    </row>
    <row r="236" spans="36:36" ht="9.75" customHeight="1">
      <c r="AJ236" s="254" t="s">
        <v>1212</v>
      </c>
    </row>
    <row r="237" spans="36:36" ht="9.75" customHeight="1">
      <c r="AJ237" s="254" t="s">
        <v>1213</v>
      </c>
    </row>
    <row r="238" spans="36:36" ht="9.75" customHeight="1">
      <c r="AJ238" s="254" t="s">
        <v>1214</v>
      </c>
    </row>
    <row r="239" spans="36:36" ht="9.75" customHeight="1">
      <c r="AJ239" s="254" t="s">
        <v>1215</v>
      </c>
    </row>
    <row r="240" spans="36:36" ht="9.75" customHeight="1">
      <c r="AJ240" s="254" t="s">
        <v>1216</v>
      </c>
    </row>
    <row r="241" spans="36:36" ht="9.75" customHeight="1">
      <c r="AJ241" s="254" t="s">
        <v>1217</v>
      </c>
    </row>
    <row r="242" spans="36:36" ht="9.75" customHeight="1">
      <c r="AJ242" s="254" t="s">
        <v>1218</v>
      </c>
    </row>
    <row r="243" spans="36:36" ht="9.75" customHeight="1">
      <c r="AJ243" s="254" t="s">
        <v>1219</v>
      </c>
    </row>
    <row r="244" spans="36:36" ht="9.75" customHeight="1">
      <c r="AJ244" s="254" t="s">
        <v>1220</v>
      </c>
    </row>
    <row r="245" spans="36:36" ht="9.75" customHeight="1">
      <c r="AJ245" s="254" t="s">
        <v>1221</v>
      </c>
    </row>
    <row r="246" spans="36:36" ht="9.75" customHeight="1">
      <c r="AJ246" s="255" t="s">
        <v>1222</v>
      </c>
    </row>
    <row r="247" spans="36:36" ht="9.75" customHeight="1">
      <c r="AJ247" s="256" t="s">
        <v>1223</v>
      </c>
    </row>
    <row r="248" spans="36:36" ht="9.75" customHeight="1">
      <c r="AJ248" s="256" t="s">
        <v>1224</v>
      </c>
    </row>
    <row r="249" spans="36:36" ht="9.75" customHeight="1">
      <c r="AJ249" s="256" t="s">
        <v>1225</v>
      </c>
    </row>
    <row r="250" spans="36:36" ht="9.75" customHeight="1">
      <c r="AJ250" s="256" t="s">
        <v>1226</v>
      </c>
    </row>
    <row r="251" spans="36:36" ht="9.75" customHeight="1">
      <c r="AJ251" s="256" t="s">
        <v>1227</v>
      </c>
    </row>
    <row r="252" spans="36:36" ht="9.75" customHeight="1">
      <c r="AJ252" s="256" t="s">
        <v>1228</v>
      </c>
    </row>
    <row r="253" spans="36:36" ht="9.75" customHeight="1">
      <c r="AJ253" s="256" t="s">
        <v>1229</v>
      </c>
    </row>
    <row r="254" spans="36:36" ht="9.75" customHeight="1">
      <c r="AJ254" s="256" t="s">
        <v>1230</v>
      </c>
    </row>
    <row r="255" spans="36:36" ht="9.75" customHeight="1">
      <c r="AJ255" s="256" t="s">
        <v>1231</v>
      </c>
    </row>
    <row r="256" spans="36:36" ht="9.75" customHeight="1">
      <c r="AJ256" s="256" t="s">
        <v>1232</v>
      </c>
    </row>
    <row r="257" spans="36:36" ht="9.75" customHeight="1">
      <c r="AJ257" s="256" t="s">
        <v>1233</v>
      </c>
    </row>
    <row r="258" spans="36:36" ht="9.75" customHeight="1">
      <c r="AJ258" s="256" t="s">
        <v>1234</v>
      </c>
    </row>
    <row r="259" spans="36:36" ht="9.75" customHeight="1">
      <c r="AJ259" s="256" t="s">
        <v>1235</v>
      </c>
    </row>
    <row r="260" spans="36:36" ht="9.75" customHeight="1">
      <c r="AJ260" s="256" t="s">
        <v>1236</v>
      </c>
    </row>
    <row r="261" spans="36:36" ht="9.75" customHeight="1">
      <c r="AJ261" s="256" t="s">
        <v>1237</v>
      </c>
    </row>
    <row r="262" spans="36:36" ht="9.75" customHeight="1">
      <c r="AJ262" s="256" t="s">
        <v>1238</v>
      </c>
    </row>
    <row r="263" spans="36:36" ht="9.75" customHeight="1">
      <c r="AJ263" s="256" t="s">
        <v>1239</v>
      </c>
    </row>
    <row r="264" spans="36:36" ht="9.75" customHeight="1">
      <c r="AJ264" s="257" t="s">
        <v>1240</v>
      </c>
    </row>
    <row r="265" spans="36:36" ht="9.75" customHeight="1">
      <c r="AJ265" s="254" t="s">
        <v>1241</v>
      </c>
    </row>
    <row r="266" spans="36:36" ht="9.75" customHeight="1">
      <c r="AJ266" s="254" t="s">
        <v>1242</v>
      </c>
    </row>
    <row r="267" spans="36:36" ht="9.75" customHeight="1">
      <c r="AJ267" s="254" t="s">
        <v>1243</v>
      </c>
    </row>
    <row r="268" spans="36:36" ht="9.75" customHeight="1">
      <c r="AJ268" s="254" t="s">
        <v>1244</v>
      </c>
    </row>
    <row r="269" spans="36:36" ht="9.75" customHeight="1">
      <c r="AJ269" s="254" t="s">
        <v>1245</v>
      </c>
    </row>
    <row r="270" spans="36:36" ht="9.75" customHeight="1">
      <c r="AJ270" s="254" t="s">
        <v>1246</v>
      </c>
    </row>
    <row r="271" spans="36:36" ht="9.75" customHeight="1">
      <c r="AJ271" s="254" t="s">
        <v>1247</v>
      </c>
    </row>
    <row r="272" spans="36:36" ht="9.75" customHeight="1">
      <c r="AJ272" s="254" t="s">
        <v>1248</v>
      </c>
    </row>
    <row r="273" spans="36:36" ht="9.75" customHeight="1">
      <c r="AJ273" s="254" t="s">
        <v>1249</v>
      </c>
    </row>
    <row r="274" spans="36:36" ht="9.75" customHeight="1">
      <c r="AJ274" s="254" t="s">
        <v>1250</v>
      </c>
    </row>
    <row r="275" spans="36:36" ht="9.75" customHeight="1">
      <c r="AJ275" s="254" t="s">
        <v>1251</v>
      </c>
    </row>
    <row r="276" spans="36:36" ht="9.75" customHeight="1">
      <c r="AJ276" s="254" t="s">
        <v>1252</v>
      </c>
    </row>
    <row r="277" spans="36:36" ht="9.75" customHeight="1">
      <c r="AJ277" s="254" t="s">
        <v>1253</v>
      </c>
    </row>
    <row r="278" spans="36:36" ht="9.75" customHeight="1">
      <c r="AJ278" s="254" t="s">
        <v>1254</v>
      </c>
    </row>
    <row r="279" spans="36:36" ht="9.75" customHeight="1">
      <c r="AJ279" s="255" t="s">
        <v>1255</v>
      </c>
    </row>
    <row r="280" spans="36:36" ht="9.75" customHeight="1">
      <c r="AJ280" s="256" t="s">
        <v>1256</v>
      </c>
    </row>
    <row r="281" spans="36:36" ht="9.75" customHeight="1">
      <c r="AJ281" s="256" t="s">
        <v>1257</v>
      </c>
    </row>
    <row r="282" spans="36:36" ht="9.75" customHeight="1">
      <c r="AJ282" s="256" t="s">
        <v>1258</v>
      </c>
    </row>
    <row r="283" spans="36:36" ht="9.75" customHeight="1">
      <c r="AJ283" s="256" t="s">
        <v>1259</v>
      </c>
    </row>
    <row r="284" spans="36:36" ht="9.75" customHeight="1">
      <c r="AJ284" s="256" t="s">
        <v>1260</v>
      </c>
    </row>
    <row r="285" spans="36:36" ht="9.75" customHeight="1">
      <c r="AJ285" s="256" t="s">
        <v>1261</v>
      </c>
    </row>
    <row r="286" spans="36:36" ht="9.75" customHeight="1">
      <c r="AJ286" s="256" t="s">
        <v>1262</v>
      </c>
    </row>
    <row r="287" spans="36:36" ht="9.75" customHeight="1">
      <c r="AJ287" s="256" t="s">
        <v>1263</v>
      </c>
    </row>
    <row r="288" spans="36:36" ht="9.75" customHeight="1">
      <c r="AJ288" s="256" t="s">
        <v>1264</v>
      </c>
    </row>
    <row r="289" spans="36:36" ht="9.75" customHeight="1">
      <c r="AJ289" s="256" t="s">
        <v>1265</v>
      </c>
    </row>
    <row r="290" spans="36:36" ht="9.75" customHeight="1">
      <c r="AJ290" s="256" t="s">
        <v>1266</v>
      </c>
    </row>
    <row r="291" spans="36:36" ht="9.75" customHeight="1">
      <c r="AJ291" s="256" t="s">
        <v>1267</v>
      </c>
    </row>
    <row r="292" spans="36:36" ht="9.75" customHeight="1">
      <c r="AJ292" s="256" t="s">
        <v>1234</v>
      </c>
    </row>
    <row r="293" spans="36:36" ht="9.75" customHeight="1">
      <c r="AJ293" s="256" t="s">
        <v>1268</v>
      </c>
    </row>
    <row r="294" spans="36:36" ht="9.75" customHeight="1">
      <c r="AJ294" s="257" t="s">
        <v>1269</v>
      </c>
    </row>
    <row r="295" spans="36:36" ht="9.75" customHeight="1">
      <c r="AJ295" s="254" t="s">
        <v>1270</v>
      </c>
    </row>
    <row r="296" spans="36:36" ht="9.75" customHeight="1">
      <c r="AJ296" s="254" t="s">
        <v>1271</v>
      </c>
    </row>
    <row r="297" spans="36:36" ht="9.75" customHeight="1">
      <c r="AJ297" s="254" t="s">
        <v>1272</v>
      </c>
    </row>
    <row r="298" spans="36:36" ht="9.75" customHeight="1">
      <c r="AJ298" s="254" t="s">
        <v>1273</v>
      </c>
    </row>
    <row r="299" spans="36:36" ht="9.75" customHeight="1">
      <c r="AJ299" s="254" t="s">
        <v>1274</v>
      </c>
    </row>
    <row r="300" spans="36:36" ht="9.75" customHeight="1">
      <c r="AJ300" s="254" t="s">
        <v>1275</v>
      </c>
    </row>
    <row r="301" spans="36:36" ht="9.75" customHeight="1">
      <c r="AJ301" s="254" t="s">
        <v>1276</v>
      </c>
    </row>
    <row r="302" spans="36:36" ht="9.75" customHeight="1">
      <c r="AJ302" s="254" t="s">
        <v>1277</v>
      </c>
    </row>
    <row r="303" spans="36:36" ht="9.75" customHeight="1">
      <c r="AJ303" s="254" t="s">
        <v>1278</v>
      </c>
    </row>
    <row r="304" spans="36:36" ht="9.75" customHeight="1">
      <c r="AJ304" s="254" t="s">
        <v>1279</v>
      </c>
    </row>
    <row r="305" spans="36:36" ht="9.75" customHeight="1">
      <c r="AJ305" s="255" t="s">
        <v>1280</v>
      </c>
    </row>
    <row r="306" spans="36:36" ht="9.75" customHeight="1">
      <c r="AJ306" s="256" t="s">
        <v>1281</v>
      </c>
    </row>
    <row r="307" spans="36:36" ht="9.75" customHeight="1">
      <c r="AJ307" s="256" t="s">
        <v>1282</v>
      </c>
    </row>
    <row r="308" spans="36:36" ht="9.75" customHeight="1">
      <c r="AJ308" s="256" t="s">
        <v>1283</v>
      </c>
    </row>
    <row r="309" spans="36:36" ht="9.75" customHeight="1">
      <c r="AJ309" s="256" t="s">
        <v>1284</v>
      </c>
    </row>
    <row r="310" spans="36:36" ht="9.75" customHeight="1">
      <c r="AJ310" s="256" t="s">
        <v>1285</v>
      </c>
    </row>
    <row r="311" spans="36:36" ht="9.75" customHeight="1">
      <c r="AJ311" s="256" t="s">
        <v>1286</v>
      </c>
    </row>
    <row r="312" spans="36:36" ht="9.75" customHeight="1">
      <c r="AJ312" s="256" t="s">
        <v>1287</v>
      </c>
    </row>
    <row r="313" spans="36:36" ht="9.75" customHeight="1">
      <c r="AJ313" s="256" t="s">
        <v>1288</v>
      </c>
    </row>
    <row r="314" spans="36:36" ht="9.75" customHeight="1">
      <c r="AJ314" s="256" t="s">
        <v>1289</v>
      </c>
    </row>
    <row r="315" spans="36:36" ht="9.75" customHeight="1">
      <c r="AJ315" s="256" t="s">
        <v>1290</v>
      </c>
    </row>
    <row r="316" spans="36:36" ht="9.75" customHeight="1">
      <c r="AJ316" s="256" t="s">
        <v>1291</v>
      </c>
    </row>
    <row r="317" spans="36:36" ht="9.75" customHeight="1">
      <c r="AJ317" s="256" t="s">
        <v>1292</v>
      </c>
    </row>
    <row r="318" spans="36:36" ht="9.75" customHeight="1">
      <c r="AJ318" s="256" t="s">
        <v>1293</v>
      </c>
    </row>
    <row r="319" spans="36:36" ht="9.75" customHeight="1">
      <c r="AJ319" s="256" t="s">
        <v>1294</v>
      </c>
    </row>
    <row r="320" spans="36:36" ht="9.75" customHeight="1">
      <c r="AJ320" s="256" t="s">
        <v>1295</v>
      </c>
    </row>
    <row r="321" spans="36:36" ht="9.75" customHeight="1">
      <c r="AJ321" s="256" t="s">
        <v>1296</v>
      </c>
    </row>
    <row r="322" spans="36:36" ht="9.75" customHeight="1">
      <c r="AJ322" s="256" t="s">
        <v>1297</v>
      </c>
    </row>
    <row r="323" spans="36:36" ht="9.75" customHeight="1">
      <c r="AJ323" s="256" t="s">
        <v>1298</v>
      </c>
    </row>
    <row r="324" spans="36:36" ht="9.75" customHeight="1">
      <c r="AJ324" s="256" t="s">
        <v>1299</v>
      </c>
    </row>
    <row r="325" spans="36:36" ht="9.75" customHeight="1">
      <c r="AJ325" s="256" t="s">
        <v>1300</v>
      </c>
    </row>
    <row r="326" spans="36:36" ht="9.75" customHeight="1">
      <c r="AJ326" s="257" t="s">
        <v>1301</v>
      </c>
    </row>
    <row r="327" spans="36:36" ht="9.75" customHeight="1">
      <c r="AJ327" s="254" t="s">
        <v>1302</v>
      </c>
    </row>
    <row r="328" spans="36:36" ht="9.75" customHeight="1">
      <c r="AJ328" s="254" t="s">
        <v>1303</v>
      </c>
    </row>
    <row r="329" spans="36:36" ht="9.75" customHeight="1">
      <c r="AJ329" s="254" t="s">
        <v>1304</v>
      </c>
    </row>
    <row r="330" spans="36:36" ht="9.75" customHeight="1">
      <c r="AJ330" s="254" t="s">
        <v>1305</v>
      </c>
    </row>
    <row r="331" spans="36:36" ht="9.75" customHeight="1">
      <c r="AJ331" s="254" t="s">
        <v>1306</v>
      </c>
    </row>
    <row r="332" spans="36:36" ht="9.75" customHeight="1">
      <c r="AJ332" s="254" t="s">
        <v>1307</v>
      </c>
    </row>
    <row r="333" spans="36:36" ht="9.75" customHeight="1">
      <c r="AJ333" s="254" t="s">
        <v>1308</v>
      </c>
    </row>
    <row r="334" spans="36:36" ht="9.75" customHeight="1">
      <c r="AJ334" s="254" t="s">
        <v>1309</v>
      </c>
    </row>
    <row r="335" spans="36:36" ht="9.75" customHeight="1">
      <c r="AJ335" s="254" t="s">
        <v>1310</v>
      </c>
    </row>
  </sheetData>
  <dataConsolidate/>
  <conditionalFormatting sqref="D125">
    <cfRule type="cellIs" dxfId="11" priority="1" operator="equal">
      <formula>"'+1'"</formula>
    </cfRule>
    <cfRule type="cellIs" dxfId="10" priority="2" operator="equal">
      <formula>"""+1"""</formula>
    </cfRule>
  </conditionalFormatting>
  <conditionalFormatting sqref="AB106:AB166">
    <cfRule type="cellIs" dxfId="9" priority="3" operator="greaterThan">
      <formula>1</formula>
    </cfRule>
  </conditionalFormatting>
  <pageMargins left="0.25" right="0.25" top="0.75" bottom="0.75" header="0.3" footer="0.3"/>
  <pageSetup paperSize="9" orientation="portrait" r:id="rId1"/>
  <headerFooter>
    <oddFooter>&amp;C_x000D_&amp;1#&amp;"Arial"&amp;9&amp;K000000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0"/>
  <sheetViews>
    <sheetView zoomScaleNormal="100" workbookViewId="0">
      <selection activeCell="A2" sqref="A2"/>
    </sheetView>
  </sheetViews>
  <sheetFormatPr baseColWidth="10" defaultColWidth="9.109375" defaultRowHeight="13.8"/>
  <cols>
    <col min="1" max="1" width="8.33203125" style="230" bestFit="1" customWidth="1"/>
    <col min="2" max="2" width="15" style="230" customWidth="1"/>
    <col min="3" max="3" width="12.109375" style="230" customWidth="1"/>
    <col min="4" max="4" width="12.5546875" style="230" customWidth="1"/>
    <col min="5" max="5" width="7.109375" style="230" bestFit="1" customWidth="1"/>
    <col min="6" max="6" width="7.88671875" style="230" hidden="1" customWidth="1"/>
    <col min="7" max="7" width="14.5546875" style="230" customWidth="1"/>
    <col min="8" max="8" width="12" style="230" customWidth="1"/>
    <col min="9" max="9" width="11.5546875" style="230" customWidth="1"/>
    <col min="10" max="16384" width="9.109375" style="230"/>
  </cols>
  <sheetData>
    <row r="1" spans="1:9" ht="13.2" customHeight="1">
      <c r="A1" s="432" t="s">
        <v>1138</v>
      </c>
      <c r="B1" s="432" t="s">
        <v>1652</v>
      </c>
      <c r="C1" s="432" t="s">
        <v>1651</v>
      </c>
      <c r="D1" s="432" t="s">
        <v>1650</v>
      </c>
      <c r="E1" s="432" t="s">
        <v>1649</v>
      </c>
      <c r="F1" s="432" t="s">
        <v>1648</v>
      </c>
      <c r="G1" s="432" t="s">
        <v>1647</v>
      </c>
      <c r="H1" s="432" t="s">
        <v>1646</v>
      </c>
      <c r="I1" s="432" t="s">
        <v>1645</v>
      </c>
    </row>
    <row r="2" spans="1:9" ht="36.6" customHeight="1">
      <c r="A2" s="431" t="str">
        <f t="shared" ref="A2:A20" ca="1" si="0">LOOKUP(RANDBETWEEN(1,10),dé10,forme)</f>
        <v>écu</v>
      </c>
      <c r="B2" s="430" t="str">
        <f t="shared" ref="B2:B20" ca="1" si="1">LOOKUP(RANDBETWEEN(1,100),dé100,partition)</f>
        <v>Sautoir</v>
      </c>
      <c r="C2" s="430" t="str">
        <f t="shared" ref="C2:C20" ca="1" si="2">LOOKUP(RANDBETWEEN(1,100),dé100,émaux)</f>
        <v>argent</v>
      </c>
      <c r="D2" s="430" t="str">
        <f t="shared" ref="D2:D20" ca="1" si="3">IF(B2&lt;&gt;"Uni",LOOKUP(RANDBETWEEN(1,100),dé100,émaux)," ")</f>
        <v>sable</v>
      </c>
      <c r="E2" s="430" t="str">
        <f t="shared" ref="E2:E20" ca="1" si="4">IF(LEFT(B2,6)="Tiercé",LOOKUP(RANDBETWEEN(1,100),dé100,émaux)," ")</f>
        <v xml:space="preserve"> </v>
      </c>
      <c r="F2" s="430">
        <f t="shared" ref="F2:F20" ca="1" si="5">LOOKUP(RANDBETWEEN(1,10),dé10,nbmeuble)</f>
        <v>0</v>
      </c>
      <c r="G2" s="430" t="str">
        <f t="shared" ref="G2:G20" ca="1" si="6">IF(F2&gt;0,LOOKUP(RANDBETWEEN(1,100),dé100,meuble)," ")</f>
        <v xml:space="preserve"> </v>
      </c>
      <c r="H2" s="430" t="str">
        <f t="shared" ref="H2:H20" ca="1" si="7">IF(F2&gt;1,LOOKUP(RANDBETWEEN(1,100),dé100,meuble)," ")</f>
        <v xml:space="preserve"> </v>
      </c>
      <c r="I2" s="429" t="str">
        <f t="shared" ref="I2:I20" ca="1" si="8">IF(F2&gt;2,LOOKUP(RANDBETWEEN(1,100),dé100,meuble)," ")</f>
        <v xml:space="preserve"> </v>
      </c>
    </row>
    <row r="3" spans="1:9" ht="36.6" customHeight="1">
      <c r="A3" s="431" t="str">
        <f t="shared" ca="1" si="0"/>
        <v>écu carré</v>
      </c>
      <c r="B3" s="430" t="str">
        <f t="shared" ca="1" si="1"/>
        <v>Gironné</v>
      </c>
      <c r="C3" s="430" t="str">
        <f t="shared" ca="1" si="2"/>
        <v>azur</v>
      </c>
      <c r="D3" s="430" t="str">
        <f t="shared" ca="1" si="3"/>
        <v>argent</v>
      </c>
      <c r="E3" s="430" t="str">
        <f t="shared" ca="1" si="4"/>
        <v xml:space="preserve"> </v>
      </c>
      <c r="F3" s="430">
        <f t="shared" ca="1" si="5"/>
        <v>2</v>
      </c>
      <c r="G3" s="430" t="str">
        <f t="shared" ca="1" si="6"/>
        <v>Couronne</v>
      </c>
      <c r="H3" s="430" t="str">
        <f t="shared" ca="1" si="7"/>
        <v>Sauvage</v>
      </c>
      <c r="I3" s="429" t="str">
        <f t="shared" ca="1" si="8"/>
        <v xml:space="preserve"> </v>
      </c>
    </row>
    <row r="4" spans="1:9" ht="36.6" customHeight="1">
      <c r="A4" s="431" t="str">
        <f t="shared" ca="1" si="0"/>
        <v>triangle</v>
      </c>
      <c r="B4" s="430" t="str">
        <f t="shared" ca="1" si="1"/>
        <v>Gironné</v>
      </c>
      <c r="C4" s="430" t="str">
        <f t="shared" ca="1" si="2"/>
        <v>or</v>
      </c>
      <c r="D4" s="430" t="str">
        <f t="shared" ca="1" si="3"/>
        <v>pourpre</v>
      </c>
      <c r="E4" s="430" t="str">
        <f t="shared" ca="1" si="4"/>
        <v xml:space="preserve"> </v>
      </c>
      <c r="F4" s="430">
        <f t="shared" ca="1" si="5"/>
        <v>0</v>
      </c>
      <c r="G4" s="430" t="str">
        <f t="shared" ca="1" si="6"/>
        <v xml:space="preserve"> </v>
      </c>
      <c r="H4" s="430" t="str">
        <f t="shared" ca="1" si="7"/>
        <v xml:space="preserve"> </v>
      </c>
      <c r="I4" s="429" t="str">
        <f t="shared" ca="1" si="8"/>
        <v xml:space="preserve"> </v>
      </c>
    </row>
    <row r="5" spans="1:9" ht="36.6" customHeight="1">
      <c r="A5" s="431" t="str">
        <f t="shared" ca="1" si="0"/>
        <v>écu</v>
      </c>
      <c r="B5" s="430" t="str">
        <f t="shared" ca="1" si="1"/>
        <v>Croix</v>
      </c>
      <c r="C5" s="430" t="str">
        <f t="shared" ca="1" si="2"/>
        <v>hermine</v>
      </c>
      <c r="D5" s="430" t="str">
        <f t="shared" ca="1" si="3"/>
        <v>sable</v>
      </c>
      <c r="E5" s="430" t="str">
        <f t="shared" ca="1" si="4"/>
        <v xml:space="preserve"> </v>
      </c>
      <c r="F5" s="430">
        <f t="shared" ca="1" si="5"/>
        <v>0</v>
      </c>
      <c r="G5" s="430" t="str">
        <f t="shared" ca="1" si="6"/>
        <v xml:space="preserve"> </v>
      </c>
      <c r="H5" s="430" t="str">
        <f t="shared" ca="1" si="7"/>
        <v xml:space="preserve"> </v>
      </c>
      <c r="I5" s="429" t="str">
        <f t="shared" ca="1" si="8"/>
        <v xml:space="preserve"> </v>
      </c>
    </row>
    <row r="6" spans="1:9" ht="36.6" customHeight="1">
      <c r="A6" s="431" t="str">
        <f t="shared" ca="1" si="0"/>
        <v>carré</v>
      </c>
      <c r="B6" s="430" t="str">
        <f t="shared" ca="1" si="1"/>
        <v>Chevron</v>
      </c>
      <c r="C6" s="430" t="str">
        <f t="shared" ca="1" si="2"/>
        <v>argent</v>
      </c>
      <c r="D6" s="430" t="str">
        <f t="shared" ca="1" si="3"/>
        <v>azur</v>
      </c>
      <c r="E6" s="430" t="str">
        <f t="shared" ca="1" si="4"/>
        <v xml:space="preserve"> </v>
      </c>
      <c r="F6" s="430">
        <f t="shared" ca="1" si="5"/>
        <v>0</v>
      </c>
      <c r="G6" s="430" t="str">
        <f t="shared" ca="1" si="6"/>
        <v xml:space="preserve"> </v>
      </c>
      <c r="H6" s="430" t="str">
        <f t="shared" ca="1" si="7"/>
        <v xml:space="preserve"> </v>
      </c>
      <c r="I6" s="429" t="str">
        <f t="shared" ca="1" si="8"/>
        <v xml:space="preserve"> </v>
      </c>
    </row>
    <row r="7" spans="1:9" ht="36.6" customHeight="1">
      <c r="A7" s="431" t="str">
        <f t="shared" ca="1" si="0"/>
        <v>écu carré</v>
      </c>
      <c r="B7" s="430" t="str">
        <f t="shared" ca="1" si="1"/>
        <v>Gironné</v>
      </c>
      <c r="C7" s="430" t="str">
        <f t="shared" ca="1" si="2"/>
        <v>argent</v>
      </c>
      <c r="D7" s="430" t="str">
        <f t="shared" ca="1" si="3"/>
        <v>sable</v>
      </c>
      <c r="E7" s="430" t="str">
        <f t="shared" ca="1" si="4"/>
        <v xml:space="preserve"> </v>
      </c>
      <c r="F7" s="430">
        <f t="shared" ca="1" si="5"/>
        <v>2</v>
      </c>
      <c r="G7" s="430" t="str">
        <f t="shared" ca="1" si="6"/>
        <v>Épée</v>
      </c>
      <c r="H7" s="430" t="str">
        <f t="shared" ca="1" si="7"/>
        <v>Sauvage</v>
      </c>
      <c r="I7" s="429" t="str">
        <f t="shared" ca="1" si="8"/>
        <v xml:space="preserve"> </v>
      </c>
    </row>
    <row r="8" spans="1:9" ht="36.6" customHeight="1">
      <c r="A8" s="431" t="str">
        <f t="shared" ca="1" si="0"/>
        <v>triangle</v>
      </c>
      <c r="B8" s="430" t="str">
        <f t="shared" ca="1" si="1"/>
        <v>Taillé</v>
      </c>
      <c r="C8" s="430" t="str">
        <f t="shared" ca="1" si="2"/>
        <v>argent</v>
      </c>
      <c r="D8" s="430" t="str">
        <f t="shared" ca="1" si="3"/>
        <v>vair</v>
      </c>
      <c r="E8" s="430" t="str">
        <f t="shared" ca="1" si="4"/>
        <v xml:space="preserve"> </v>
      </c>
      <c r="F8" s="430">
        <f t="shared" ca="1" si="5"/>
        <v>2</v>
      </c>
      <c r="G8" s="430" t="str">
        <f t="shared" ca="1" si="6"/>
        <v>Château</v>
      </c>
      <c r="H8" s="430" t="str">
        <f t="shared" ca="1" si="7"/>
        <v>Huchet</v>
      </c>
      <c r="I8" s="429" t="str">
        <f t="shared" ca="1" si="8"/>
        <v xml:space="preserve"> </v>
      </c>
    </row>
    <row r="9" spans="1:9" ht="36.6" customHeight="1">
      <c r="A9" s="431" t="str">
        <f t="shared" ca="1" si="0"/>
        <v>écu carré</v>
      </c>
      <c r="B9" s="430" t="str">
        <f t="shared" ca="1" si="1"/>
        <v>Parti</v>
      </c>
      <c r="C9" s="430" t="str">
        <f t="shared" ca="1" si="2"/>
        <v>argent</v>
      </c>
      <c r="D9" s="430" t="str">
        <f t="shared" ca="1" si="3"/>
        <v>hermine</v>
      </c>
      <c r="E9" s="430" t="str">
        <f t="shared" ca="1" si="4"/>
        <v xml:space="preserve"> </v>
      </c>
      <c r="F9" s="430">
        <f t="shared" ca="1" si="5"/>
        <v>1</v>
      </c>
      <c r="G9" s="430" t="str">
        <f t="shared" ca="1" si="6"/>
        <v>Tour</v>
      </c>
      <c r="H9" s="430" t="str">
        <f t="shared" ca="1" si="7"/>
        <v xml:space="preserve"> </v>
      </c>
      <c r="I9" s="429" t="str">
        <f t="shared" ca="1" si="8"/>
        <v xml:space="preserve"> </v>
      </c>
    </row>
    <row r="10" spans="1:9" ht="36.6" customHeight="1">
      <c r="A10" s="431" t="str">
        <f t="shared" ca="1" si="0"/>
        <v>rond</v>
      </c>
      <c r="B10" s="430" t="str">
        <f t="shared" ca="1" si="1"/>
        <v>Componé</v>
      </c>
      <c r="C10" s="430" t="str">
        <f t="shared" ca="1" si="2"/>
        <v>vair</v>
      </c>
      <c r="D10" s="430" t="str">
        <f t="shared" ca="1" si="3"/>
        <v>vairé</v>
      </c>
      <c r="E10" s="430" t="str">
        <f t="shared" ca="1" si="4"/>
        <v xml:space="preserve"> </v>
      </c>
      <c r="F10" s="430">
        <f t="shared" ca="1" si="5"/>
        <v>2</v>
      </c>
      <c r="G10" s="430" t="str">
        <f t="shared" ca="1" si="6"/>
        <v>Phénix</v>
      </c>
      <c r="H10" s="430" t="str">
        <f t="shared" ca="1" si="7"/>
        <v>Couronne</v>
      </c>
      <c r="I10" s="429" t="str">
        <f t="shared" ca="1" si="8"/>
        <v xml:space="preserve"> </v>
      </c>
    </row>
    <row r="11" spans="1:9" ht="36.6" customHeight="1">
      <c r="A11" s="431" t="str">
        <f t="shared" ca="1" si="0"/>
        <v>triangle</v>
      </c>
      <c r="B11" s="430" t="str">
        <f t="shared" ca="1" si="1"/>
        <v>Vivré</v>
      </c>
      <c r="C11" s="430" t="str">
        <f t="shared" ca="1" si="2"/>
        <v>or</v>
      </c>
      <c r="D11" s="430" t="str">
        <f t="shared" ca="1" si="3"/>
        <v>azur</v>
      </c>
      <c r="E11" s="430" t="str">
        <f t="shared" ca="1" si="4"/>
        <v xml:space="preserve"> </v>
      </c>
      <c r="F11" s="430">
        <f t="shared" ca="1" si="5"/>
        <v>0</v>
      </c>
      <c r="G11" s="430" t="str">
        <f t="shared" ca="1" si="6"/>
        <v xml:space="preserve"> </v>
      </c>
      <c r="H11" s="430" t="str">
        <f t="shared" ca="1" si="7"/>
        <v xml:space="preserve"> </v>
      </c>
      <c r="I11" s="429" t="str">
        <f t="shared" ca="1" si="8"/>
        <v xml:space="preserve"> </v>
      </c>
    </row>
    <row r="12" spans="1:9" ht="36.6" customHeight="1">
      <c r="A12" s="431" t="str">
        <f t="shared" ca="1" si="0"/>
        <v>losange</v>
      </c>
      <c r="B12" s="430" t="str">
        <f t="shared" ca="1" si="1"/>
        <v>Croix</v>
      </c>
      <c r="C12" s="430" t="str">
        <f t="shared" ca="1" si="2"/>
        <v>pourpre</v>
      </c>
      <c r="D12" s="430" t="str">
        <f t="shared" ca="1" si="3"/>
        <v>or</v>
      </c>
      <c r="E12" s="430" t="str">
        <f t="shared" ca="1" si="4"/>
        <v xml:space="preserve"> </v>
      </c>
      <c r="F12" s="430">
        <f t="shared" ca="1" si="5"/>
        <v>0</v>
      </c>
      <c r="G12" s="430" t="str">
        <f t="shared" ca="1" si="6"/>
        <v xml:space="preserve"> </v>
      </c>
      <c r="H12" s="430" t="str">
        <f t="shared" ca="1" si="7"/>
        <v xml:space="preserve"> </v>
      </c>
      <c r="I12" s="429" t="str">
        <f t="shared" ca="1" si="8"/>
        <v xml:space="preserve"> </v>
      </c>
    </row>
    <row r="13" spans="1:9" ht="36.6" customHeight="1">
      <c r="A13" s="431" t="str">
        <f t="shared" ca="1" si="0"/>
        <v>carré</v>
      </c>
      <c r="B13" s="430" t="str">
        <f t="shared" ca="1" si="1"/>
        <v>Tranché</v>
      </c>
      <c r="C13" s="430" t="str">
        <f t="shared" ca="1" si="2"/>
        <v>hermine</v>
      </c>
      <c r="D13" s="430" t="str">
        <f t="shared" ca="1" si="3"/>
        <v>sable</v>
      </c>
      <c r="E13" s="430" t="str">
        <f t="shared" ca="1" si="4"/>
        <v xml:space="preserve"> </v>
      </c>
      <c r="F13" s="430">
        <f t="shared" ca="1" si="5"/>
        <v>2</v>
      </c>
      <c r="G13" s="430" t="str">
        <f t="shared" ca="1" si="6"/>
        <v>Aquilon</v>
      </c>
      <c r="H13" s="430" t="str">
        <f t="shared" ca="1" si="7"/>
        <v>Anneaux</v>
      </c>
      <c r="I13" s="429" t="str">
        <f t="shared" ca="1" si="8"/>
        <v xml:space="preserve"> </v>
      </c>
    </row>
    <row r="14" spans="1:9" ht="36.6" customHeight="1">
      <c r="A14" s="431" t="str">
        <f t="shared" ca="1" si="0"/>
        <v>écu</v>
      </c>
      <c r="B14" s="430" t="str">
        <f t="shared" ca="1" si="1"/>
        <v>Mantel</v>
      </c>
      <c r="C14" s="430" t="str">
        <f t="shared" ca="1" si="2"/>
        <v>or</v>
      </c>
      <c r="D14" s="430" t="str">
        <f t="shared" ca="1" si="3"/>
        <v>or</v>
      </c>
      <c r="E14" s="430" t="str">
        <f t="shared" ca="1" si="4"/>
        <v xml:space="preserve"> </v>
      </c>
      <c r="F14" s="430">
        <f t="shared" ca="1" si="5"/>
        <v>0</v>
      </c>
      <c r="G14" s="430" t="str">
        <f t="shared" ca="1" si="6"/>
        <v xml:space="preserve"> </v>
      </c>
      <c r="H14" s="430" t="str">
        <f t="shared" ca="1" si="7"/>
        <v xml:space="preserve"> </v>
      </c>
      <c r="I14" s="429" t="str">
        <f t="shared" ca="1" si="8"/>
        <v xml:space="preserve"> </v>
      </c>
    </row>
    <row r="15" spans="1:9" ht="36.6" customHeight="1">
      <c r="A15" s="431" t="str">
        <f t="shared" ca="1" si="0"/>
        <v>carré</v>
      </c>
      <c r="B15" s="430" t="str">
        <f t="shared" ca="1" si="1"/>
        <v>Champagne</v>
      </c>
      <c r="C15" s="430" t="str">
        <f t="shared" ca="1" si="2"/>
        <v>argent</v>
      </c>
      <c r="D15" s="430" t="str">
        <f t="shared" ca="1" si="3"/>
        <v>argent</v>
      </c>
      <c r="E15" s="430" t="str">
        <f t="shared" ca="1" si="4"/>
        <v xml:space="preserve"> </v>
      </c>
      <c r="F15" s="430">
        <f t="shared" ca="1" si="5"/>
        <v>3</v>
      </c>
      <c r="G15" s="430" t="str">
        <f t="shared" ca="1" si="6"/>
        <v>Besants</v>
      </c>
      <c r="H15" s="430" t="str">
        <f t="shared" ca="1" si="7"/>
        <v>Léopard</v>
      </c>
      <c r="I15" s="429" t="str">
        <f t="shared" ca="1" si="8"/>
        <v>Anneaux</v>
      </c>
    </row>
    <row r="16" spans="1:9" ht="36.6" customHeight="1">
      <c r="A16" s="431" t="str">
        <f t="shared" ca="1" si="0"/>
        <v>triangle</v>
      </c>
      <c r="B16" s="430" t="str">
        <f t="shared" ca="1" si="1"/>
        <v>Componé</v>
      </c>
      <c r="C16" s="430" t="str">
        <f t="shared" ca="1" si="2"/>
        <v>or</v>
      </c>
      <c r="D16" s="430" t="str">
        <f t="shared" ca="1" si="3"/>
        <v>azur</v>
      </c>
      <c r="E16" s="430" t="str">
        <f t="shared" ca="1" si="4"/>
        <v xml:space="preserve"> </v>
      </c>
      <c r="F16" s="430">
        <f t="shared" ca="1" si="5"/>
        <v>0</v>
      </c>
      <c r="G16" s="430" t="str">
        <f t="shared" ca="1" si="6"/>
        <v xml:space="preserve"> </v>
      </c>
      <c r="H16" s="430" t="str">
        <f t="shared" ca="1" si="7"/>
        <v xml:space="preserve"> </v>
      </c>
      <c r="I16" s="429" t="str">
        <f t="shared" ca="1" si="8"/>
        <v xml:space="preserve"> </v>
      </c>
    </row>
    <row r="17" spans="1:9" ht="36.6" customHeight="1">
      <c r="A17" s="431" t="str">
        <f t="shared" ca="1" si="0"/>
        <v>écu carré</v>
      </c>
      <c r="B17" s="430" t="str">
        <f t="shared" ca="1" si="1"/>
        <v>Alésé</v>
      </c>
      <c r="C17" s="430" t="str">
        <f t="shared" ca="1" si="2"/>
        <v>orangé</v>
      </c>
      <c r="D17" s="430" t="str">
        <f t="shared" ca="1" si="3"/>
        <v>argent</v>
      </c>
      <c r="E17" s="430" t="str">
        <f t="shared" ca="1" si="4"/>
        <v xml:space="preserve"> </v>
      </c>
      <c r="F17" s="430">
        <f t="shared" ca="1" si="5"/>
        <v>2</v>
      </c>
      <c r="G17" s="430" t="str">
        <f t="shared" ca="1" si="6"/>
        <v>Dague</v>
      </c>
      <c r="H17" s="430" t="str">
        <f t="shared" ca="1" si="7"/>
        <v>Armes</v>
      </c>
      <c r="I17" s="429" t="str">
        <f t="shared" ca="1" si="8"/>
        <v xml:space="preserve"> </v>
      </c>
    </row>
    <row r="18" spans="1:9" ht="36.6" customHeight="1">
      <c r="A18" s="431" t="str">
        <f t="shared" ca="1" si="0"/>
        <v>écu</v>
      </c>
      <c r="B18" s="430" t="str">
        <f t="shared" ca="1" si="1"/>
        <v>Vêtement</v>
      </c>
      <c r="C18" s="430" t="str">
        <f t="shared" ca="1" si="2"/>
        <v>contre vairé</v>
      </c>
      <c r="D18" s="430" t="str">
        <f t="shared" ca="1" si="3"/>
        <v>or</v>
      </c>
      <c r="E18" s="430" t="str">
        <f t="shared" ca="1" si="4"/>
        <v xml:space="preserve"> </v>
      </c>
      <c r="F18" s="430">
        <f t="shared" ca="1" si="5"/>
        <v>3</v>
      </c>
      <c r="G18" s="430" t="str">
        <f t="shared" ca="1" si="6"/>
        <v>Aquilon</v>
      </c>
      <c r="H18" s="430" t="str">
        <f t="shared" ca="1" si="7"/>
        <v>Foi</v>
      </c>
      <c r="I18" s="429" t="str">
        <f t="shared" ca="1" si="8"/>
        <v>Merlettes</v>
      </c>
    </row>
    <row r="19" spans="1:9" ht="36.6" customHeight="1">
      <c r="A19" s="431" t="str">
        <f t="shared" ca="1" si="0"/>
        <v>écu carré</v>
      </c>
      <c r="B19" s="430" t="str">
        <f t="shared" ca="1" si="1"/>
        <v>Champagne</v>
      </c>
      <c r="C19" s="430" t="str">
        <f t="shared" ca="1" si="2"/>
        <v>contre vairé</v>
      </c>
      <c r="D19" s="430" t="str">
        <f t="shared" ca="1" si="3"/>
        <v>or</v>
      </c>
      <c r="E19" s="430" t="str">
        <f t="shared" ca="1" si="4"/>
        <v xml:space="preserve"> </v>
      </c>
      <c r="F19" s="430">
        <f t="shared" ca="1" si="5"/>
        <v>1</v>
      </c>
      <c r="G19" s="430" t="str">
        <f t="shared" ca="1" si="6"/>
        <v>Dextrochère</v>
      </c>
      <c r="H19" s="430" t="str">
        <f t="shared" ca="1" si="7"/>
        <v xml:space="preserve"> </v>
      </c>
      <c r="I19" s="429" t="str">
        <f t="shared" ca="1" si="8"/>
        <v xml:space="preserve"> </v>
      </c>
    </row>
    <row r="20" spans="1:9" ht="36.6" customHeight="1">
      <c r="A20" s="431" t="str">
        <f t="shared" ca="1" si="0"/>
        <v>carré</v>
      </c>
      <c r="B20" s="430" t="str">
        <f t="shared" ca="1" si="1"/>
        <v>Chevron</v>
      </c>
      <c r="C20" s="430" t="str">
        <f t="shared" ca="1" si="2"/>
        <v>gueules</v>
      </c>
      <c r="D20" s="430" t="str">
        <f t="shared" ca="1" si="3"/>
        <v>gueules</v>
      </c>
      <c r="E20" s="430" t="str">
        <f t="shared" ca="1" si="4"/>
        <v xml:space="preserve"> </v>
      </c>
      <c r="F20" s="430">
        <f t="shared" ca="1" si="5"/>
        <v>0</v>
      </c>
      <c r="G20" s="430" t="str">
        <f t="shared" ca="1" si="6"/>
        <v xml:space="preserve"> </v>
      </c>
      <c r="H20" s="430" t="str">
        <f t="shared" ca="1" si="7"/>
        <v xml:space="preserve"> </v>
      </c>
      <c r="I20" s="429" t="str">
        <f t="shared" ca="1" si="8"/>
        <v xml:space="preserve"> </v>
      </c>
    </row>
  </sheetData>
  <pageMargins left="0.25" right="0.25" top="0.75" bottom="0.75" header="0.3" footer="0.3"/>
  <pageSetup paperSize="9" orientation="portrait" horizontalDpi="300" verticalDpi="300" r:id="rId1"/>
  <headerFooter>
    <oddFooter>&amp;C_x000D_&amp;1#&amp;"Arial"&amp;9&amp;K000000 Internal</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workbookViewId="0">
      <selection activeCell="B17" sqref="B17"/>
    </sheetView>
  </sheetViews>
  <sheetFormatPr baseColWidth="10" defaultColWidth="9.109375" defaultRowHeight="14.4"/>
  <cols>
    <col min="1" max="1" width="20.88671875" style="261" bestFit="1" customWidth="1"/>
    <col min="2" max="2" width="16.33203125" style="110" customWidth="1"/>
    <col min="5" max="7" width="17.33203125" style="668" customWidth="1"/>
  </cols>
  <sheetData>
    <row r="1" spans="1:7" ht="15" thickBot="1">
      <c r="A1" s="258" t="s">
        <v>2190</v>
      </c>
      <c r="B1" s="259" t="s">
        <v>1642</v>
      </c>
      <c r="D1" s="514">
        <v>0</v>
      </c>
      <c r="E1" s="664" t="s">
        <v>2418</v>
      </c>
      <c r="F1" s="665" t="s">
        <v>2419</v>
      </c>
      <c r="G1" s="665" t="s">
        <v>2420</v>
      </c>
    </row>
    <row r="2" spans="1:7" ht="15" thickBot="1">
      <c r="A2" s="258" t="s">
        <v>2191</v>
      </c>
      <c r="B2" s="260" t="s">
        <v>343</v>
      </c>
      <c r="D2" s="514" t="s">
        <v>344</v>
      </c>
      <c r="E2" s="669" t="s">
        <v>2224</v>
      </c>
      <c r="F2" s="669" t="s">
        <v>574</v>
      </c>
      <c r="G2" s="669" t="s">
        <v>593</v>
      </c>
    </row>
    <row r="3" spans="1:7" ht="15" thickBot="1">
      <c r="D3" s="515" t="s">
        <v>343</v>
      </c>
      <c r="E3" s="667" t="s">
        <v>603</v>
      </c>
      <c r="F3" s="667" t="s">
        <v>597</v>
      </c>
      <c r="G3" s="667" t="s">
        <v>579</v>
      </c>
    </row>
    <row r="4" spans="1:7" ht="15" thickBot="1">
      <c r="A4" s="262" t="s">
        <v>2192</v>
      </c>
      <c r="B4" s="263" t="s">
        <v>2223</v>
      </c>
      <c r="D4" s="515" t="s">
        <v>1642</v>
      </c>
      <c r="E4" s="666" t="s">
        <v>2223</v>
      </c>
      <c r="F4" s="666" t="s">
        <v>608</v>
      </c>
      <c r="G4" s="666" t="s">
        <v>613</v>
      </c>
    </row>
    <row r="5" spans="1:7" ht="15" thickBot="1">
      <c r="A5" s="262" t="s">
        <v>2193</v>
      </c>
      <c r="B5" s="264" t="s">
        <v>565</v>
      </c>
      <c r="D5" s="515" t="s">
        <v>342</v>
      </c>
      <c r="E5" s="667" t="s">
        <v>611</v>
      </c>
      <c r="F5" s="667" t="s">
        <v>2421</v>
      </c>
      <c r="G5" s="667" t="s">
        <v>2219</v>
      </c>
    </row>
    <row r="6" spans="1:7" ht="15" thickBot="1">
      <c r="A6" s="262" t="s">
        <v>2194</v>
      </c>
      <c r="B6" s="260" t="s">
        <v>613</v>
      </c>
      <c r="D6" s="515" t="s">
        <v>341</v>
      </c>
      <c r="E6" s="666" t="s">
        <v>572</v>
      </c>
      <c r="F6" s="666" t="s">
        <v>2422</v>
      </c>
      <c r="G6" s="666" t="s">
        <v>601</v>
      </c>
    </row>
    <row r="7" spans="1:7" ht="15" thickBot="1">
      <c r="D7" s="515" t="s">
        <v>340</v>
      </c>
      <c r="E7" s="667" t="s">
        <v>575</v>
      </c>
      <c r="F7" s="667" t="s">
        <v>612</v>
      </c>
      <c r="G7" s="667" t="s">
        <v>2216</v>
      </c>
    </row>
    <row r="8" spans="1:7" ht="15" thickBot="1">
      <c r="D8" s="515" t="s">
        <v>338</v>
      </c>
      <c r="E8" s="666" t="s">
        <v>586</v>
      </c>
      <c r="F8" s="666" t="s">
        <v>607</v>
      </c>
      <c r="G8" s="666" t="s">
        <v>587</v>
      </c>
    </row>
    <row r="9" spans="1:7" ht="15" thickBot="1">
      <c r="A9" s="265" t="s">
        <v>2195</v>
      </c>
      <c r="B9" s="259">
        <v>3600</v>
      </c>
      <c r="D9" s="515" t="s">
        <v>335</v>
      </c>
      <c r="E9" s="667" t="s">
        <v>596</v>
      </c>
      <c r="F9" s="667" t="s">
        <v>602</v>
      </c>
      <c r="G9" s="667" t="s">
        <v>2213</v>
      </c>
    </row>
    <row r="10" spans="1:7" ht="15" thickBot="1">
      <c r="A10" s="265" t="s">
        <v>2196</v>
      </c>
      <c r="B10" s="260">
        <v>4400</v>
      </c>
      <c r="D10" s="515" t="s">
        <v>334</v>
      </c>
      <c r="E10" s="666" t="s">
        <v>594</v>
      </c>
      <c r="F10" s="666" t="s">
        <v>565</v>
      </c>
      <c r="G10" s="666" t="s">
        <v>564</v>
      </c>
    </row>
    <row r="11" spans="1:7" ht="15" thickBot="1">
      <c r="D11" s="515" t="s">
        <v>333</v>
      </c>
      <c r="E11" s="667" t="s">
        <v>633</v>
      </c>
      <c r="F11" s="667" t="s">
        <v>623</v>
      </c>
      <c r="G11" s="667" t="s">
        <v>598</v>
      </c>
    </row>
    <row r="12" spans="1:7" ht="15" thickBot="1">
      <c r="A12" s="262" t="s">
        <v>2197</v>
      </c>
      <c r="B12" s="266">
        <v>1</v>
      </c>
      <c r="D12" s="515" t="s">
        <v>331</v>
      </c>
      <c r="E12" s="670">
        <v>0</v>
      </c>
      <c r="F12" s="670">
        <v>0</v>
      </c>
      <c r="G12" s="670">
        <v>0</v>
      </c>
    </row>
    <row r="13" spans="1:7" ht="15" thickBot="1">
      <c r="C13" s="78"/>
      <c r="D13" s="516" t="s">
        <v>330</v>
      </c>
    </row>
    <row r="14" spans="1:7" ht="15" thickBot="1">
      <c r="A14" s="262" t="s">
        <v>2198</v>
      </c>
      <c r="B14" s="266">
        <v>1.3</v>
      </c>
      <c r="D14" s="106" t="s">
        <v>2100</v>
      </c>
    </row>
    <row r="15" spans="1:7" ht="15" thickBot="1">
      <c r="C15" s="78"/>
    </row>
    <row r="16" spans="1:7" ht="15" thickBot="1">
      <c r="A16" s="262" t="s">
        <v>1311</v>
      </c>
      <c r="B16" s="266">
        <v>1.1000000000000001</v>
      </c>
    </row>
    <row r="17" spans="1:2" ht="15" thickBot="1">
      <c r="A17" s="220"/>
    </row>
    <row r="18" spans="1:2" ht="15" thickBot="1">
      <c r="A18" s="262" t="s">
        <v>2199</v>
      </c>
      <c r="B18" s="266">
        <v>0</v>
      </c>
    </row>
    <row r="20" spans="1:2" ht="15" thickBot="1"/>
    <row r="21" spans="1:2" ht="15" thickBot="1">
      <c r="A21" s="262" t="s">
        <v>2200</v>
      </c>
      <c r="B21" s="266">
        <v>0</v>
      </c>
    </row>
    <row r="22" spans="1:2" ht="15" thickBot="1"/>
    <row r="23" spans="1:2" ht="15" thickBot="1">
      <c r="A23" s="262" t="s">
        <v>2201</v>
      </c>
      <c r="B23" s="266">
        <v>2</v>
      </c>
    </row>
    <row r="24" spans="1:2">
      <c r="A24" s="220"/>
    </row>
  </sheetData>
  <dataValidations count="5">
    <dataValidation type="list" allowBlank="1" showErrorMessage="1" promptTitle="Terrain Dominant" prompt="Choisissez un terrain" sqref="B1">
      <formula1>$D$1:$D$13</formula1>
    </dataValidation>
    <dataValidation type="list" allowBlank="1" showInputMessage="1" showErrorMessage="1" sqref="B2">
      <formula1>$D$1:$D$13</formula1>
    </dataValidation>
    <dataValidation type="list" allowBlank="1" showInputMessage="1" showErrorMessage="1" sqref="B4">
      <formula1>$E$2:$E$12</formula1>
    </dataValidation>
    <dataValidation type="list" allowBlank="1" showInputMessage="1" showErrorMessage="1" sqref="B5">
      <formula1>$F$2:$F$12</formula1>
    </dataValidation>
    <dataValidation type="list" allowBlank="1" showInputMessage="1" showErrorMessage="1" sqref="B6">
      <formula1>$G$2:$G$12</formula1>
    </dataValidation>
  </dataValidations>
  <pageMargins left="0.7" right="0.7" top="0.75" bottom="0.75" header="0.3" footer="0.3"/>
  <pageSetup paperSize="9" orientation="portrait" horizontalDpi="300" r:id="rId1"/>
  <headerFooter>
    <oddFooter>&amp;C_x000D_&amp;1#&amp;"Arial"&amp;9&amp;K000000 Internal</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L101"/>
  <sheetViews>
    <sheetView topLeftCell="A52" workbookViewId="0">
      <selection activeCell="B52" sqref="B52:Y52"/>
    </sheetView>
  </sheetViews>
  <sheetFormatPr baseColWidth="10" defaultColWidth="9.109375" defaultRowHeight="14.4"/>
  <cols>
    <col min="1" max="1" width="2" bestFit="1" customWidth="1"/>
    <col min="2" max="2" width="8.44140625" customWidth="1"/>
    <col min="3" max="3" width="4.33203125" hidden="1" customWidth="1"/>
    <col min="4" max="4" width="3.5546875" customWidth="1"/>
    <col min="5" max="5" width="8.44140625" customWidth="1"/>
    <col min="6" max="6" width="2.33203125" hidden="1" customWidth="1"/>
    <col min="7" max="7" width="3.5546875" customWidth="1"/>
    <col min="8" max="8" width="8.44140625" customWidth="1"/>
    <col min="9" max="9" width="2.33203125" hidden="1" customWidth="1"/>
    <col min="10" max="10" width="3.5546875" customWidth="1"/>
    <col min="11" max="11" width="8.44140625" customWidth="1"/>
    <col min="12" max="12" width="2.33203125" hidden="1" customWidth="1"/>
    <col min="13" max="13" width="3.5546875" customWidth="1"/>
    <col min="14" max="14" width="8.44140625" customWidth="1"/>
    <col min="15" max="15" width="2.33203125" hidden="1" customWidth="1"/>
    <col min="16" max="16" width="3.5546875" customWidth="1"/>
    <col min="17" max="17" width="8.44140625" customWidth="1"/>
    <col min="18" max="18" width="2.33203125" hidden="1" customWidth="1"/>
    <col min="19" max="19" width="3.5546875" customWidth="1"/>
    <col min="20" max="20" width="8.44140625" customWidth="1"/>
    <col min="21" max="21" width="3.109375" hidden="1" customWidth="1"/>
    <col min="22" max="22" width="3.5546875" customWidth="1"/>
    <col min="23" max="23" width="8.44140625" customWidth="1"/>
    <col min="24" max="24" width="3.109375" hidden="1" customWidth="1"/>
    <col min="25" max="25" width="3.5546875" customWidth="1"/>
    <col min="26" max="29" width="4.6640625" customWidth="1"/>
    <col min="30" max="30" width="6.6640625" customWidth="1"/>
    <col min="31" max="31" width="4.6640625" customWidth="1"/>
    <col min="32" max="45" width="4.6640625" hidden="1" customWidth="1"/>
    <col min="46" max="50" width="4.6640625" customWidth="1"/>
    <col min="51" max="51" width="2.6640625" bestFit="1" customWidth="1"/>
    <col min="52" max="52" width="3" bestFit="1" customWidth="1"/>
    <col min="53" max="53" width="2.33203125" bestFit="1" customWidth="1"/>
    <col min="54" max="54" width="3.33203125" bestFit="1" customWidth="1"/>
    <col min="55" max="55" width="2.88671875" bestFit="1" customWidth="1"/>
    <col min="56" max="56" width="2.6640625" bestFit="1" customWidth="1"/>
    <col min="57" max="58" width="3" bestFit="1" customWidth="1"/>
    <col min="59" max="59" width="2.5546875" bestFit="1" customWidth="1"/>
    <col min="60" max="60" width="2.6640625" bestFit="1" customWidth="1"/>
    <col min="61" max="61" width="3.109375" bestFit="1" customWidth="1"/>
    <col min="62" max="71" width="4.88671875" customWidth="1"/>
    <col min="72" max="72" width="2.6640625" bestFit="1" customWidth="1"/>
    <col min="73" max="73" width="3.33203125" bestFit="1" customWidth="1"/>
    <col min="74" max="74" width="2.88671875" bestFit="1" customWidth="1"/>
    <col min="75" max="75" width="3.33203125" bestFit="1" customWidth="1"/>
    <col min="76" max="77" width="2.88671875" bestFit="1" customWidth="1"/>
    <col min="78" max="78" width="3" bestFit="1" customWidth="1"/>
    <col min="79" max="81" width="2.88671875" bestFit="1" customWidth="1"/>
    <col min="82" max="82" width="4.33203125" customWidth="1"/>
  </cols>
  <sheetData>
    <row r="1" spans="2:90" s="78" customFormat="1" ht="10.8" hidden="1" thickBot="1">
      <c r="BT1" s="78" t="s">
        <v>2492</v>
      </c>
      <c r="BU1" s="78" t="s">
        <v>2494</v>
      </c>
      <c r="BV1" s="78" t="s">
        <v>2478</v>
      </c>
      <c r="BW1" s="78" t="s">
        <v>2498</v>
      </c>
      <c r="BX1" s="78" t="s">
        <v>2500</v>
      </c>
      <c r="BY1" s="78" t="s">
        <v>2501</v>
      </c>
      <c r="BZ1" s="78" t="s">
        <v>2512</v>
      </c>
      <c r="CA1" s="78" t="s">
        <v>2507</v>
      </c>
      <c r="CB1" s="78" t="s">
        <v>2509</v>
      </c>
      <c r="CC1" s="78" t="s">
        <v>2504</v>
      </c>
    </row>
    <row r="2" spans="2:90" s="78" customFormat="1" ht="10.8" hidden="1" thickBot="1">
      <c r="H2" s="672" t="s">
        <v>2433</v>
      </c>
      <c r="I2" s="767"/>
      <c r="J2" s="767"/>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755" t="s">
        <v>2203</v>
      </c>
      <c r="AP2" s="755"/>
      <c r="AQ2" s="755"/>
      <c r="AR2" s="755"/>
      <c r="AS2" s="755"/>
      <c r="AT2" s="755"/>
      <c r="AU2" s="755"/>
      <c r="AV2" s="755"/>
      <c r="AW2" s="755"/>
      <c r="AX2" s="755"/>
      <c r="AY2" s="755" t="s">
        <v>2480</v>
      </c>
      <c r="AZ2" s="755" t="s">
        <v>2481</v>
      </c>
      <c r="BA2" s="755" t="s">
        <v>2482</v>
      </c>
      <c r="BB2" s="755" t="s">
        <v>2483</v>
      </c>
      <c r="BC2" s="755" t="s">
        <v>2484</v>
      </c>
      <c r="BD2" s="755" t="s">
        <v>2485</v>
      </c>
      <c r="BE2" s="755" t="s">
        <v>2486</v>
      </c>
      <c r="BF2" s="755" t="s">
        <v>2487</v>
      </c>
      <c r="BG2" s="755" t="s">
        <v>2488</v>
      </c>
      <c r="BH2" s="755" t="s">
        <v>2489</v>
      </c>
      <c r="BI2" s="755"/>
      <c r="BJ2" s="756" t="s">
        <v>2202</v>
      </c>
      <c r="BK2" s="756"/>
      <c r="BL2" s="756"/>
      <c r="BM2" s="756"/>
      <c r="BN2" s="756"/>
      <c r="BO2" s="756"/>
      <c r="BP2" s="756"/>
      <c r="BQ2" s="756"/>
      <c r="BR2" s="756"/>
      <c r="BS2" s="757"/>
      <c r="BT2" s="78" t="s">
        <v>2493</v>
      </c>
      <c r="BU2" s="78" t="s">
        <v>2495</v>
      </c>
      <c r="BV2" s="78" t="s">
        <v>2496</v>
      </c>
      <c r="BW2" s="78" t="s">
        <v>2497</v>
      </c>
      <c r="BX2" s="78" t="s">
        <v>2499</v>
      </c>
      <c r="BY2" s="78" t="s">
        <v>299</v>
      </c>
      <c r="BZ2" s="78" t="s">
        <v>2503</v>
      </c>
      <c r="CA2" s="187" t="s">
        <v>2506</v>
      </c>
      <c r="CB2" s="187" t="s">
        <v>2508</v>
      </c>
      <c r="CC2" s="78" t="s">
        <v>2511</v>
      </c>
      <c r="CF2" s="187"/>
      <c r="CI2" s="187"/>
      <c r="CL2" s="187"/>
    </row>
    <row r="3" spans="2:90" s="78" customFormat="1" ht="15.6" hidden="1" customHeight="1" thickBot="1">
      <c r="B3" s="754" t="s">
        <v>2468</v>
      </c>
      <c r="C3" s="754"/>
      <c r="D3" s="754"/>
      <c r="E3" s="688" t="s">
        <v>2005</v>
      </c>
      <c r="F3" s="765"/>
      <c r="G3" s="765"/>
      <c r="H3" s="671" t="s">
        <v>2224</v>
      </c>
      <c r="I3" s="674"/>
      <c r="J3" s="674"/>
      <c r="K3" s="674" t="s">
        <v>603</v>
      </c>
      <c r="L3" s="674"/>
      <c r="M3" s="674"/>
      <c r="N3" s="674" t="s">
        <v>2223</v>
      </c>
      <c r="O3" s="674"/>
      <c r="P3" s="674"/>
      <c r="Q3" s="674" t="s">
        <v>611</v>
      </c>
      <c r="R3" s="674"/>
      <c r="S3" s="674"/>
      <c r="T3" s="674" t="s">
        <v>572</v>
      </c>
      <c r="U3" s="674"/>
      <c r="V3" s="674"/>
      <c r="W3" s="674" t="s">
        <v>575</v>
      </c>
      <c r="X3" s="674"/>
      <c r="Y3" s="674"/>
      <c r="Z3" s="674" t="s">
        <v>586</v>
      </c>
      <c r="AA3" s="674" t="s">
        <v>596</v>
      </c>
      <c r="AB3" s="674" t="s">
        <v>594</v>
      </c>
      <c r="AC3" s="674" t="s">
        <v>633</v>
      </c>
      <c r="AD3" s="743" t="s">
        <v>2455</v>
      </c>
      <c r="AE3" s="744" t="s">
        <v>2456</v>
      </c>
      <c r="AF3" s="744" t="s">
        <v>2457</v>
      </c>
      <c r="AG3" s="744" t="s">
        <v>2458</v>
      </c>
      <c r="AH3" s="744" t="s">
        <v>2459</v>
      </c>
      <c r="AI3" s="744" t="s">
        <v>2460</v>
      </c>
      <c r="AJ3" s="744" t="s">
        <v>2461</v>
      </c>
      <c r="AK3" s="744" t="s">
        <v>2462</v>
      </c>
      <c r="AL3" s="744" t="s">
        <v>2463</v>
      </c>
      <c r="AM3" s="745" t="s">
        <v>2464</v>
      </c>
      <c r="AN3" s="761" t="s">
        <v>2468</v>
      </c>
      <c r="AO3" s="675" t="s">
        <v>574</v>
      </c>
      <c r="AP3" s="675" t="s">
        <v>597</v>
      </c>
      <c r="AQ3" s="675" t="s">
        <v>608</v>
      </c>
      <c r="AR3" s="675" t="s">
        <v>619</v>
      </c>
      <c r="AS3" s="675" t="s">
        <v>640</v>
      </c>
      <c r="AT3" s="675" t="s">
        <v>2474</v>
      </c>
      <c r="AU3" s="675" t="s">
        <v>2424</v>
      </c>
      <c r="AV3" s="675" t="s">
        <v>602</v>
      </c>
      <c r="AW3" s="675" t="s">
        <v>565</v>
      </c>
      <c r="AX3" s="675" t="s">
        <v>623</v>
      </c>
      <c r="AY3" s="750" t="s">
        <v>2465</v>
      </c>
      <c r="AZ3" s="751" t="s">
        <v>2466</v>
      </c>
      <c r="BA3" s="751" t="s">
        <v>2467</v>
      </c>
      <c r="BB3" s="751" t="s">
        <v>2469</v>
      </c>
      <c r="BC3" s="751" t="s">
        <v>2470</v>
      </c>
      <c r="BD3" s="751" t="s">
        <v>2475</v>
      </c>
      <c r="BE3" s="751" t="s">
        <v>2471</v>
      </c>
      <c r="BF3" s="751" t="s">
        <v>2472</v>
      </c>
      <c r="BG3" s="751" t="s">
        <v>299</v>
      </c>
      <c r="BH3" s="752" t="s">
        <v>2473</v>
      </c>
      <c r="BI3" s="759" t="s">
        <v>2468</v>
      </c>
      <c r="BJ3" s="676" t="s">
        <v>593</v>
      </c>
      <c r="BK3" s="676" t="s">
        <v>579</v>
      </c>
      <c r="BL3" s="676" t="s">
        <v>613</v>
      </c>
      <c r="BM3" s="676" t="s">
        <v>2423</v>
      </c>
      <c r="BN3" s="676" t="s">
        <v>601</v>
      </c>
      <c r="BO3" s="676" t="s">
        <v>2425</v>
      </c>
      <c r="BP3" s="676" t="s">
        <v>587</v>
      </c>
      <c r="BQ3" s="676" t="s">
        <v>2426</v>
      </c>
      <c r="BR3" s="676" t="s">
        <v>564</v>
      </c>
      <c r="BS3" s="677" t="s">
        <v>598</v>
      </c>
      <c r="BT3" s="78" t="s">
        <v>2491</v>
      </c>
      <c r="BU3" s="78" t="s">
        <v>2477</v>
      </c>
      <c r="BV3" s="78" t="s">
        <v>2478</v>
      </c>
      <c r="BW3" s="78" t="s">
        <v>2479</v>
      </c>
      <c r="BX3" s="78" t="s">
        <v>1386</v>
      </c>
      <c r="BY3" s="78" t="s">
        <v>299</v>
      </c>
      <c r="BZ3" s="78" t="s">
        <v>2502</v>
      </c>
      <c r="CA3" s="187" t="s">
        <v>2505</v>
      </c>
      <c r="CB3" s="187" t="s">
        <v>2489</v>
      </c>
      <c r="CC3" s="78" t="s">
        <v>2510</v>
      </c>
      <c r="CD3" s="753" t="s">
        <v>2468</v>
      </c>
      <c r="CF3" s="187"/>
      <c r="CI3" s="187"/>
      <c r="CL3" s="187"/>
    </row>
    <row r="4" spans="2:90" s="78" customFormat="1" ht="10.8" hidden="1" thickBot="1">
      <c r="E4" s="689" t="s">
        <v>2222</v>
      </c>
      <c r="F4" s="766"/>
      <c r="G4" s="766"/>
      <c r="H4" s="662">
        <v>80</v>
      </c>
      <c r="I4" s="391"/>
      <c r="J4" s="391"/>
      <c r="K4" s="391">
        <v>80</v>
      </c>
      <c r="L4" s="391"/>
      <c r="M4" s="391"/>
      <c r="N4" s="391">
        <v>80</v>
      </c>
      <c r="O4" s="391"/>
      <c r="P4" s="391"/>
      <c r="Q4" s="391">
        <v>40</v>
      </c>
      <c r="R4" s="391"/>
      <c r="S4" s="391"/>
      <c r="T4" s="391">
        <v>10</v>
      </c>
      <c r="U4" s="391"/>
      <c r="V4" s="391"/>
      <c r="W4" s="391">
        <v>10</v>
      </c>
      <c r="X4" s="391"/>
      <c r="Y4" s="391"/>
      <c r="Z4" s="391">
        <v>20</v>
      </c>
      <c r="AA4" s="391">
        <v>5</v>
      </c>
      <c r="AB4" s="391">
        <v>10</v>
      </c>
      <c r="AC4" s="690">
        <v>10</v>
      </c>
      <c r="AD4" s="746">
        <f t="shared" ref="AD4:AD23" ca="1" si="0">IF($AG$56=AD$3,($AG$54/5)*(H4/H$24),0)+IF($AH$56=AD$3,($AG$54/5)*(H4/H$24),0)+IF($AI$56=AD$3,($AG$54/5)*(H4/H$24),0)+IF($AJ$56=AD$3,($AG$54/5)*(H4/H$24),0)</f>
        <v>0</v>
      </c>
      <c r="AE4" s="416">
        <f t="shared" ref="AE4:AE23" ca="1" si="1">IF($AG$56=AE$3,($AG$54/5)*(K4/K$24),0)+IF($AH$56=AE$3,($AG$54/5)*(K4/K$24),0)+IF($AI$56=AE$3,($AG$54/5)*(K4/K$24),0)+IF($AJ$56=AE$3,($AG$54/5)*(K4/K$24),0)</f>
        <v>0</v>
      </c>
      <c r="AF4" s="416">
        <f t="shared" ref="AF4:AF23" ca="1" si="2">IF($AG$56=AF$3,($AG$54/5)*(N4/N$24),0)+IF($AH$56=AF$3,($AG$54/5)*(N4/N$24),0)+IF($AI$56=AF$3,($AG$54/5)*(N4/N$24),0)+IF($AJ$56=AF$3,($AG$54/5)*(N4/N$24),0)</f>
        <v>0</v>
      </c>
      <c r="AG4" s="416">
        <f t="shared" ref="AG4:AG23" ca="1" si="3">IF($AG$56=AG$3,($AG$54/5)*(Q4/Q$24),0)+IF($AH$56=AG$3,($AG$54/5)*(Q4/Q$24),0)+IF($AI$56=AG$3,($AG$54/5)*(Q4/Q$24),0)+IF($AJ$56=AG$3,($AG$54/5)*(Q4/Q$24),0)</f>
        <v>0</v>
      </c>
      <c r="AH4" s="416">
        <f t="shared" ref="AH4:AH23" ca="1" si="4">IF($AG$56=AH$3,($AG$54/5)*(T4/T$24),0)+IF($AH$56=AH$3,($AG$54/5)*(T4/T$24),0)+IF($AI$56=AH$3,($AG$54/5)*(T4/T$24),0)+IF($AJ$56=AH$3,($AG$54/5)*(T4/T$24),0)</f>
        <v>0</v>
      </c>
      <c r="AI4" s="416">
        <f t="shared" ref="AI4:AI23" ca="1" si="5">IF($AG$56=AI$3,($AG$54/5)*(W4/W$24),0)+IF($AH$56=AI$3,($AG$54/5)*(W4/W$24),0)+IF($AI$56=AI$3,($AG$54/5)*(W4/W$24),0)+IF($AJ$56=AI$3,($AG$54/5)*(W4/W$24),0)</f>
        <v>0</v>
      </c>
      <c r="AJ4" s="416">
        <f t="shared" ref="AJ4:AJ23" ca="1" si="6">IF($AG$56=AJ$3,($AG$54/5)*(Z4/Z$24),0)+IF($AH$56=AJ$3,($AG$54/5)*(Z4/Z$24),0)+IF($AI$56=AJ$3,($AG$54/5)*(Z4/Z$24),0)+IF($AJ$56=AJ$3,($AG$54/5)*(Z4/Z$24),0)</f>
        <v>0</v>
      </c>
      <c r="AK4" s="416">
        <f t="shared" ref="AK4:AK23" ca="1" si="7">IF($AG$56=AK$3,($AG$54/5)*(AA4/AA$24),0)+IF($AH$56=AK$3,($AG$54/5)*(AA4/AA$24),0)+IF($AI$56=AK$3,($AG$54/5)*(AA4/AA$24),0)+IF($AJ$56=AK$3,($AG$54/5)*(AA4/AA$24),0)</f>
        <v>0</v>
      </c>
      <c r="AL4" s="416">
        <f t="shared" ref="AL4:AL23" ca="1" si="8">IF($AG$56=AL$3,($AG$54/5)*(AB4/AB$24),0)+IF($AH$56=AL$3,($AG$54/5)*(AB4/AB$24),0)+IF($AI$56=AL$3,($AG$54/5)*(AB4/AB$24),0)+IF($AJ$56=AL$3,($AG$54/5)*(AB4/AB$24),0)</f>
        <v>0</v>
      </c>
      <c r="AM4" s="747">
        <f t="shared" ref="AM4:AM23" ca="1" si="9">IF($AG$56=AM$3,($AG$54/5)*(AC4/AC$24),0)+IF($AH$56=AM$3,($AG$54/5)*(AC4/AC$24),0)+IF($AI$56=AM$3,($AG$54/5)*(AC4/AC$24),0)+IF($AJ$56=AM$3,($AG$54/5)*(AC4/AC$24),0)</f>
        <v>0</v>
      </c>
      <c r="AN4" s="762">
        <f ca="1">RANDBETWEEN(50,100)/100*SUM(AD4:AM4)</f>
        <v>0</v>
      </c>
      <c r="AO4" s="662">
        <v>10</v>
      </c>
      <c r="AP4" s="391">
        <v>80</v>
      </c>
      <c r="AQ4" s="391">
        <v>20</v>
      </c>
      <c r="AR4" s="391">
        <v>10</v>
      </c>
      <c r="AS4" s="391">
        <v>20</v>
      </c>
      <c r="AT4" s="391">
        <v>20</v>
      </c>
      <c r="AU4" s="391">
        <v>10</v>
      </c>
      <c r="AV4" s="391">
        <v>20</v>
      </c>
      <c r="AW4" s="391">
        <v>10</v>
      </c>
      <c r="AX4" s="391">
        <v>80</v>
      </c>
      <c r="AY4" s="746">
        <f t="shared" ref="AY4:AY23" ca="1" si="10">IF(OR($AK$56=AY$3,$AK$56=AY$2),($AG$54/5)*(AO4/AO$24),0)+IF(OR($AL$56=AY$3,$AL$56=AY$2),($AG$54/5)*(AO4/AO$24),0)+IF(OR($AM$56=AY$3,$AM$56=AY$2),($AG$54/5)*(AO4/AO$24),0)+IF(OR($AN$56=AY$3,$AN$56=AY$2),($AG$54/5)*(AO4/AO$24),0)</f>
        <v>0</v>
      </c>
      <c r="AZ4" s="746">
        <f t="shared" ref="AZ4:AZ23" ca="1" si="11">IF(OR($AK$56=AZ$3,$AK$56=AZ$2),($AG$54/5)*(AP4/AP$24),0)+IF(OR($AL$56=AZ$3,$AL$56=AZ$2),($AG$54/5)*(AP4/AP$24),0)+IF(OR($AM$56=AZ$3,$AM$56=AZ$2),($AG$54/5)*(AP4/AP$24),0)+IF(OR($AN$56=AZ$3,$AN$56=AZ$2),($AG$54/5)*(AP4/AP$24),0)</f>
        <v>0</v>
      </c>
      <c r="BA4" s="746">
        <f t="shared" ref="BA4:BA23" ca="1" si="12">IF(OR($AK$56=BA$3,$AK$56=BA$2),($AG$54/5)*(AQ4/AQ$24),0)+IF(OR($AL$56=BA$3,$AL$56=BA$2),($AG$54/5)*(AQ4/AQ$24),0)+IF(OR($AM$56=BA$3,$AM$56=BA$2),($AG$54/5)*(AQ4/AQ$24),0)+IF(OR($AN$56=BA$3,$AN$56=BA$2),($AG$54/5)*(AQ4/AQ$24),0)</f>
        <v>0.47454545454545455</v>
      </c>
      <c r="BB4" s="746">
        <f t="shared" ref="BB4:BB23" ca="1" si="13">IF(OR($AK$56=BB$3,$AK$56=BB$2),($AG$54/5)*(AR4/AR$24),0)+IF(OR($AL$56=BB$3,$AL$56=BB$2),($AG$54/5)*(AR4/AR$24),0)+IF(OR($AM$56=BB$3,$AM$56=BB$2),($AG$54/5)*(AR4/AR$24),0)+IF(OR($AN$56=BB$3,$AN$56=BB$2),($AG$54/5)*(AR4/AR$24),0)</f>
        <v>0</v>
      </c>
      <c r="BC4" s="746">
        <f t="shared" ref="BC4:BC23" ca="1" si="14">IF(OR($AK$56=BC$3,$AK$56=BC$2),($AG$54/5)*(AS4/AS$24),0)+IF(OR($AL$56=BC$3,$AL$56=BC$2),($AG$54/5)*(AS4/AS$24),0)+IF(OR($AM$56=BC$3,$AM$56=BC$2),($AG$54/5)*(AS4/AS$24),0)+IF(OR($AN$56=BC$3,$AN$56=BC$2),($AG$54/5)*(AS4/AS$24),0)</f>
        <v>0</v>
      </c>
      <c r="BD4" s="746">
        <f t="shared" ref="BD4:BD23" ca="1" si="15">IF(OR($AK$56=BD$3,$AK$56=BD$2),($AG$54/5)*(AT4/AT$24),0)+IF(OR($AL$56=BD$3,$AL$56=BD$2),($AG$54/5)*(AT4/AT$24),0)+IF(OR($AM$56=BD$3,$AM$56=BD$2),($AG$54/5)*(AT4/AT$24),0)+IF(OR($AN$56=BD$3,$AN$56=BD$2),($AG$54/5)*(AT4/AT$24),0)</f>
        <v>0</v>
      </c>
      <c r="BE4" s="746">
        <f t="shared" ref="BE4:BE23" ca="1" si="16">IF(OR($AK$56=BE$3,$AK$56=BE$2),($AG$54/5)*(AU4/AU$24),0)+IF(OR($AL$56=BE$3,$AL$56=BE$2),($AG$54/5)*(AU4/AU$24),0)+IF(OR($AM$56=BE$3,$AM$56=BE$2),($AG$54/5)*(AU4/AU$24),0)+IF(OR($AN$56=BE$3,$AN$56=BE$2),($AG$54/5)*(AU4/AU$24),0)</f>
        <v>0</v>
      </c>
      <c r="BF4" s="746">
        <f t="shared" ref="BF4:BF23" ca="1" si="17">IF(OR($AK$56=BF$3,$AK$56=BF$2),($AG$54/5)*(AV4/AV$24),0)+IF(OR($AL$56=BF$3,$AL$56=BF$2),($AG$54/5)*(AV4/AV$24),0)+IF(OR($AM$56=BF$3,$AM$56=BF$2),($AG$54/5)*(AV4/AV$24),0)+IF(OR($AN$56=BF$3,$AN$56=BF$2),($AG$54/5)*(AV4/AV$24),0)</f>
        <v>0</v>
      </c>
      <c r="BG4" s="746">
        <f t="shared" ref="BG4:BG23" ca="1" si="18">IF(OR($AK$56=BG$3,$AK$56=BG$2),($AG$54/5)*(AW4/AW$24),0)+IF(OR($AL$56=BG$3,$AL$56=BG$2),($AG$54/5)*(AW4/AW$24),0)+IF(OR($AM$56=BG$3,$AM$56=BG$2),($AG$54/5)*(AW4/AW$24),0)+IF(OR($AN$56=BG$3,$AN$56=BG$2),($AG$54/5)*(AW4/AW$24),0)</f>
        <v>0.17399999999999999</v>
      </c>
      <c r="BH4" s="746">
        <f t="shared" ref="BH4:BH23" ca="1" si="19">IF(OR($AK$56=BH$3,$AK$56=BH$2),($AG$54/5)*(AX4/AX$24),0)+IF(OR($AL$56=BH$3,$AL$56=BH$2),($AG$54/5)*(AX4/AX$24),0)+IF(OR($AM$56=BH$3,$AM$56=BH$2),($AG$54/5)*(AX4/AX$24),0)+IF(OR($AN$56=BH$3,$AN$56=BH$2),($AG$54/5)*(AX4/AX$24),0)</f>
        <v>0</v>
      </c>
      <c r="BI4" s="760">
        <f ca="1">RANDBETWEEN(50,100)/100*SUM(AY4:BH4)</f>
        <v>0.57720545454545458</v>
      </c>
      <c r="BJ4" s="662">
        <v>5</v>
      </c>
      <c r="BK4" s="391">
        <v>5</v>
      </c>
      <c r="BL4" s="391">
        <v>5</v>
      </c>
      <c r="BM4" s="391">
        <v>20</v>
      </c>
      <c r="BN4" s="391">
        <v>10</v>
      </c>
      <c r="BO4" s="391">
        <v>10</v>
      </c>
      <c r="BP4" s="391">
        <v>5</v>
      </c>
      <c r="BQ4" s="391">
        <v>5</v>
      </c>
      <c r="BR4" s="391">
        <v>80</v>
      </c>
      <c r="BS4" s="690">
        <v>10</v>
      </c>
      <c r="BT4" s="746">
        <f t="shared" ref="BT4:BT23" ca="1" si="20">IF(OR($AR$56=BT$3,$AR$56=BT$2,$AR$56=BT$1),($AG$54/5)*(BJ4/BJ$24),0)+IF(OR($AO$56=BT$3,$AO$56=BT$2,$AO$56=BT$1),($AG$54/5)*(BJ4/BJ$24),0)+IF(OR($AP$56=BT$3,$AP$56=BT$2,$AP$56=BT$1),($AG$54/5)*(BJ4/BJ$24),0)+IF(OR($AQ$56=BT$3,$AQ$56=BT$2,$AQ$56=BT$1),($AG$54/5)*(BJ4/BJ$24),0)</f>
        <v>0</v>
      </c>
      <c r="BU4" s="746">
        <f t="shared" ref="BU4:BU23" ca="1" si="21">IF(OR($AR$56=BU$3,$AR$56=BU$2,$AR$56=BU$1),($AG$54/5)*(BK4/BK$24),0)+IF(OR($AO$56=BU$3,$AO$56=BU$2,$AO$56=BU$1),($AG$54/5)*(BK4/BK$24),0)+IF(OR($AP$56=BU$3,$AP$56=BU$2,$AP$56=BU$1),($AG$54/5)*(BK4/BK$24),0)+IF(OR($AQ$56=BU$3,$AQ$56=BU$2,$AQ$56=BU$1),($AG$54/5)*(BK4/BK$24),0)</f>
        <v>0</v>
      </c>
      <c r="BV4" s="746">
        <f t="shared" ref="BV4:BV23" ca="1" si="22">IF(OR($AR$56=BV$3,$AR$56=BV$2,$AR$56=BV$1),($AG$54/5)*(BL4/BL$24),0)+IF(OR($AO$56=BV$3,$AO$56=BV$2,$AO$56=BV$1),($AG$54/5)*(BL4/BL$24),0)+IF(OR($AP$56=BV$3,$AP$56=BV$2,$AP$56=BV$1),($AG$54/5)*(BL4/BL$24),0)+IF(OR($AQ$56=BV$3,$AQ$56=BV$2,$AQ$56=BV$1),($AG$54/5)*(BL4/BL$24),0)</f>
        <v>0.13919999999999999</v>
      </c>
      <c r="BW4" s="746">
        <f t="shared" ref="BW4:BW23" ca="1" si="23">IF(OR($AR$56=BW$3,$AR$56=BW$2,$AR$56=BW$1),($AG$54/5)*(BM4/BM$24),0)+IF(OR($AO$56=BW$3,$AO$56=BW$2,$AO$56=BW$1),($AG$54/5)*(BM4/BM$24),0)+IF(OR($AP$56=BW$3,$AP$56=BW$2,$AP$56=BW$1),($AG$54/5)*(BM4/BM$24),0)+IF(OR($AQ$56=BW$3,$AQ$56=BW$2,$AQ$56=BW$1),($AG$54/5)*(BM4/BM$24),0)</f>
        <v>0</v>
      </c>
      <c r="BX4" s="746">
        <f t="shared" ref="BX4:BX23" ca="1" si="24">IF(OR($AR$56=BX$3,$AR$56=BX$2,$AR$56=BX$1),($AG$54/5)*(BN4/BN$24),0)+IF(OR($AO$56=BX$3,$AO$56=BX$2,$AO$56=BX$1),($AG$54/5)*(BN4/BN$24),0)+IF(OR($AP$56=BX$3,$AP$56=BX$2,$AP$56=BX$1),($AG$54/5)*(BN4/BN$24),0)+IF(OR($AQ$56=BX$3,$AQ$56=BX$2,$AQ$56=BX$1),($AG$54/5)*(BN4/BN$24),0)</f>
        <v>0</v>
      </c>
      <c r="BY4" s="746">
        <f t="shared" ref="BY4:BY23" ca="1" si="25">IF(OR($AR$56=BY$3,$AR$56=BY$2,$AR$56=BY$1),($AG$54/5)*(BO4/BO$24),0)+IF(OR($AO$56=BY$3,$AO$56=BY$2,$AO$56=BY$1),($AG$54/5)*(BO4/BO$24),0)+IF(OR($AP$56=BY$3,$AP$56=BY$2,$AP$56=BY$1),($AG$54/5)*(BO4/BO$24),0)+IF(OR($AQ$56=BY$3,$AQ$56=BY$2,$AQ$56=BY$1),($AG$54/5)*(BO4/BO$24),0)</f>
        <v>0</v>
      </c>
      <c r="BZ4" s="746">
        <f t="shared" ref="BZ4:BZ23" ca="1" si="26">IF(OR($AR$56=BZ$3,$AR$56=BZ$2,$AR$56=BZ$1),($AG$54/5)*(BP4/BP$24),0)+IF(OR($AO$56=BZ$3,$AO$56=BZ$2,$AO$56=BZ$1),($AG$54/5)*(BP4/BP$24),0)+IF(OR($AP$56=BZ$3,$AP$56=BZ$2,$AP$56=BZ$1),($AG$54/5)*(BP4/BP$24),0)+IF(OR($AQ$56=BZ$3,$AQ$56=BZ$2,$AQ$56=BZ$1),($AG$54/5)*(BP4/BP$24),0)</f>
        <v>0</v>
      </c>
      <c r="CA4" s="746">
        <f t="shared" ref="CA4:CA23" ca="1" si="27">IF(OR($AR$56=CA$3,$AR$56=CA$2,$AR$56=CA$1),($AG$54/5)*(BQ4/BQ$24),0)+IF(OR($AO$56=CA$3,$AO$56=CA$2,$AO$56=CA$1),($AG$54/5)*(BQ4/BQ$24),0)+IF(OR($AP$56=CA$3,$AP$56=CA$2,$AP$56=CA$1),($AG$54/5)*(BQ4/BQ$24),0)+IF(OR($AQ$56=CA$3,$AQ$56=CA$2,$AQ$56=CA$1),($AG$54/5)*(BQ4/BQ$24),0)</f>
        <v>0</v>
      </c>
      <c r="CB4" s="746">
        <f t="shared" ref="CB4:CB23" ca="1" si="28">IF(OR($AR$56=CB$3,$AR$56=CB$2,$AR$56=CB$1),($AG$54/5)*(BR4/BR$24),0)+IF(OR($AO$56=CB$3,$AO$56=CB$2,$AO$56=CB$1),($AG$54/5)*(BR4/BR$24),0)+IF(OR($AP$56=CB$3,$AP$56=CB$2,$AP$56=CB$1),($AG$54/5)*(BR4/BR$24),0)+IF(OR($AQ$56=CB$3,$AQ$56=CB$2,$AQ$56=CB$1),($AG$54/5)*(BR4/BR$24),0)</f>
        <v>0</v>
      </c>
      <c r="CC4" s="746">
        <f t="shared" ref="CC4:CC23" ca="1" si="29">IF(OR($AR$56=CC$3,$AR$56=CC$2,$AR$56=CC$1),($AG$54/5)*(BS4/BS$24),0)+IF(OR($AO$56=CC$3,$AO$56=CC$2,$AO$56=CC$1),($AG$54/5)*(BS4/BS$24),0)+IF(OR($AP$56=CC$3,$AP$56=CC$2,$AP$56=CC$1),($AG$54/5)*(BS4/BS$24),0)+IF(OR($AQ$56=CC$3,$AQ$56=CC$2,$AQ$56=CC$1),($AG$54/5)*(BS4/BS$24),0)</f>
        <v>0</v>
      </c>
      <c r="CD4" s="758">
        <f ca="1">SUM(BT4:CC4)</f>
        <v>0.13919999999999999</v>
      </c>
      <c r="CF4" s="187"/>
      <c r="CI4" s="187"/>
      <c r="CL4" s="187"/>
    </row>
    <row r="5" spans="2:90" s="78" customFormat="1" ht="12" hidden="1" customHeight="1" thickBot="1">
      <c r="E5" s="689" t="s">
        <v>2221</v>
      </c>
      <c r="F5" s="766"/>
      <c r="G5" s="766"/>
      <c r="H5" s="401">
        <v>10</v>
      </c>
      <c r="I5" s="187"/>
      <c r="J5" s="187"/>
      <c r="K5" s="187">
        <v>20</v>
      </c>
      <c r="L5" s="187"/>
      <c r="M5" s="187"/>
      <c r="N5" s="187">
        <v>10</v>
      </c>
      <c r="O5" s="187"/>
      <c r="P5" s="187"/>
      <c r="Q5" s="187">
        <v>10</v>
      </c>
      <c r="R5" s="187"/>
      <c r="S5" s="187"/>
      <c r="T5" s="187">
        <v>40</v>
      </c>
      <c r="U5" s="187"/>
      <c r="V5" s="187"/>
      <c r="W5" s="187">
        <v>40</v>
      </c>
      <c r="X5" s="187"/>
      <c r="Y5" s="187"/>
      <c r="Z5" s="187">
        <v>40</v>
      </c>
      <c r="AA5" s="187">
        <v>80</v>
      </c>
      <c r="AB5" s="187">
        <v>10</v>
      </c>
      <c r="AC5" s="686">
        <v>10</v>
      </c>
      <c r="AD5" s="746">
        <f t="shared" ca="1" si="0"/>
        <v>0</v>
      </c>
      <c r="AE5" s="416">
        <f t="shared" ca="1" si="1"/>
        <v>0</v>
      </c>
      <c r="AF5" s="416">
        <f t="shared" ca="1" si="2"/>
        <v>0</v>
      </c>
      <c r="AG5" s="416">
        <f t="shared" ca="1" si="3"/>
        <v>0</v>
      </c>
      <c r="AH5" s="416">
        <f t="shared" ca="1" si="4"/>
        <v>0</v>
      </c>
      <c r="AI5" s="416">
        <f t="shared" ca="1" si="5"/>
        <v>0</v>
      </c>
      <c r="AJ5" s="416">
        <f t="shared" ca="1" si="6"/>
        <v>0</v>
      </c>
      <c r="AK5" s="416">
        <f t="shared" ca="1" si="7"/>
        <v>0</v>
      </c>
      <c r="AL5" s="416">
        <f t="shared" ca="1" si="8"/>
        <v>0</v>
      </c>
      <c r="AM5" s="747">
        <f t="shared" ca="1" si="9"/>
        <v>0</v>
      </c>
      <c r="AN5" s="762">
        <f t="shared" ref="AN5:AN23" ca="1" si="30">RANDBETWEEN(50,100)/100*SUM(AD5:AM5)</f>
        <v>0</v>
      </c>
      <c r="AO5" s="401">
        <v>80</v>
      </c>
      <c r="AP5" s="187">
        <v>40</v>
      </c>
      <c r="AQ5" s="187">
        <v>40</v>
      </c>
      <c r="AR5" s="187">
        <v>40</v>
      </c>
      <c r="AS5" s="187">
        <v>40</v>
      </c>
      <c r="AT5" s="187">
        <v>20</v>
      </c>
      <c r="AU5" s="187">
        <v>40</v>
      </c>
      <c r="AV5" s="187">
        <v>40</v>
      </c>
      <c r="AW5" s="187">
        <v>80</v>
      </c>
      <c r="AX5" s="187">
        <v>10</v>
      </c>
      <c r="AY5" s="746">
        <f t="shared" ca="1" si="10"/>
        <v>0</v>
      </c>
      <c r="AZ5" s="746">
        <f t="shared" ca="1" si="11"/>
        <v>0</v>
      </c>
      <c r="BA5" s="746">
        <f t="shared" ca="1" si="12"/>
        <v>0.9490909090909091</v>
      </c>
      <c r="BB5" s="746">
        <f t="shared" ca="1" si="13"/>
        <v>0</v>
      </c>
      <c r="BC5" s="746">
        <f t="shared" ca="1" si="14"/>
        <v>0</v>
      </c>
      <c r="BD5" s="746">
        <f t="shared" ca="1" si="15"/>
        <v>0</v>
      </c>
      <c r="BE5" s="746">
        <f t="shared" ca="1" si="16"/>
        <v>0</v>
      </c>
      <c r="BF5" s="746">
        <f t="shared" ca="1" si="17"/>
        <v>0</v>
      </c>
      <c r="BG5" s="746">
        <f t="shared" ca="1" si="18"/>
        <v>1.3919999999999999</v>
      </c>
      <c r="BH5" s="746">
        <f t="shared" ca="1" si="19"/>
        <v>0</v>
      </c>
      <c r="BI5" s="760">
        <f t="shared" ref="BI5:BI23" ca="1" si="31">RANDBETWEEN(50,100)/100*SUM(AY5:BH5)</f>
        <v>1.4514763636363637</v>
      </c>
      <c r="BJ5" s="401">
        <v>20</v>
      </c>
      <c r="BK5" s="187">
        <v>20</v>
      </c>
      <c r="BL5" s="187">
        <v>10</v>
      </c>
      <c r="BM5" s="187">
        <v>40</v>
      </c>
      <c r="BN5" s="187">
        <v>40</v>
      </c>
      <c r="BO5" s="187">
        <v>40</v>
      </c>
      <c r="BP5" s="187">
        <v>10</v>
      </c>
      <c r="BQ5" s="187">
        <v>40</v>
      </c>
      <c r="BR5" s="187">
        <v>5</v>
      </c>
      <c r="BS5" s="686">
        <v>20</v>
      </c>
      <c r="BT5" s="746">
        <f t="shared" ca="1" si="20"/>
        <v>0</v>
      </c>
      <c r="BU5" s="746">
        <f t="shared" ca="1" si="21"/>
        <v>0</v>
      </c>
      <c r="BV5" s="746">
        <f t="shared" ca="1" si="22"/>
        <v>0.27839999999999998</v>
      </c>
      <c r="BW5" s="746">
        <f t="shared" ca="1" si="23"/>
        <v>0</v>
      </c>
      <c r="BX5" s="746">
        <f t="shared" ca="1" si="24"/>
        <v>0</v>
      </c>
      <c r="BY5" s="746">
        <f t="shared" ca="1" si="25"/>
        <v>0</v>
      </c>
      <c r="BZ5" s="746">
        <f t="shared" ca="1" si="26"/>
        <v>0</v>
      </c>
      <c r="CA5" s="746">
        <f t="shared" ca="1" si="27"/>
        <v>0</v>
      </c>
      <c r="CB5" s="746">
        <f t="shared" ca="1" si="28"/>
        <v>0</v>
      </c>
      <c r="CC5" s="746">
        <f t="shared" ca="1" si="29"/>
        <v>0</v>
      </c>
      <c r="CD5" s="758">
        <f t="shared" ref="CD5:CD23" ca="1" si="32">SUM(BT5:CC5)</f>
        <v>0.27839999999999998</v>
      </c>
      <c r="CF5" s="187"/>
      <c r="CI5" s="187"/>
      <c r="CL5" s="187"/>
    </row>
    <row r="6" spans="2:90" s="78" customFormat="1" ht="10.8" hidden="1" thickBot="1">
      <c r="E6" s="689" t="s">
        <v>2220</v>
      </c>
      <c r="F6" s="766"/>
      <c r="G6" s="766"/>
      <c r="H6" s="401">
        <v>5</v>
      </c>
      <c r="I6" s="187"/>
      <c r="J6" s="187"/>
      <c r="K6" s="187">
        <v>5</v>
      </c>
      <c r="L6" s="187"/>
      <c r="M6" s="187"/>
      <c r="N6" s="187">
        <v>5</v>
      </c>
      <c r="O6" s="187"/>
      <c r="P6" s="187"/>
      <c r="Q6" s="187">
        <v>5</v>
      </c>
      <c r="R6" s="187"/>
      <c r="S6" s="187"/>
      <c r="T6" s="187">
        <v>5</v>
      </c>
      <c r="U6" s="187"/>
      <c r="V6" s="187"/>
      <c r="W6" s="187">
        <v>40</v>
      </c>
      <c r="X6" s="187"/>
      <c r="Y6" s="187"/>
      <c r="Z6" s="187">
        <v>40</v>
      </c>
      <c r="AA6" s="187">
        <v>80</v>
      </c>
      <c r="AB6" s="187">
        <v>5</v>
      </c>
      <c r="AC6" s="686">
        <v>5</v>
      </c>
      <c r="AD6" s="746">
        <f t="shared" ca="1" si="0"/>
        <v>0</v>
      </c>
      <c r="AE6" s="416">
        <f t="shared" ca="1" si="1"/>
        <v>0</v>
      </c>
      <c r="AF6" s="416">
        <f t="shared" ca="1" si="2"/>
        <v>0</v>
      </c>
      <c r="AG6" s="416">
        <f t="shared" ca="1" si="3"/>
        <v>0</v>
      </c>
      <c r="AH6" s="416">
        <f t="shared" ca="1" si="4"/>
        <v>0</v>
      </c>
      <c r="AI6" s="416">
        <f t="shared" ca="1" si="5"/>
        <v>0</v>
      </c>
      <c r="AJ6" s="416">
        <f t="shared" ca="1" si="6"/>
        <v>0</v>
      </c>
      <c r="AK6" s="416">
        <f t="shared" ca="1" si="7"/>
        <v>0</v>
      </c>
      <c r="AL6" s="416">
        <f t="shared" ca="1" si="8"/>
        <v>0</v>
      </c>
      <c r="AM6" s="747">
        <f t="shared" ca="1" si="9"/>
        <v>0</v>
      </c>
      <c r="AN6" s="762">
        <f t="shared" ca="1" si="30"/>
        <v>0</v>
      </c>
      <c r="AO6" s="401">
        <v>40</v>
      </c>
      <c r="AP6" s="187">
        <v>20</v>
      </c>
      <c r="AQ6" s="187">
        <v>40</v>
      </c>
      <c r="AR6" s="187">
        <v>10</v>
      </c>
      <c r="AS6" s="187">
        <v>10</v>
      </c>
      <c r="AT6" s="187">
        <v>5</v>
      </c>
      <c r="AU6" s="187">
        <v>5</v>
      </c>
      <c r="AV6" s="187">
        <v>40</v>
      </c>
      <c r="AW6" s="187">
        <v>40</v>
      </c>
      <c r="AX6" s="187">
        <v>10</v>
      </c>
      <c r="AY6" s="746">
        <f t="shared" ca="1" si="10"/>
        <v>0</v>
      </c>
      <c r="AZ6" s="746">
        <f t="shared" ca="1" si="11"/>
        <v>0</v>
      </c>
      <c r="BA6" s="746">
        <f t="shared" ca="1" si="12"/>
        <v>0.9490909090909091</v>
      </c>
      <c r="BB6" s="746">
        <f t="shared" ca="1" si="13"/>
        <v>0</v>
      </c>
      <c r="BC6" s="746">
        <f t="shared" ca="1" si="14"/>
        <v>0</v>
      </c>
      <c r="BD6" s="746">
        <f t="shared" ca="1" si="15"/>
        <v>0</v>
      </c>
      <c r="BE6" s="746">
        <f t="shared" ca="1" si="16"/>
        <v>0</v>
      </c>
      <c r="BF6" s="746">
        <f t="shared" ca="1" si="17"/>
        <v>0</v>
      </c>
      <c r="BG6" s="746">
        <f t="shared" ca="1" si="18"/>
        <v>0.69599999999999995</v>
      </c>
      <c r="BH6" s="746">
        <f t="shared" ca="1" si="19"/>
        <v>0</v>
      </c>
      <c r="BI6" s="760">
        <f t="shared" ca="1" si="31"/>
        <v>1.1844654545454545</v>
      </c>
      <c r="BJ6" s="401">
        <v>40</v>
      </c>
      <c r="BK6" s="187">
        <v>40</v>
      </c>
      <c r="BL6" s="187">
        <v>40</v>
      </c>
      <c r="BM6" s="187">
        <v>10</v>
      </c>
      <c r="BN6" s="187">
        <v>40</v>
      </c>
      <c r="BO6" s="187">
        <v>40</v>
      </c>
      <c r="BP6" s="187">
        <v>40</v>
      </c>
      <c r="BQ6" s="187">
        <v>20</v>
      </c>
      <c r="BR6" s="187">
        <v>5</v>
      </c>
      <c r="BS6" s="686">
        <v>40</v>
      </c>
      <c r="BT6" s="746">
        <f t="shared" ca="1" si="20"/>
        <v>0</v>
      </c>
      <c r="BU6" s="746">
        <f t="shared" ca="1" si="21"/>
        <v>0</v>
      </c>
      <c r="BV6" s="746">
        <f t="shared" ca="1" si="22"/>
        <v>1.1135999999999999</v>
      </c>
      <c r="BW6" s="746">
        <f t="shared" ca="1" si="23"/>
        <v>0</v>
      </c>
      <c r="BX6" s="746">
        <f t="shared" ca="1" si="24"/>
        <v>0</v>
      </c>
      <c r="BY6" s="746">
        <f t="shared" ca="1" si="25"/>
        <v>0</v>
      </c>
      <c r="BZ6" s="746">
        <f t="shared" ca="1" si="26"/>
        <v>0</v>
      </c>
      <c r="CA6" s="746">
        <f t="shared" ca="1" si="27"/>
        <v>0</v>
      </c>
      <c r="CB6" s="746">
        <f t="shared" ca="1" si="28"/>
        <v>0</v>
      </c>
      <c r="CC6" s="746">
        <f t="shared" ca="1" si="29"/>
        <v>0</v>
      </c>
      <c r="CD6" s="758">
        <f t="shared" ca="1" si="32"/>
        <v>1.1135999999999999</v>
      </c>
      <c r="CF6" s="187"/>
      <c r="CI6" s="187"/>
      <c r="CL6" s="187"/>
    </row>
    <row r="7" spans="2:90" s="78" customFormat="1" ht="10.8" hidden="1" thickBot="1">
      <c r="E7" s="689" t="s">
        <v>586</v>
      </c>
      <c r="F7" s="766"/>
      <c r="G7" s="766"/>
      <c r="H7" s="401">
        <v>20</v>
      </c>
      <c r="I7" s="187"/>
      <c r="J7" s="187"/>
      <c r="K7" s="187">
        <v>40</v>
      </c>
      <c r="L7" s="187"/>
      <c r="M7" s="187"/>
      <c r="N7" s="187">
        <v>20</v>
      </c>
      <c r="O7" s="187"/>
      <c r="P7" s="187"/>
      <c r="Q7" s="187">
        <v>20</v>
      </c>
      <c r="R7" s="187"/>
      <c r="S7" s="187"/>
      <c r="T7" s="187">
        <v>20</v>
      </c>
      <c r="U7" s="187"/>
      <c r="V7" s="187"/>
      <c r="W7" s="187">
        <v>20</v>
      </c>
      <c r="X7" s="187"/>
      <c r="Y7" s="187"/>
      <c r="Z7" s="187">
        <v>80</v>
      </c>
      <c r="AA7" s="187">
        <v>5</v>
      </c>
      <c r="AB7" s="187">
        <v>5</v>
      </c>
      <c r="AC7" s="686">
        <v>10</v>
      </c>
      <c r="AD7" s="746">
        <f t="shared" ca="1" si="0"/>
        <v>0</v>
      </c>
      <c r="AE7" s="416">
        <f t="shared" ca="1" si="1"/>
        <v>0</v>
      </c>
      <c r="AF7" s="416">
        <f t="shared" ca="1" si="2"/>
        <v>0</v>
      </c>
      <c r="AG7" s="416">
        <f t="shared" ca="1" si="3"/>
        <v>0</v>
      </c>
      <c r="AH7" s="416">
        <f t="shared" ca="1" si="4"/>
        <v>0</v>
      </c>
      <c r="AI7" s="416">
        <f t="shared" ca="1" si="5"/>
        <v>0</v>
      </c>
      <c r="AJ7" s="416">
        <f t="shared" ca="1" si="6"/>
        <v>0</v>
      </c>
      <c r="AK7" s="416">
        <f t="shared" ca="1" si="7"/>
        <v>0</v>
      </c>
      <c r="AL7" s="416">
        <f t="shared" ca="1" si="8"/>
        <v>0</v>
      </c>
      <c r="AM7" s="747">
        <f t="shared" ca="1" si="9"/>
        <v>0</v>
      </c>
      <c r="AN7" s="762">
        <f t="shared" ca="1" si="30"/>
        <v>0</v>
      </c>
      <c r="AO7" s="401">
        <v>10</v>
      </c>
      <c r="AP7" s="187">
        <v>10</v>
      </c>
      <c r="AQ7" s="187">
        <v>10</v>
      </c>
      <c r="AR7" s="187">
        <v>20</v>
      </c>
      <c r="AS7" s="187">
        <v>5</v>
      </c>
      <c r="AT7" s="187">
        <v>10</v>
      </c>
      <c r="AU7" s="187">
        <v>40</v>
      </c>
      <c r="AV7" s="187">
        <v>80</v>
      </c>
      <c r="AW7" s="187">
        <v>40</v>
      </c>
      <c r="AX7" s="187">
        <v>5</v>
      </c>
      <c r="AY7" s="746">
        <f t="shared" ca="1" si="10"/>
        <v>0</v>
      </c>
      <c r="AZ7" s="746">
        <f t="shared" ca="1" si="11"/>
        <v>0</v>
      </c>
      <c r="BA7" s="746">
        <f t="shared" ca="1" si="12"/>
        <v>0.23727272727272727</v>
      </c>
      <c r="BB7" s="746">
        <f t="shared" ca="1" si="13"/>
        <v>0</v>
      </c>
      <c r="BC7" s="746">
        <f t="shared" ca="1" si="14"/>
        <v>0</v>
      </c>
      <c r="BD7" s="746">
        <f t="shared" ca="1" si="15"/>
        <v>0</v>
      </c>
      <c r="BE7" s="746">
        <f t="shared" ca="1" si="16"/>
        <v>0</v>
      </c>
      <c r="BF7" s="746">
        <f t="shared" ca="1" si="17"/>
        <v>0</v>
      </c>
      <c r="BG7" s="746">
        <f t="shared" ca="1" si="18"/>
        <v>0.69599999999999995</v>
      </c>
      <c r="BH7" s="746">
        <f t="shared" ca="1" si="19"/>
        <v>0</v>
      </c>
      <c r="BI7" s="760">
        <f t="shared" ca="1" si="31"/>
        <v>0.54129818181818179</v>
      </c>
      <c r="BJ7" s="401">
        <v>5</v>
      </c>
      <c r="BK7" s="187">
        <v>5</v>
      </c>
      <c r="BL7" s="187">
        <v>10</v>
      </c>
      <c r="BM7" s="187">
        <v>10</v>
      </c>
      <c r="BN7" s="187">
        <v>40</v>
      </c>
      <c r="BO7" s="187">
        <v>10</v>
      </c>
      <c r="BP7" s="187">
        <v>5</v>
      </c>
      <c r="BQ7" s="187">
        <v>5</v>
      </c>
      <c r="BR7" s="187">
        <v>10</v>
      </c>
      <c r="BS7" s="686">
        <v>10</v>
      </c>
      <c r="BT7" s="746">
        <f t="shared" ca="1" si="20"/>
        <v>0</v>
      </c>
      <c r="BU7" s="746">
        <f t="shared" ca="1" si="21"/>
        <v>0</v>
      </c>
      <c r="BV7" s="746">
        <f t="shared" ca="1" si="22"/>
        <v>0.27839999999999998</v>
      </c>
      <c r="BW7" s="746">
        <f t="shared" ca="1" si="23"/>
        <v>0</v>
      </c>
      <c r="BX7" s="746">
        <f t="shared" ca="1" si="24"/>
        <v>0</v>
      </c>
      <c r="BY7" s="746">
        <f t="shared" ca="1" si="25"/>
        <v>0</v>
      </c>
      <c r="BZ7" s="746">
        <f t="shared" ca="1" si="26"/>
        <v>0</v>
      </c>
      <c r="CA7" s="746">
        <f t="shared" ca="1" si="27"/>
        <v>0</v>
      </c>
      <c r="CB7" s="746">
        <f t="shared" ca="1" si="28"/>
        <v>0</v>
      </c>
      <c r="CC7" s="746">
        <f t="shared" ca="1" si="29"/>
        <v>0</v>
      </c>
      <c r="CD7" s="758">
        <f t="shared" ca="1" si="32"/>
        <v>0.27839999999999998</v>
      </c>
      <c r="CF7" s="187"/>
      <c r="CI7" s="187"/>
      <c r="CL7" s="187"/>
    </row>
    <row r="8" spans="2:90" s="78" customFormat="1" ht="10.8" hidden="1" thickBot="1">
      <c r="E8" s="689" t="s">
        <v>1492</v>
      </c>
      <c r="F8" s="766"/>
      <c r="G8" s="766"/>
      <c r="H8" s="401">
        <v>40</v>
      </c>
      <c r="I8" s="187"/>
      <c r="J8" s="187"/>
      <c r="K8" s="187">
        <v>20</v>
      </c>
      <c r="L8" s="187"/>
      <c r="M8" s="187"/>
      <c r="N8" s="187">
        <v>40</v>
      </c>
      <c r="O8" s="187"/>
      <c r="P8" s="187"/>
      <c r="Q8" s="187">
        <v>20</v>
      </c>
      <c r="R8" s="187"/>
      <c r="S8" s="187"/>
      <c r="T8" s="187">
        <v>40</v>
      </c>
      <c r="U8" s="187"/>
      <c r="V8" s="187"/>
      <c r="W8" s="187">
        <v>40</v>
      </c>
      <c r="X8" s="187"/>
      <c r="Y8" s="187"/>
      <c r="Z8" s="187">
        <v>40</v>
      </c>
      <c r="AA8" s="187">
        <v>80</v>
      </c>
      <c r="AB8" s="187">
        <v>80</v>
      </c>
      <c r="AC8" s="686">
        <v>10</v>
      </c>
      <c r="AD8" s="746">
        <f t="shared" ca="1" si="0"/>
        <v>0</v>
      </c>
      <c r="AE8" s="416">
        <f t="shared" ca="1" si="1"/>
        <v>0</v>
      </c>
      <c r="AF8" s="416">
        <f t="shared" ca="1" si="2"/>
        <v>0</v>
      </c>
      <c r="AG8" s="416">
        <f t="shared" ca="1" si="3"/>
        <v>0</v>
      </c>
      <c r="AH8" s="416">
        <f t="shared" ca="1" si="4"/>
        <v>0</v>
      </c>
      <c r="AI8" s="416">
        <f t="shared" ca="1" si="5"/>
        <v>0</v>
      </c>
      <c r="AJ8" s="416">
        <f t="shared" ca="1" si="6"/>
        <v>0</v>
      </c>
      <c r="AK8" s="416">
        <f t="shared" ca="1" si="7"/>
        <v>0</v>
      </c>
      <c r="AL8" s="416">
        <f t="shared" ca="1" si="8"/>
        <v>0</v>
      </c>
      <c r="AM8" s="747">
        <f t="shared" ca="1" si="9"/>
        <v>0</v>
      </c>
      <c r="AN8" s="762">
        <f t="shared" ca="1" si="30"/>
        <v>0</v>
      </c>
      <c r="AO8" s="401">
        <v>40</v>
      </c>
      <c r="AP8" s="187">
        <v>40</v>
      </c>
      <c r="AQ8" s="187">
        <v>40</v>
      </c>
      <c r="AR8" s="187">
        <v>20</v>
      </c>
      <c r="AS8" s="187">
        <v>20</v>
      </c>
      <c r="AT8" s="187">
        <v>40</v>
      </c>
      <c r="AU8" s="187">
        <v>20</v>
      </c>
      <c r="AV8" s="187">
        <v>10</v>
      </c>
      <c r="AW8" s="187">
        <v>80</v>
      </c>
      <c r="AX8" s="187">
        <v>10</v>
      </c>
      <c r="AY8" s="746">
        <f t="shared" ca="1" si="10"/>
        <v>0</v>
      </c>
      <c r="AZ8" s="746">
        <f t="shared" ca="1" si="11"/>
        <v>0</v>
      </c>
      <c r="BA8" s="746">
        <f t="shared" ca="1" si="12"/>
        <v>0.9490909090909091</v>
      </c>
      <c r="BB8" s="746">
        <f t="shared" ca="1" si="13"/>
        <v>0</v>
      </c>
      <c r="BC8" s="746">
        <f t="shared" ca="1" si="14"/>
        <v>0</v>
      </c>
      <c r="BD8" s="746">
        <f t="shared" ca="1" si="15"/>
        <v>0</v>
      </c>
      <c r="BE8" s="746">
        <f t="shared" ca="1" si="16"/>
        <v>0</v>
      </c>
      <c r="BF8" s="746">
        <f t="shared" ca="1" si="17"/>
        <v>0</v>
      </c>
      <c r="BG8" s="746">
        <f t="shared" ca="1" si="18"/>
        <v>1.3919999999999999</v>
      </c>
      <c r="BH8" s="746">
        <f t="shared" ca="1" si="19"/>
        <v>0</v>
      </c>
      <c r="BI8" s="760">
        <f t="shared" ca="1" si="31"/>
        <v>1.8494618181818183</v>
      </c>
      <c r="BJ8" s="401">
        <v>10</v>
      </c>
      <c r="BK8" s="187">
        <v>5</v>
      </c>
      <c r="BL8" s="187">
        <v>5</v>
      </c>
      <c r="BM8" s="187">
        <v>80</v>
      </c>
      <c r="BN8" s="187">
        <v>20</v>
      </c>
      <c r="BO8" s="187">
        <v>10</v>
      </c>
      <c r="BP8" s="187">
        <v>5</v>
      </c>
      <c r="BQ8" s="187">
        <v>20</v>
      </c>
      <c r="BR8" s="187">
        <v>5</v>
      </c>
      <c r="BS8" s="686">
        <v>20</v>
      </c>
      <c r="BT8" s="746">
        <f t="shared" ca="1" si="20"/>
        <v>0</v>
      </c>
      <c r="BU8" s="746">
        <f t="shared" ca="1" si="21"/>
        <v>0</v>
      </c>
      <c r="BV8" s="746">
        <f t="shared" ca="1" si="22"/>
        <v>0.13919999999999999</v>
      </c>
      <c r="BW8" s="746">
        <f t="shared" ca="1" si="23"/>
        <v>0</v>
      </c>
      <c r="BX8" s="746">
        <f t="shared" ca="1" si="24"/>
        <v>0</v>
      </c>
      <c r="BY8" s="746">
        <f t="shared" ca="1" si="25"/>
        <v>0</v>
      </c>
      <c r="BZ8" s="746">
        <f t="shared" ca="1" si="26"/>
        <v>0</v>
      </c>
      <c r="CA8" s="746">
        <f t="shared" ca="1" si="27"/>
        <v>0</v>
      </c>
      <c r="CB8" s="746">
        <f t="shared" ca="1" si="28"/>
        <v>0</v>
      </c>
      <c r="CC8" s="746">
        <f t="shared" ca="1" si="29"/>
        <v>0</v>
      </c>
      <c r="CD8" s="758">
        <f t="shared" ca="1" si="32"/>
        <v>0.13919999999999999</v>
      </c>
      <c r="CF8" s="187"/>
      <c r="CI8" s="187"/>
      <c r="CL8" s="187"/>
    </row>
    <row r="9" spans="2:90" s="78" customFormat="1" ht="10.8" hidden="1" thickBot="1">
      <c r="E9" s="689" t="s">
        <v>602</v>
      </c>
      <c r="F9" s="766"/>
      <c r="G9" s="766"/>
      <c r="H9" s="401">
        <v>20</v>
      </c>
      <c r="I9" s="187"/>
      <c r="J9" s="187"/>
      <c r="K9" s="187">
        <v>5</v>
      </c>
      <c r="L9" s="187"/>
      <c r="M9" s="187"/>
      <c r="N9" s="187">
        <v>10</v>
      </c>
      <c r="O9" s="187"/>
      <c r="P9" s="187"/>
      <c r="Q9" s="187">
        <v>5</v>
      </c>
      <c r="R9" s="187"/>
      <c r="S9" s="187"/>
      <c r="T9" s="187">
        <v>10</v>
      </c>
      <c r="U9" s="187"/>
      <c r="V9" s="187"/>
      <c r="W9" s="187">
        <v>40</v>
      </c>
      <c r="X9" s="187"/>
      <c r="Y9" s="187"/>
      <c r="Z9" s="187">
        <v>40</v>
      </c>
      <c r="AA9" s="187">
        <v>10</v>
      </c>
      <c r="AB9" s="187">
        <v>5</v>
      </c>
      <c r="AC9" s="686">
        <v>5</v>
      </c>
      <c r="AD9" s="746">
        <f t="shared" ca="1" si="0"/>
        <v>0</v>
      </c>
      <c r="AE9" s="416">
        <f t="shared" ca="1" si="1"/>
        <v>0</v>
      </c>
      <c r="AF9" s="416">
        <f t="shared" ca="1" si="2"/>
        <v>0</v>
      </c>
      <c r="AG9" s="416">
        <f t="shared" ca="1" si="3"/>
        <v>0</v>
      </c>
      <c r="AH9" s="416">
        <f t="shared" ca="1" si="4"/>
        <v>0</v>
      </c>
      <c r="AI9" s="416">
        <f t="shared" ca="1" si="5"/>
        <v>0</v>
      </c>
      <c r="AJ9" s="416">
        <f t="shared" ca="1" si="6"/>
        <v>0</v>
      </c>
      <c r="AK9" s="416">
        <f t="shared" ca="1" si="7"/>
        <v>0</v>
      </c>
      <c r="AL9" s="416">
        <f t="shared" ca="1" si="8"/>
        <v>0</v>
      </c>
      <c r="AM9" s="747">
        <f t="shared" ca="1" si="9"/>
        <v>0</v>
      </c>
      <c r="AN9" s="762">
        <f t="shared" ca="1" si="30"/>
        <v>0</v>
      </c>
      <c r="AO9" s="401">
        <v>5</v>
      </c>
      <c r="AP9" s="187">
        <v>5</v>
      </c>
      <c r="AQ9" s="187">
        <v>5</v>
      </c>
      <c r="AR9" s="187">
        <v>10</v>
      </c>
      <c r="AS9" s="187">
        <v>5</v>
      </c>
      <c r="AT9" s="187">
        <v>5</v>
      </c>
      <c r="AU9" s="187">
        <v>20</v>
      </c>
      <c r="AV9" s="187">
        <v>80</v>
      </c>
      <c r="AW9" s="187">
        <v>20</v>
      </c>
      <c r="AX9" s="187">
        <v>5</v>
      </c>
      <c r="AY9" s="746">
        <f t="shared" ca="1" si="10"/>
        <v>0</v>
      </c>
      <c r="AZ9" s="746">
        <f t="shared" ca="1" si="11"/>
        <v>0</v>
      </c>
      <c r="BA9" s="746">
        <f t="shared" ca="1" si="12"/>
        <v>0.11863636363636364</v>
      </c>
      <c r="BB9" s="746">
        <f t="shared" ca="1" si="13"/>
        <v>0</v>
      </c>
      <c r="BC9" s="746">
        <f t="shared" ca="1" si="14"/>
        <v>0</v>
      </c>
      <c r="BD9" s="746">
        <f t="shared" ca="1" si="15"/>
        <v>0</v>
      </c>
      <c r="BE9" s="746">
        <f t="shared" ca="1" si="16"/>
        <v>0</v>
      </c>
      <c r="BF9" s="746">
        <f t="shared" ca="1" si="17"/>
        <v>0</v>
      </c>
      <c r="BG9" s="746">
        <f t="shared" ca="1" si="18"/>
        <v>0.34799999999999998</v>
      </c>
      <c r="BH9" s="746">
        <f t="shared" ca="1" si="19"/>
        <v>0</v>
      </c>
      <c r="BI9" s="760">
        <f t="shared" ca="1" si="31"/>
        <v>0.27531545454545453</v>
      </c>
      <c r="BJ9" s="401">
        <v>5</v>
      </c>
      <c r="BK9" s="187">
        <v>5</v>
      </c>
      <c r="BL9" s="187">
        <v>40</v>
      </c>
      <c r="BM9" s="187">
        <v>20</v>
      </c>
      <c r="BN9" s="187">
        <v>80</v>
      </c>
      <c r="BO9" s="187">
        <v>40</v>
      </c>
      <c r="BP9" s="187">
        <v>5</v>
      </c>
      <c r="BQ9" s="187">
        <v>5</v>
      </c>
      <c r="BR9" s="187">
        <v>5</v>
      </c>
      <c r="BS9" s="686">
        <v>10</v>
      </c>
      <c r="BT9" s="746">
        <f t="shared" ca="1" si="20"/>
        <v>0</v>
      </c>
      <c r="BU9" s="746">
        <f t="shared" ca="1" si="21"/>
        <v>0</v>
      </c>
      <c r="BV9" s="746">
        <f t="shared" ca="1" si="22"/>
        <v>1.1135999999999999</v>
      </c>
      <c r="BW9" s="746">
        <f t="shared" ca="1" si="23"/>
        <v>0</v>
      </c>
      <c r="BX9" s="746">
        <f t="shared" ca="1" si="24"/>
        <v>0</v>
      </c>
      <c r="BY9" s="746">
        <f t="shared" ca="1" si="25"/>
        <v>0</v>
      </c>
      <c r="BZ9" s="746">
        <f t="shared" ca="1" si="26"/>
        <v>0</v>
      </c>
      <c r="CA9" s="746">
        <f t="shared" ca="1" si="27"/>
        <v>0</v>
      </c>
      <c r="CB9" s="746">
        <f t="shared" ca="1" si="28"/>
        <v>0</v>
      </c>
      <c r="CC9" s="746">
        <f t="shared" ca="1" si="29"/>
        <v>0</v>
      </c>
      <c r="CD9" s="758">
        <f t="shared" ca="1" si="32"/>
        <v>1.1135999999999999</v>
      </c>
      <c r="CF9" s="187"/>
      <c r="CI9" s="187"/>
      <c r="CL9" s="187"/>
    </row>
    <row r="10" spans="2:90" s="78" customFormat="1" ht="10.8" hidden="1" thickBot="1">
      <c r="E10" s="689" t="s">
        <v>2217</v>
      </c>
      <c r="F10" s="766"/>
      <c r="G10" s="766"/>
      <c r="H10" s="401">
        <v>5</v>
      </c>
      <c r="I10" s="187"/>
      <c r="J10" s="187"/>
      <c r="K10" s="187">
        <v>5</v>
      </c>
      <c r="L10" s="187"/>
      <c r="M10" s="187"/>
      <c r="N10" s="187">
        <v>5</v>
      </c>
      <c r="O10" s="187"/>
      <c r="P10" s="187"/>
      <c r="Q10" s="187">
        <v>5</v>
      </c>
      <c r="R10" s="187"/>
      <c r="S10" s="187"/>
      <c r="T10" s="187">
        <v>10</v>
      </c>
      <c r="U10" s="187"/>
      <c r="V10" s="187"/>
      <c r="W10" s="187">
        <v>10</v>
      </c>
      <c r="X10" s="187"/>
      <c r="Y10" s="187"/>
      <c r="Z10" s="187">
        <v>5</v>
      </c>
      <c r="AA10" s="187">
        <v>20</v>
      </c>
      <c r="AB10" s="187">
        <v>20</v>
      </c>
      <c r="AC10" s="686">
        <v>5</v>
      </c>
      <c r="AD10" s="746">
        <f t="shared" ca="1" si="0"/>
        <v>0</v>
      </c>
      <c r="AE10" s="416">
        <f t="shared" ca="1" si="1"/>
        <v>0</v>
      </c>
      <c r="AF10" s="416">
        <f t="shared" ca="1" si="2"/>
        <v>0</v>
      </c>
      <c r="AG10" s="416">
        <f t="shared" ca="1" si="3"/>
        <v>0</v>
      </c>
      <c r="AH10" s="416">
        <f t="shared" ca="1" si="4"/>
        <v>0</v>
      </c>
      <c r="AI10" s="416">
        <f t="shared" ca="1" si="5"/>
        <v>0</v>
      </c>
      <c r="AJ10" s="416">
        <f t="shared" ca="1" si="6"/>
        <v>0</v>
      </c>
      <c r="AK10" s="416">
        <f t="shared" ca="1" si="7"/>
        <v>0</v>
      </c>
      <c r="AL10" s="416">
        <f t="shared" ca="1" si="8"/>
        <v>0</v>
      </c>
      <c r="AM10" s="747">
        <f t="shared" ca="1" si="9"/>
        <v>0</v>
      </c>
      <c r="AN10" s="762">
        <f t="shared" ca="1" si="30"/>
        <v>0</v>
      </c>
      <c r="AO10" s="401">
        <v>10</v>
      </c>
      <c r="AP10" s="187">
        <v>5</v>
      </c>
      <c r="AQ10" s="187">
        <v>10</v>
      </c>
      <c r="AR10" s="187">
        <v>5</v>
      </c>
      <c r="AS10" s="187">
        <v>10</v>
      </c>
      <c r="AT10" s="187">
        <v>5</v>
      </c>
      <c r="AU10" s="187">
        <v>5</v>
      </c>
      <c r="AV10" s="187">
        <v>20</v>
      </c>
      <c r="AW10" s="187">
        <v>20</v>
      </c>
      <c r="AX10" s="187">
        <v>5</v>
      </c>
      <c r="AY10" s="746">
        <f t="shared" ca="1" si="10"/>
        <v>0</v>
      </c>
      <c r="AZ10" s="746">
        <f t="shared" ca="1" si="11"/>
        <v>0</v>
      </c>
      <c r="BA10" s="746">
        <f t="shared" ca="1" si="12"/>
        <v>0.23727272727272727</v>
      </c>
      <c r="BB10" s="746">
        <f t="shared" ca="1" si="13"/>
        <v>0</v>
      </c>
      <c r="BC10" s="746">
        <f t="shared" ca="1" si="14"/>
        <v>0</v>
      </c>
      <c r="BD10" s="746">
        <f t="shared" ca="1" si="15"/>
        <v>0</v>
      </c>
      <c r="BE10" s="746">
        <f t="shared" ca="1" si="16"/>
        <v>0</v>
      </c>
      <c r="BF10" s="746">
        <f t="shared" ca="1" si="17"/>
        <v>0</v>
      </c>
      <c r="BG10" s="746">
        <f t="shared" ca="1" si="18"/>
        <v>0.34799999999999998</v>
      </c>
      <c r="BH10" s="746">
        <f t="shared" ca="1" si="19"/>
        <v>0</v>
      </c>
      <c r="BI10" s="760">
        <f t="shared" ca="1" si="31"/>
        <v>0.35701636363636363</v>
      </c>
      <c r="BJ10" s="401">
        <v>80</v>
      </c>
      <c r="BK10" s="187">
        <v>80</v>
      </c>
      <c r="BL10" s="187">
        <v>40</v>
      </c>
      <c r="BM10" s="187">
        <v>40</v>
      </c>
      <c r="BN10" s="187">
        <v>20</v>
      </c>
      <c r="BO10" s="187">
        <v>20</v>
      </c>
      <c r="BP10" s="187">
        <v>80</v>
      </c>
      <c r="BQ10" s="187">
        <v>5</v>
      </c>
      <c r="BR10" s="187">
        <v>5</v>
      </c>
      <c r="BS10" s="686">
        <v>10</v>
      </c>
      <c r="BT10" s="746">
        <f t="shared" ca="1" si="20"/>
        <v>0</v>
      </c>
      <c r="BU10" s="746">
        <f t="shared" ca="1" si="21"/>
        <v>0</v>
      </c>
      <c r="BV10" s="746">
        <f t="shared" ca="1" si="22"/>
        <v>1.1135999999999999</v>
      </c>
      <c r="BW10" s="746">
        <f t="shared" ca="1" si="23"/>
        <v>0</v>
      </c>
      <c r="BX10" s="746">
        <f t="shared" ca="1" si="24"/>
        <v>0</v>
      </c>
      <c r="BY10" s="746">
        <f t="shared" ca="1" si="25"/>
        <v>0</v>
      </c>
      <c r="BZ10" s="746">
        <f t="shared" ca="1" si="26"/>
        <v>0</v>
      </c>
      <c r="CA10" s="746">
        <f t="shared" ca="1" si="27"/>
        <v>0</v>
      </c>
      <c r="CB10" s="746">
        <f t="shared" ca="1" si="28"/>
        <v>0</v>
      </c>
      <c r="CC10" s="746">
        <f t="shared" ca="1" si="29"/>
        <v>0</v>
      </c>
      <c r="CD10" s="758">
        <f t="shared" ca="1" si="32"/>
        <v>1.1135999999999999</v>
      </c>
      <c r="CF10" s="187"/>
      <c r="CI10" s="187"/>
      <c r="CL10" s="187"/>
    </row>
    <row r="11" spans="2:90" s="78" customFormat="1" ht="10.8" hidden="1" thickBot="1">
      <c r="E11" s="689" t="s">
        <v>2215</v>
      </c>
      <c r="F11" s="766"/>
      <c r="G11" s="766"/>
      <c r="H11" s="401">
        <v>5</v>
      </c>
      <c r="I11" s="187"/>
      <c r="J11" s="187"/>
      <c r="K11" s="187">
        <v>5</v>
      </c>
      <c r="L11" s="187"/>
      <c r="M11" s="187"/>
      <c r="N11" s="187">
        <v>10</v>
      </c>
      <c r="O11" s="187"/>
      <c r="P11" s="187"/>
      <c r="Q11" s="187">
        <v>10</v>
      </c>
      <c r="R11" s="187"/>
      <c r="S11" s="187"/>
      <c r="T11" s="187">
        <v>40</v>
      </c>
      <c r="U11" s="187"/>
      <c r="V11" s="187"/>
      <c r="W11" s="187">
        <v>10</v>
      </c>
      <c r="X11" s="187"/>
      <c r="Y11" s="187"/>
      <c r="Z11" s="187">
        <v>10</v>
      </c>
      <c r="AA11" s="187">
        <v>40</v>
      </c>
      <c r="AB11" s="187">
        <v>5</v>
      </c>
      <c r="AC11" s="686">
        <v>5</v>
      </c>
      <c r="AD11" s="746">
        <f t="shared" ca="1" si="0"/>
        <v>0</v>
      </c>
      <c r="AE11" s="416">
        <f t="shared" ca="1" si="1"/>
        <v>0</v>
      </c>
      <c r="AF11" s="416">
        <f t="shared" ca="1" si="2"/>
        <v>0</v>
      </c>
      <c r="AG11" s="416">
        <f t="shared" ca="1" si="3"/>
        <v>0</v>
      </c>
      <c r="AH11" s="416">
        <f t="shared" ca="1" si="4"/>
        <v>0</v>
      </c>
      <c r="AI11" s="416">
        <f t="shared" ca="1" si="5"/>
        <v>0</v>
      </c>
      <c r="AJ11" s="416">
        <f t="shared" ca="1" si="6"/>
        <v>0</v>
      </c>
      <c r="AK11" s="416">
        <f t="shared" ca="1" si="7"/>
        <v>0</v>
      </c>
      <c r="AL11" s="416">
        <f t="shared" ca="1" si="8"/>
        <v>0</v>
      </c>
      <c r="AM11" s="747">
        <f t="shared" ca="1" si="9"/>
        <v>0</v>
      </c>
      <c r="AN11" s="762">
        <f t="shared" ca="1" si="30"/>
        <v>0</v>
      </c>
      <c r="AO11" s="401">
        <v>5</v>
      </c>
      <c r="AP11" s="187">
        <v>10</v>
      </c>
      <c r="AQ11" s="187">
        <v>5</v>
      </c>
      <c r="AR11" s="187">
        <v>80</v>
      </c>
      <c r="AS11" s="187">
        <v>80</v>
      </c>
      <c r="AT11" s="187">
        <v>5</v>
      </c>
      <c r="AU11" s="187">
        <v>80</v>
      </c>
      <c r="AV11" s="187">
        <v>20</v>
      </c>
      <c r="AW11" s="187">
        <v>40</v>
      </c>
      <c r="AX11" s="187">
        <v>5</v>
      </c>
      <c r="AY11" s="746">
        <f t="shared" ca="1" si="10"/>
        <v>0</v>
      </c>
      <c r="AZ11" s="746">
        <f t="shared" ca="1" si="11"/>
        <v>0</v>
      </c>
      <c r="BA11" s="746">
        <f t="shared" ca="1" si="12"/>
        <v>0.11863636363636364</v>
      </c>
      <c r="BB11" s="746">
        <f t="shared" ca="1" si="13"/>
        <v>0</v>
      </c>
      <c r="BC11" s="746">
        <f t="shared" ca="1" si="14"/>
        <v>0</v>
      </c>
      <c r="BD11" s="746">
        <f t="shared" ca="1" si="15"/>
        <v>0</v>
      </c>
      <c r="BE11" s="746">
        <f t="shared" ca="1" si="16"/>
        <v>0</v>
      </c>
      <c r="BF11" s="746">
        <f t="shared" ca="1" si="17"/>
        <v>0</v>
      </c>
      <c r="BG11" s="746">
        <f t="shared" ca="1" si="18"/>
        <v>0.69599999999999995</v>
      </c>
      <c r="BH11" s="746">
        <f t="shared" ca="1" si="19"/>
        <v>0</v>
      </c>
      <c r="BI11" s="760">
        <f t="shared" ca="1" si="31"/>
        <v>0.41546454545454542</v>
      </c>
      <c r="BJ11" s="401">
        <v>5</v>
      </c>
      <c r="BK11" s="187">
        <v>5</v>
      </c>
      <c r="BL11" s="187">
        <v>5</v>
      </c>
      <c r="BM11" s="187">
        <v>10</v>
      </c>
      <c r="BN11" s="187">
        <v>10</v>
      </c>
      <c r="BO11" s="187">
        <v>10</v>
      </c>
      <c r="BP11" s="187">
        <v>5</v>
      </c>
      <c r="BQ11" s="187">
        <v>5</v>
      </c>
      <c r="BR11" s="187">
        <v>20</v>
      </c>
      <c r="BS11" s="686">
        <v>40</v>
      </c>
      <c r="BT11" s="746">
        <f t="shared" ca="1" si="20"/>
        <v>0</v>
      </c>
      <c r="BU11" s="746">
        <f t="shared" ca="1" si="21"/>
        <v>0</v>
      </c>
      <c r="BV11" s="746">
        <f t="shared" ca="1" si="22"/>
        <v>0.13919999999999999</v>
      </c>
      <c r="BW11" s="746">
        <f t="shared" ca="1" si="23"/>
        <v>0</v>
      </c>
      <c r="BX11" s="746">
        <f t="shared" ca="1" si="24"/>
        <v>0</v>
      </c>
      <c r="BY11" s="746">
        <f t="shared" ca="1" si="25"/>
        <v>0</v>
      </c>
      <c r="BZ11" s="746">
        <f t="shared" ca="1" si="26"/>
        <v>0</v>
      </c>
      <c r="CA11" s="746">
        <f t="shared" ca="1" si="27"/>
        <v>0</v>
      </c>
      <c r="CB11" s="746">
        <f t="shared" ca="1" si="28"/>
        <v>0</v>
      </c>
      <c r="CC11" s="746">
        <f t="shared" ca="1" si="29"/>
        <v>0</v>
      </c>
      <c r="CD11" s="758">
        <f t="shared" ca="1" si="32"/>
        <v>0.13919999999999999</v>
      </c>
      <c r="CF11" s="187"/>
      <c r="CI11" s="187"/>
      <c r="CL11" s="187"/>
    </row>
    <row r="12" spans="2:90" s="78" customFormat="1" ht="10.8" hidden="1" thickBot="1">
      <c r="E12" s="689" t="s">
        <v>2214</v>
      </c>
      <c r="F12" s="766"/>
      <c r="G12" s="766"/>
      <c r="H12" s="401">
        <v>80</v>
      </c>
      <c r="I12" s="187"/>
      <c r="J12" s="187"/>
      <c r="K12" s="187">
        <v>10</v>
      </c>
      <c r="L12" s="187"/>
      <c r="M12" s="187"/>
      <c r="N12" s="187">
        <v>5</v>
      </c>
      <c r="O12" s="187"/>
      <c r="P12" s="187"/>
      <c r="Q12" s="187">
        <v>5</v>
      </c>
      <c r="R12" s="187"/>
      <c r="S12" s="187"/>
      <c r="T12" s="187">
        <v>10</v>
      </c>
      <c r="U12" s="187"/>
      <c r="V12" s="187"/>
      <c r="W12" s="187">
        <v>10</v>
      </c>
      <c r="X12" s="187"/>
      <c r="Y12" s="187"/>
      <c r="Z12" s="187">
        <v>20</v>
      </c>
      <c r="AA12" s="187">
        <v>20</v>
      </c>
      <c r="AB12" s="187">
        <v>40</v>
      </c>
      <c r="AC12" s="686">
        <v>5</v>
      </c>
      <c r="AD12" s="746">
        <f t="shared" ca="1" si="0"/>
        <v>0</v>
      </c>
      <c r="AE12" s="416">
        <f t="shared" ca="1" si="1"/>
        <v>0</v>
      </c>
      <c r="AF12" s="416">
        <f t="shared" ca="1" si="2"/>
        <v>0</v>
      </c>
      <c r="AG12" s="416">
        <f t="shared" ca="1" si="3"/>
        <v>0</v>
      </c>
      <c r="AH12" s="416">
        <f t="shared" ca="1" si="4"/>
        <v>0</v>
      </c>
      <c r="AI12" s="416">
        <f t="shared" ca="1" si="5"/>
        <v>0</v>
      </c>
      <c r="AJ12" s="416">
        <f t="shared" ca="1" si="6"/>
        <v>0</v>
      </c>
      <c r="AK12" s="416">
        <f t="shared" ca="1" si="7"/>
        <v>0</v>
      </c>
      <c r="AL12" s="416">
        <f t="shared" ca="1" si="8"/>
        <v>0</v>
      </c>
      <c r="AM12" s="747">
        <f t="shared" ca="1" si="9"/>
        <v>0</v>
      </c>
      <c r="AN12" s="762">
        <f t="shared" ca="1" si="30"/>
        <v>0</v>
      </c>
      <c r="AO12" s="401">
        <v>5</v>
      </c>
      <c r="AP12" s="187">
        <v>10</v>
      </c>
      <c r="AQ12" s="187">
        <v>20</v>
      </c>
      <c r="AR12" s="187">
        <v>5</v>
      </c>
      <c r="AS12" s="187">
        <v>5</v>
      </c>
      <c r="AT12" s="187">
        <v>20</v>
      </c>
      <c r="AU12" s="187">
        <v>10</v>
      </c>
      <c r="AV12" s="187">
        <v>40</v>
      </c>
      <c r="AW12" s="187">
        <v>20</v>
      </c>
      <c r="AX12" s="187">
        <v>10</v>
      </c>
      <c r="AY12" s="746">
        <f t="shared" ca="1" si="10"/>
        <v>0</v>
      </c>
      <c r="AZ12" s="746">
        <f t="shared" ca="1" si="11"/>
        <v>0</v>
      </c>
      <c r="BA12" s="746">
        <f t="shared" ca="1" si="12"/>
        <v>0.47454545454545455</v>
      </c>
      <c r="BB12" s="746">
        <f t="shared" ca="1" si="13"/>
        <v>0</v>
      </c>
      <c r="BC12" s="746">
        <f t="shared" ca="1" si="14"/>
        <v>0</v>
      </c>
      <c r="BD12" s="746">
        <f t="shared" ca="1" si="15"/>
        <v>0</v>
      </c>
      <c r="BE12" s="746">
        <f t="shared" ca="1" si="16"/>
        <v>0</v>
      </c>
      <c r="BF12" s="746">
        <f t="shared" ca="1" si="17"/>
        <v>0</v>
      </c>
      <c r="BG12" s="746">
        <f t="shared" ca="1" si="18"/>
        <v>0.34799999999999998</v>
      </c>
      <c r="BH12" s="746">
        <f t="shared" ca="1" si="19"/>
        <v>0</v>
      </c>
      <c r="BI12" s="760">
        <f t="shared" ca="1" si="31"/>
        <v>0.78964363636363621</v>
      </c>
      <c r="BJ12" s="401">
        <v>20</v>
      </c>
      <c r="BK12" s="187">
        <v>5</v>
      </c>
      <c r="BL12" s="187">
        <v>5</v>
      </c>
      <c r="BM12" s="187">
        <v>40</v>
      </c>
      <c r="BN12" s="187">
        <v>5</v>
      </c>
      <c r="BO12" s="187">
        <v>10</v>
      </c>
      <c r="BP12" s="187">
        <v>5</v>
      </c>
      <c r="BQ12" s="187">
        <v>20</v>
      </c>
      <c r="BR12" s="187">
        <v>10</v>
      </c>
      <c r="BS12" s="686">
        <v>20</v>
      </c>
      <c r="BT12" s="746">
        <f t="shared" ca="1" si="20"/>
        <v>0</v>
      </c>
      <c r="BU12" s="746">
        <f t="shared" ca="1" si="21"/>
        <v>0</v>
      </c>
      <c r="BV12" s="746">
        <f t="shared" ca="1" si="22"/>
        <v>0.13919999999999999</v>
      </c>
      <c r="BW12" s="746">
        <f t="shared" ca="1" si="23"/>
        <v>0</v>
      </c>
      <c r="BX12" s="746">
        <f t="shared" ca="1" si="24"/>
        <v>0</v>
      </c>
      <c r="BY12" s="746">
        <f t="shared" ca="1" si="25"/>
        <v>0</v>
      </c>
      <c r="BZ12" s="746">
        <f t="shared" ca="1" si="26"/>
        <v>0</v>
      </c>
      <c r="CA12" s="746">
        <f t="shared" ca="1" si="27"/>
        <v>0</v>
      </c>
      <c r="CB12" s="746">
        <f t="shared" ca="1" si="28"/>
        <v>0</v>
      </c>
      <c r="CC12" s="746">
        <f t="shared" ca="1" si="29"/>
        <v>0</v>
      </c>
      <c r="CD12" s="758">
        <f t="shared" ca="1" si="32"/>
        <v>0.13919999999999999</v>
      </c>
      <c r="CF12" s="187"/>
      <c r="CI12" s="187"/>
      <c r="CL12" s="187"/>
    </row>
    <row r="13" spans="2:90" s="78" customFormat="1" ht="10.8" hidden="1" thickBot="1">
      <c r="E13" s="689" t="s">
        <v>655</v>
      </c>
      <c r="F13" s="766"/>
      <c r="G13" s="766"/>
      <c r="H13" s="401">
        <v>10</v>
      </c>
      <c r="I13" s="187"/>
      <c r="J13" s="187"/>
      <c r="K13" s="187">
        <v>20</v>
      </c>
      <c r="L13" s="187"/>
      <c r="M13" s="187"/>
      <c r="N13" s="187">
        <v>5</v>
      </c>
      <c r="O13" s="187"/>
      <c r="P13" s="187"/>
      <c r="Q13" s="187">
        <v>5</v>
      </c>
      <c r="R13" s="187"/>
      <c r="S13" s="187"/>
      <c r="T13" s="187">
        <v>20</v>
      </c>
      <c r="U13" s="187"/>
      <c r="V13" s="187"/>
      <c r="W13" s="187">
        <v>10</v>
      </c>
      <c r="X13" s="187"/>
      <c r="Y13" s="187"/>
      <c r="Z13" s="187">
        <v>10</v>
      </c>
      <c r="AA13" s="187">
        <v>40</v>
      </c>
      <c r="AB13" s="187">
        <v>10</v>
      </c>
      <c r="AC13" s="686">
        <v>5</v>
      </c>
      <c r="AD13" s="746">
        <f t="shared" ca="1" si="0"/>
        <v>0</v>
      </c>
      <c r="AE13" s="416">
        <f t="shared" ca="1" si="1"/>
        <v>0</v>
      </c>
      <c r="AF13" s="416">
        <f t="shared" ca="1" si="2"/>
        <v>0</v>
      </c>
      <c r="AG13" s="416">
        <f t="shared" ca="1" si="3"/>
        <v>0</v>
      </c>
      <c r="AH13" s="416">
        <f t="shared" ca="1" si="4"/>
        <v>0</v>
      </c>
      <c r="AI13" s="416">
        <f t="shared" ca="1" si="5"/>
        <v>0</v>
      </c>
      <c r="AJ13" s="416">
        <f t="shared" ca="1" si="6"/>
        <v>0</v>
      </c>
      <c r="AK13" s="416">
        <f t="shared" ca="1" si="7"/>
        <v>0</v>
      </c>
      <c r="AL13" s="416">
        <f t="shared" ca="1" si="8"/>
        <v>0</v>
      </c>
      <c r="AM13" s="747">
        <f t="shared" ca="1" si="9"/>
        <v>0</v>
      </c>
      <c r="AN13" s="762">
        <f t="shared" ca="1" si="30"/>
        <v>0</v>
      </c>
      <c r="AO13" s="401">
        <v>5</v>
      </c>
      <c r="AP13" s="187">
        <v>20</v>
      </c>
      <c r="AQ13" s="187">
        <v>10</v>
      </c>
      <c r="AR13" s="187">
        <v>80</v>
      </c>
      <c r="AS13" s="187">
        <v>80</v>
      </c>
      <c r="AT13" s="187">
        <v>40</v>
      </c>
      <c r="AU13" s="187">
        <v>20</v>
      </c>
      <c r="AV13" s="187">
        <v>20</v>
      </c>
      <c r="AW13" s="187">
        <v>10</v>
      </c>
      <c r="AX13" s="187">
        <v>20</v>
      </c>
      <c r="AY13" s="746">
        <f t="shared" ca="1" si="10"/>
        <v>0</v>
      </c>
      <c r="AZ13" s="746">
        <f t="shared" ca="1" si="11"/>
        <v>0</v>
      </c>
      <c r="BA13" s="746">
        <f t="shared" ca="1" si="12"/>
        <v>0.23727272727272727</v>
      </c>
      <c r="BB13" s="746">
        <f t="shared" ca="1" si="13"/>
        <v>0</v>
      </c>
      <c r="BC13" s="746">
        <f t="shared" ca="1" si="14"/>
        <v>0</v>
      </c>
      <c r="BD13" s="746">
        <f t="shared" ca="1" si="15"/>
        <v>0</v>
      </c>
      <c r="BE13" s="746">
        <f t="shared" ca="1" si="16"/>
        <v>0</v>
      </c>
      <c r="BF13" s="746">
        <f t="shared" ca="1" si="17"/>
        <v>0</v>
      </c>
      <c r="BG13" s="746">
        <f t="shared" ca="1" si="18"/>
        <v>0.17399999999999999</v>
      </c>
      <c r="BH13" s="746">
        <f t="shared" ca="1" si="19"/>
        <v>0</v>
      </c>
      <c r="BI13" s="760">
        <f t="shared" ca="1" si="31"/>
        <v>0.32901818181818182</v>
      </c>
      <c r="BJ13" s="401">
        <v>5</v>
      </c>
      <c r="BK13" s="187">
        <v>5</v>
      </c>
      <c r="BL13" s="187">
        <v>5</v>
      </c>
      <c r="BM13" s="187">
        <v>20</v>
      </c>
      <c r="BN13" s="187">
        <v>10</v>
      </c>
      <c r="BO13" s="187">
        <v>40</v>
      </c>
      <c r="BP13" s="187">
        <v>10</v>
      </c>
      <c r="BQ13" s="187">
        <v>5</v>
      </c>
      <c r="BR13" s="187">
        <v>40</v>
      </c>
      <c r="BS13" s="686">
        <v>20</v>
      </c>
      <c r="BT13" s="746">
        <f t="shared" ca="1" si="20"/>
        <v>0</v>
      </c>
      <c r="BU13" s="746">
        <f t="shared" ca="1" si="21"/>
        <v>0</v>
      </c>
      <c r="BV13" s="746">
        <f t="shared" ca="1" si="22"/>
        <v>0.13919999999999999</v>
      </c>
      <c r="BW13" s="746">
        <f t="shared" ca="1" si="23"/>
        <v>0</v>
      </c>
      <c r="BX13" s="746">
        <f t="shared" ca="1" si="24"/>
        <v>0</v>
      </c>
      <c r="BY13" s="746">
        <f t="shared" ca="1" si="25"/>
        <v>0</v>
      </c>
      <c r="BZ13" s="746">
        <f t="shared" ca="1" si="26"/>
        <v>0</v>
      </c>
      <c r="CA13" s="746">
        <f t="shared" ca="1" si="27"/>
        <v>0</v>
      </c>
      <c r="CB13" s="746">
        <f t="shared" ca="1" si="28"/>
        <v>0</v>
      </c>
      <c r="CC13" s="746">
        <f t="shared" ca="1" si="29"/>
        <v>0</v>
      </c>
      <c r="CD13" s="758">
        <f t="shared" ca="1" si="32"/>
        <v>0.13919999999999999</v>
      </c>
      <c r="CF13" s="187"/>
      <c r="CI13" s="187"/>
      <c r="CL13" s="187"/>
    </row>
    <row r="14" spans="2:90" s="78" customFormat="1" ht="10.8" hidden="1" thickBot="1">
      <c r="E14" s="689" t="s">
        <v>2212</v>
      </c>
      <c r="F14" s="766"/>
      <c r="G14" s="766"/>
      <c r="H14" s="401">
        <v>5</v>
      </c>
      <c r="I14" s="187"/>
      <c r="J14" s="187"/>
      <c r="K14" s="187">
        <v>5</v>
      </c>
      <c r="L14" s="187"/>
      <c r="M14" s="187"/>
      <c r="N14" s="187">
        <v>5</v>
      </c>
      <c r="O14" s="187"/>
      <c r="P14" s="187"/>
      <c r="Q14" s="187">
        <v>5</v>
      </c>
      <c r="R14" s="187"/>
      <c r="S14" s="187"/>
      <c r="T14" s="187">
        <v>20</v>
      </c>
      <c r="U14" s="187"/>
      <c r="V14" s="187"/>
      <c r="W14" s="187">
        <v>10</v>
      </c>
      <c r="X14" s="187"/>
      <c r="Y14" s="187"/>
      <c r="Z14" s="187">
        <v>5</v>
      </c>
      <c r="AA14" s="187">
        <v>40</v>
      </c>
      <c r="AB14" s="187">
        <v>40</v>
      </c>
      <c r="AC14" s="686">
        <v>20</v>
      </c>
      <c r="AD14" s="746">
        <f t="shared" ca="1" si="0"/>
        <v>0</v>
      </c>
      <c r="AE14" s="416">
        <f t="shared" ca="1" si="1"/>
        <v>0</v>
      </c>
      <c r="AF14" s="416">
        <f t="shared" ca="1" si="2"/>
        <v>0</v>
      </c>
      <c r="AG14" s="416">
        <f t="shared" ca="1" si="3"/>
        <v>0</v>
      </c>
      <c r="AH14" s="416">
        <f t="shared" ca="1" si="4"/>
        <v>0</v>
      </c>
      <c r="AI14" s="416">
        <f t="shared" ca="1" si="5"/>
        <v>0</v>
      </c>
      <c r="AJ14" s="416">
        <f t="shared" ca="1" si="6"/>
        <v>0</v>
      </c>
      <c r="AK14" s="416">
        <f t="shared" ca="1" si="7"/>
        <v>0</v>
      </c>
      <c r="AL14" s="416">
        <f t="shared" ca="1" si="8"/>
        <v>0</v>
      </c>
      <c r="AM14" s="747">
        <f t="shared" ca="1" si="9"/>
        <v>0</v>
      </c>
      <c r="AN14" s="762">
        <f t="shared" ca="1" si="30"/>
        <v>0</v>
      </c>
      <c r="AO14" s="401">
        <v>5</v>
      </c>
      <c r="AP14" s="187">
        <v>5</v>
      </c>
      <c r="AQ14" s="187">
        <v>10</v>
      </c>
      <c r="AR14" s="187">
        <v>5</v>
      </c>
      <c r="AS14" s="187">
        <v>5</v>
      </c>
      <c r="AT14" s="187">
        <v>20</v>
      </c>
      <c r="AU14" s="187">
        <v>5</v>
      </c>
      <c r="AV14" s="187">
        <v>10</v>
      </c>
      <c r="AW14" s="187">
        <v>10</v>
      </c>
      <c r="AX14" s="187">
        <v>40</v>
      </c>
      <c r="AY14" s="746">
        <f t="shared" ca="1" si="10"/>
        <v>0</v>
      </c>
      <c r="AZ14" s="746">
        <f t="shared" ca="1" si="11"/>
        <v>0</v>
      </c>
      <c r="BA14" s="746">
        <f t="shared" ca="1" si="12"/>
        <v>0.23727272727272727</v>
      </c>
      <c r="BB14" s="746">
        <f t="shared" ca="1" si="13"/>
        <v>0</v>
      </c>
      <c r="BC14" s="746">
        <f t="shared" ca="1" si="14"/>
        <v>0</v>
      </c>
      <c r="BD14" s="746">
        <f t="shared" ca="1" si="15"/>
        <v>0</v>
      </c>
      <c r="BE14" s="746">
        <f t="shared" ca="1" si="16"/>
        <v>0</v>
      </c>
      <c r="BF14" s="746">
        <f t="shared" ca="1" si="17"/>
        <v>0</v>
      </c>
      <c r="BG14" s="746">
        <f t="shared" ca="1" si="18"/>
        <v>0.17399999999999999</v>
      </c>
      <c r="BH14" s="746">
        <f t="shared" ca="1" si="19"/>
        <v>0</v>
      </c>
      <c r="BI14" s="760">
        <f t="shared" ca="1" si="31"/>
        <v>0.31667999999999996</v>
      </c>
      <c r="BJ14" s="401">
        <v>40</v>
      </c>
      <c r="BK14" s="187">
        <v>20</v>
      </c>
      <c r="BL14" s="187">
        <v>40</v>
      </c>
      <c r="BM14" s="187">
        <v>20</v>
      </c>
      <c r="BN14" s="187">
        <v>5</v>
      </c>
      <c r="BO14" s="187">
        <v>40</v>
      </c>
      <c r="BP14" s="187">
        <v>80</v>
      </c>
      <c r="BQ14" s="187">
        <v>10</v>
      </c>
      <c r="BR14" s="187">
        <v>5</v>
      </c>
      <c r="BS14" s="686">
        <v>10</v>
      </c>
      <c r="BT14" s="746">
        <f t="shared" ca="1" si="20"/>
        <v>0</v>
      </c>
      <c r="BU14" s="746">
        <f t="shared" ca="1" si="21"/>
        <v>0</v>
      </c>
      <c r="BV14" s="746">
        <f t="shared" ca="1" si="22"/>
        <v>1.1135999999999999</v>
      </c>
      <c r="BW14" s="746">
        <f t="shared" ca="1" si="23"/>
        <v>0</v>
      </c>
      <c r="BX14" s="746">
        <f t="shared" ca="1" si="24"/>
        <v>0</v>
      </c>
      <c r="BY14" s="746">
        <f t="shared" ca="1" si="25"/>
        <v>0</v>
      </c>
      <c r="BZ14" s="746">
        <f t="shared" ca="1" si="26"/>
        <v>0</v>
      </c>
      <c r="CA14" s="746">
        <f t="shared" ca="1" si="27"/>
        <v>0</v>
      </c>
      <c r="CB14" s="746">
        <f t="shared" ca="1" si="28"/>
        <v>0</v>
      </c>
      <c r="CC14" s="746">
        <f t="shared" ca="1" si="29"/>
        <v>0</v>
      </c>
      <c r="CD14" s="758">
        <f t="shared" ca="1" si="32"/>
        <v>1.1135999999999999</v>
      </c>
      <c r="CF14" s="187"/>
      <c r="CI14" s="187"/>
      <c r="CL14" s="187"/>
    </row>
    <row r="15" spans="2:90" s="78" customFormat="1" ht="10.8" hidden="1" thickBot="1">
      <c r="E15" s="689" t="s">
        <v>597</v>
      </c>
      <c r="F15" s="766"/>
      <c r="G15" s="766"/>
      <c r="H15" s="401">
        <v>10</v>
      </c>
      <c r="I15" s="187"/>
      <c r="J15" s="187"/>
      <c r="K15" s="187">
        <v>80</v>
      </c>
      <c r="L15" s="187"/>
      <c r="M15" s="187"/>
      <c r="N15" s="187">
        <v>80</v>
      </c>
      <c r="O15" s="187"/>
      <c r="P15" s="187"/>
      <c r="Q15" s="187">
        <v>20</v>
      </c>
      <c r="R15" s="187"/>
      <c r="S15" s="187"/>
      <c r="T15" s="187">
        <v>5</v>
      </c>
      <c r="U15" s="187"/>
      <c r="V15" s="187"/>
      <c r="W15" s="187">
        <v>5</v>
      </c>
      <c r="X15" s="187"/>
      <c r="Y15" s="187"/>
      <c r="Z15" s="187">
        <v>10</v>
      </c>
      <c r="AA15" s="187">
        <v>5</v>
      </c>
      <c r="AB15" s="187">
        <v>10</v>
      </c>
      <c r="AC15" s="686">
        <v>10</v>
      </c>
      <c r="AD15" s="746">
        <f t="shared" ca="1" si="0"/>
        <v>0</v>
      </c>
      <c r="AE15" s="416">
        <f t="shared" ca="1" si="1"/>
        <v>0</v>
      </c>
      <c r="AF15" s="416">
        <f t="shared" ca="1" si="2"/>
        <v>0</v>
      </c>
      <c r="AG15" s="416">
        <f t="shared" ca="1" si="3"/>
        <v>0</v>
      </c>
      <c r="AH15" s="416">
        <f t="shared" ca="1" si="4"/>
        <v>0</v>
      </c>
      <c r="AI15" s="416">
        <f t="shared" ca="1" si="5"/>
        <v>0</v>
      </c>
      <c r="AJ15" s="416">
        <f t="shared" ca="1" si="6"/>
        <v>0</v>
      </c>
      <c r="AK15" s="416">
        <f t="shared" ca="1" si="7"/>
        <v>0</v>
      </c>
      <c r="AL15" s="416">
        <f t="shared" ca="1" si="8"/>
        <v>0</v>
      </c>
      <c r="AM15" s="747">
        <f t="shared" ca="1" si="9"/>
        <v>0</v>
      </c>
      <c r="AN15" s="762">
        <f t="shared" ca="1" si="30"/>
        <v>0</v>
      </c>
      <c r="AO15" s="401">
        <v>5</v>
      </c>
      <c r="AP15" s="187">
        <v>80</v>
      </c>
      <c r="AQ15" s="187">
        <v>40</v>
      </c>
      <c r="AR15" s="187">
        <v>10</v>
      </c>
      <c r="AS15" s="187">
        <v>40</v>
      </c>
      <c r="AT15" s="187">
        <v>5</v>
      </c>
      <c r="AU15" s="187">
        <v>10</v>
      </c>
      <c r="AV15" s="187">
        <v>20</v>
      </c>
      <c r="AW15" s="187">
        <v>20</v>
      </c>
      <c r="AX15" s="187">
        <v>40</v>
      </c>
      <c r="AY15" s="746">
        <f t="shared" ca="1" si="10"/>
        <v>0</v>
      </c>
      <c r="AZ15" s="746">
        <f t="shared" ca="1" si="11"/>
        <v>0</v>
      </c>
      <c r="BA15" s="746">
        <f t="shared" ca="1" si="12"/>
        <v>0.9490909090909091</v>
      </c>
      <c r="BB15" s="746">
        <f t="shared" ca="1" si="13"/>
        <v>0</v>
      </c>
      <c r="BC15" s="746">
        <f t="shared" ca="1" si="14"/>
        <v>0</v>
      </c>
      <c r="BD15" s="746">
        <f t="shared" ca="1" si="15"/>
        <v>0</v>
      </c>
      <c r="BE15" s="746">
        <f t="shared" ca="1" si="16"/>
        <v>0</v>
      </c>
      <c r="BF15" s="746">
        <f t="shared" ca="1" si="17"/>
        <v>0</v>
      </c>
      <c r="BG15" s="746">
        <f t="shared" ca="1" si="18"/>
        <v>0.34799999999999998</v>
      </c>
      <c r="BH15" s="746">
        <f t="shared" ca="1" si="19"/>
        <v>0</v>
      </c>
      <c r="BI15" s="760">
        <f t="shared" ca="1" si="31"/>
        <v>1.0247018181818182</v>
      </c>
      <c r="BJ15" s="401">
        <v>10</v>
      </c>
      <c r="BK15" s="187">
        <v>20</v>
      </c>
      <c r="BL15" s="187">
        <v>5</v>
      </c>
      <c r="BM15" s="187">
        <v>20</v>
      </c>
      <c r="BN15" s="187">
        <v>5</v>
      </c>
      <c r="BO15" s="187">
        <v>20</v>
      </c>
      <c r="BP15" s="187">
        <v>5</v>
      </c>
      <c r="BQ15" s="187">
        <v>10</v>
      </c>
      <c r="BR15" s="187">
        <v>80</v>
      </c>
      <c r="BS15" s="686">
        <v>10</v>
      </c>
      <c r="BT15" s="746">
        <f t="shared" ca="1" si="20"/>
        <v>0</v>
      </c>
      <c r="BU15" s="746">
        <f t="shared" ca="1" si="21"/>
        <v>0</v>
      </c>
      <c r="BV15" s="746">
        <f t="shared" ca="1" si="22"/>
        <v>0.13919999999999999</v>
      </c>
      <c r="BW15" s="746">
        <f t="shared" ca="1" si="23"/>
        <v>0</v>
      </c>
      <c r="BX15" s="746">
        <f t="shared" ca="1" si="24"/>
        <v>0</v>
      </c>
      <c r="BY15" s="746">
        <f t="shared" ca="1" si="25"/>
        <v>0</v>
      </c>
      <c r="BZ15" s="746">
        <f t="shared" ca="1" si="26"/>
        <v>0</v>
      </c>
      <c r="CA15" s="746">
        <f t="shared" ca="1" si="27"/>
        <v>0</v>
      </c>
      <c r="CB15" s="746">
        <f t="shared" ca="1" si="28"/>
        <v>0</v>
      </c>
      <c r="CC15" s="746">
        <f t="shared" ca="1" si="29"/>
        <v>0</v>
      </c>
      <c r="CD15" s="758">
        <f t="shared" ca="1" si="32"/>
        <v>0.13919999999999999</v>
      </c>
      <c r="CF15" s="187"/>
      <c r="CI15" s="187"/>
      <c r="CL15" s="187"/>
    </row>
    <row r="16" spans="2:90" s="78" customFormat="1" ht="10.8" hidden="1" thickBot="1">
      <c r="E16" s="689" t="s">
        <v>575</v>
      </c>
      <c r="F16" s="766"/>
      <c r="G16" s="766"/>
      <c r="H16" s="401">
        <v>5</v>
      </c>
      <c r="I16" s="187"/>
      <c r="J16" s="187"/>
      <c r="K16" s="187">
        <v>5</v>
      </c>
      <c r="L16" s="187"/>
      <c r="M16" s="187"/>
      <c r="N16" s="187">
        <v>5</v>
      </c>
      <c r="O16" s="187"/>
      <c r="P16" s="187"/>
      <c r="Q16" s="187">
        <v>5</v>
      </c>
      <c r="R16" s="187"/>
      <c r="S16" s="187"/>
      <c r="T16" s="187">
        <v>40</v>
      </c>
      <c r="U16" s="187"/>
      <c r="V16" s="187"/>
      <c r="W16" s="187">
        <v>80</v>
      </c>
      <c r="X16" s="187"/>
      <c r="Y16" s="187"/>
      <c r="Z16" s="187">
        <v>10</v>
      </c>
      <c r="AA16" s="187">
        <v>20</v>
      </c>
      <c r="AB16" s="187">
        <v>5</v>
      </c>
      <c r="AC16" s="686">
        <v>5</v>
      </c>
      <c r="AD16" s="746">
        <f t="shared" ca="1" si="0"/>
        <v>0</v>
      </c>
      <c r="AE16" s="416">
        <f t="shared" ca="1" si="1"/>
        <v>0</v>
      </c>
      <c r="AF16" s="416">
        <f t="shared" ca="1" si="2"/>
        <v>0</v>
      </c>
      <c r="AG16" s="416">
        <f t="shared" ca="1" si="3"/>
        <v>0</v>
      </c>
      <c r="AH16" s="416">
        <f t="shared" ca="1" si="4"/>
        <v>0</v>
      </c>
      <c r="AI16" s="416">
        <f t="shared" ca="1" si="5"/>
        <v>0</v>
      </c>
      <c r="AJ16" s="416">
        <f t="shared" ca="1" si="6"/>
        <v>0</v>
      </c>
      <c r="AK16" s="416">
        <f t="shared" ca="1" si="7"/>
        <v>0</v>
      </c>
      <c r="AL16" s="416">
        <f t="shared" ca="1" si="8"/>
        <v>0</v>
      </c>
      <c r="AM16" s="747">
        <f t="shared" ca="1" si="9"/>
        <v>0</v>
      </c>
      <c r="AN16" s="762">
        <f t="shared" ca="1" si="30"/>
        <v>0</v>
      </c>
      <c r="AO16" s="401">
        <v>5</v>
      </c>
      <c r="AP16" s="187">
        <v>5</v>
      </c>
      <c r="AQ16" s="187">
        <v>5</v>
      </c>
      <c r="AR16" s="187">
        <v>10</v>
      </c>
      <c r="AS16" s="187">
        <v>10</v>
      </c>
      <c r="AT16" s="187">
        <v>5</v>
      </c>
      <c r="AU16" s="187">
        <v>20</v>
      </c>
      <c r="AV16" s="187">
        <v>80</v>
      </c>
      <c r="AW16" s="187">
        <v>20</v>
      </c>
      <c r="AX16" s="187">
        <v>5</v>
      </c>
      <c r="AY16" s="746">
        <f t="shared" ca="1" si="10"/>
        <v>0</v>
      </c>
      <c r="AZ16" s="746">
        <f t="shared" ca="1" si="11"/>
        <v>0</v>
      </c>
      <c r="BA16" s="746">
        <f t="shared" ca="1" si="12"/>
        <v>0.11863636363636364</v>
      </c>
      <c r="BB16" s="746">
        <f t="shared" ca="1" si="13"/>
        <v>0</v>
      </c>
      <c r="BC16" s="746">
        <f t="shared" ca="1" si="14"/>
        <v>0</v>
      </c>
      <c r="BD16" s="746">
        <f t="shared" ca="1" si="15"/>
        <v>0</v>
      </c>
      <c r="BE16" s="746">
        <f t="shared" ca="1" si="16"/>
        <v>0</v>
      </c>
      <c r="BF16" s="746">
        <f t="shared" ca="1" si="17"/>
        <v>0</v>
      </c>
      <c r="BG16" s="746">
        <f t="shared" ca="1" si="18"/>
        <v>0.34799999999999998</v>
      </c>
      <c r="BH16" s="746">
        <f t="shared" ca="1" si="19"/>
        <v>0</v>
      </c>
      <c r="BI16" s="760">
        <f t="shared" ca="1" si="31"/>
        <v>0.25664999999999999</v>
      </c>
      <c r="BJ16" s="401">
        <v>5</v>
      </c>
      <c r="BK16" s="187">
        <v>10</v>
      </c>
      <c r="BL16" s="187">
        <v>10</v>
      </c>
      <c r="BM16" s="187">
        <v>10</v>
      </c>
      <c r="BN16" s="187">
        <v>80</v>
      </c>
      <c r="BO16" s="187">
        <v>40</v>
      </c>
      <c r="BP16" s="187">
        <v>5</v>
      </c>
      <c r="BQ16" s="187">
        <v>5</v>
      </c>
      <c r="BR16" s="187">
        <v>5</v>
      </c>
      <c r="BS16" s="686">
        <v>10</v>
      </c>
      <c r="BT16" s="746">
        <f t="shared" ca="1" si="20"/>
        <v>0</v>
      </c>
      <c r="BU16" s="746">
        <f t="shared" ca="1" si="21"/>
        <v>0</v>
      </c>
      <c r="BV16" s="746">
        <f t="shared" ca="1" si="22"/>
        <v>0.27839999999999998</v>
      </c>
      <c r="BW16" s="746">
        <f t="shared" ca="1" si="23"/>
        <v>0</v>
      </c>
      <c r="BX16" s="746">
        <f t="shared" ca="1" si="24"/>
        <v>0</v>
      </c>
      <c r="BY16" s="746">
        <f t="shared" ca="1" si="25"/>
        <v>0</v>
      </c>
      <c r="BZ16" s="746">
        <f t="shared" ca="1" si="26"/>
        <v>0</v>
      </c>
      <c r="CA16" s="746">
        <f t="shared" ca="1" si="27"/>
        <v>0</v>
      </c>
      <c r="CB16" s="746">
        <f t="shared" ca="1" si="28"/>
        <v>0</v>
      </c>
      <c r="CC16" s="746">
        <f t="shared" ca="1" si="29"/>
        <v>0</v>
      </c>
      <c r="CD16" s="758">
        <f t="shared" ca="1" si="32"/>
        <v>0.27839999999999998</v>
      </c>
      <c r="CF16" s="187"/>
      <c r="CI16" s="187"/>
      <c r="CL16" s="187"/>
    </row>
    <row r="17" spans="2:90" s="78" customFormat="1" ht="10.8" hidden="1" thickBot="1">
      <c r="E17" s="689" t="s">
        <v>613</v>
      </c>
      <c r="F17" s="766"/>
      <c r="G17" s="766"/>
      <c r="H17" s="401">
        <v>10</v>
      </c>
      <c r="I17" s="187"/>
      <c r="J17" s="187"/>
      <c r="K17" s="187">
        <v>10</v>
      </c>
      <c r="L17" s="187"/>
      <c r="M17" s="187"/>
      <c r="N17" s="187">
        <v>10</v>
      </c>
      <c r="O17" s="187"/>
      <c r="P17" s="187"/>
      <c r="Q17" s="187">
        <v>20</v>
      </c>
      <c r="R17" s="187"/>
      <c r="S17" s="187"/>
      <c r="T17" s="187">
        <v>10</v>
      </c>
      <c r="U17" s="187"/>
      <c r="V17" s="187"/>
      <c r="W17" s="187">
        <v>10</v>
      </c>
      <c r="X17" s="187"/>
      <c r="Y17" s="187"/>
      <c r="Z17" s="187">
        <v>20</v>
      </c>
      <c r="AA17" s="187">
        <v>20</v>
      </c>
      <c r="AB17" s="187">
        <v>40</v>
      </c>
      <c r="AC17" s="686">
        <v>10</v>
      </c>
      <c r="AD17" s="746">
        <f t="shared" ca="1" si="0"/>
        <v>0</v>
      </c>
      <c r="AE17" s="416">
        <f t="shared" ca="1" si="1"/>
        <v>0</v>
      </c>
      <c r="AF17" s="416">
        <f t="shared" ca="1" si="2"/>
        <v>0</v>
      </c>
      <c r="AG17" s="416">
        <f t="shared" ca="1" si="3"/>
        <v>0</v>
      </c>
      <c r="AH17" s="416">
        <f t="shared" ca="1" si="4"/>
        <v>0</v>
      </c>
      <c r="AI17" s="416">
        <f t="shared" ca="1" si="5"/>
        <v>0</v>
      </c>
      <c r="AJ17" s="416">
        <f t="shared" ca="1" si="6"/>
        <v>0</v>
      </c>
      <c r="AK17" s="416">
        <f t="shared" ca="1" si="7"/>
        <v>0</v>
      </c>
      <c r="AL17" s="416">
        <f t="shared" ca="1" si="8"/>
        <v>0</v>
      </c>
      <c r="AM17" s="747">
        <f t="shared" ca="1" si="9"/>
        <v>0</v>
      </c>
      <c r="AN17" s="762">
        <f t="shared" ca="1" si="30"/>
        <v>0</v>
      </c>
      <c r="AO17" s="401">
        <v>10</v>
      </c>
      <c r="AP17" s="187">
        <v>10</v>
      </c>
      <c r="AQ17" s="187">
        <v>40</v>
      </c>
      <c r="AR17" s="187">
        <v>5</v>
      </c>
      <c r="AS17" s="187">
        <v>5</v>
      </c>
      <c r="AT17" s="187">
        <v>20</v>
      </c>
      <c r="AU17" s="187">
        <v>5</v>
      </c>
      <c r="AV17" s="187">
        <v>40</v>
      </c>
      <c r="AW17" s="187">
        <v>10</v>
      </c>
      <c r="AX17" s="187">
        <v>5</v>
      </c>
      <c r="AY17" s="746">
        <f t="shared" ca="1" si="10"/>
        <v>0</v>
      </c>
      <c r="AZ17" s="746">
        <f t="shared" ca="1" si="11"/>
        <v>0</v>
      </c>
      <c r="BA17" s="746">
        <f t="shared" ca="1" si="12"/>
        <v>0.9490909090909091</v>
      </c>
      <c r="BB17" s="746">
        <f t="shared" ca="1" si="13"/>
        <v>0</v>
      </c>
      <c r="BC17" s="746">
        <f t="shared" ca="1" si="14"/>
        <v>0</v>
      </c>
      <c r="BD17" s="746">
        <f t="shared" ca="1" si="15"/>
        <v>0</v>
      </c>
      <c r="BE17" s="746">
        <f t="shared" ca="1" si="16"/>
        <v>0</v>
      </c>
      <c r="BF17" s="746">
        <f t="shared" ca="1" si="17"/>
        <v>0</v>
      </c>
      <c r="BG17" s="746">
        <f t="shared" ca="1" si="18"/>
        <v>0.17399999999999999</v>
      </c>
      <c r="BH17" s="746">
        <f t="shared" ca="1" si="19"/>
        <v>0</v>
      </c>
      <c r="BI17" s="760">
        <f t="shared" ca="1" si="31"/>
        <v>1.0557054545454545</v>
      </c>
      <c r="BJ17" s="401">
        <v>40</v>
      </c>
      <c r="BK17" s="187">
        <v>80</v>
      </c>
      <c r="BL17" s="187">
        <v>80</v>
      </c>
      <c r="BM17" s="187">
        <v>5</v>
      </c>
      <c r="BN17" s="187">
        <v>40</v>
      </c>
      <c r="BO17" s="187">
        <v>40</v>
      </c>
      <c r="BP17" s="187">
        <v>40</v>
      </c>
      <c r="BQ17" s="187">
        <v>10</v>
      </c>
      <c r="BR17" s="187">
        <v>10</v>
      </c>
      <c r="BS17" s="686">
        <v>5</v>
      </c>
      <c r="BT17" s="746">
        <f t="shared" ca="1" si="20"/>
        <v>0</v>
      </c>
      <c r="BU17" s="746">
        <f t="shared" ca="1" si="21"/>
        <v>0</v>
      </c>
      <c r="BV17" s="746">
        <f t="shared" ca="1" si="22"/>
        <v>2.2271999999999998</v>
      </c>
      <c r="BW17" s="746">
        <f t="shared" ca="1" si="23"/>
        <v>0</v>
      </c>
      <c r="BX17" s="746">
        <f t="shared" ca="1" si="24"/>
        <v>0</v>
      </c>
      <c r="BY17" s="746">
        <f t="shared" ca="1" si="25"/>
        <v>0</v>
      </c>
      <c r="BZ17" s="746">
        <f t="shared" ca="1" si="26"/>
        <v>0</v>
      </c>
      <c r="CA17" s="746">
        <f t="shared" ca="1" si="27"/>
        <v>0</v>
      </c>
      <c r="CB17" s="746">
        <f t="shared" ca="1" si="28"/>
        <v>0</v>
      </c>
      <c r="CC17" s="746">
        <f t="shared" ca="1" si="29"/>
        <v>0</v>
      </c>
      <c r="CD17" s="758">
        <f t="shared" ca="1" si="32"/>
        <v>2.2271999999999998</v>
      </c>
      <c r="CF17" s="187"/>
      <c r="CI17" s="187"/>
      <c r="CL17" s="187"/>
    </row>
    <row r="18" spans="2:90" s="78" customFormat="1" ht="10.8" hidden="1" thickBot="1">
      <c r="E18" s="689" t="s">
        <v>1216</v>
      </c>
      <c r="F18" s="766"/>
      <c r="G18" s="766"/>
      <c r="H18" s="401">
        <v>5</v>
      </c>
      <c r="I18" s="187"/>
      <c r="J18" s="187"/>
      <c r="K18" s="187">
        <v>10</v>
      </c>
      <c r="L18" s="187"/>
      <c r="M18" s="187"/>
      <c r="N18" s="187">
        <v>5</v>
      </c>
      <c r="O18" s="187"/>
      <c r="P18" s="187"/>
      <c r="Q18" s="187">
        <v>5</v>
      </c>
      <c r="R18" s="187"/>
      <c r="S18" s="187"/>
      <c r="T18" s="187">
        <v>20</v>
      </c>
      <c r="U18" s="187"/>
      <c r="V18" s="187"/>
      <c r="W18" s="187">
        <v>10</v>
      </c>
      <c r="X18" s="187"/>
      <c r="Y18" s="187"/>
      <c r="Z18" s="187">
        <v>10</v>
      </c>
      <c r="AA18" s="187">
        <v>40</v>
      </c>
      <c r="AB18" s="187">
        <v>40</v>
      </c>
      <c r="AC18" s="686">
        <v>40</v>
      </c>
      <c r="AD18" s="746">
        <f t="shared" ca="1" si="0"/>
        <v>0</v>
      </c>
      <c r="AE18" s="416">
        <f t="shared" ca="1" si="1"/>
        <v>0</v>
      </c>
      <c r="AF18" s="416">
        <f t="shared" ca="1" si="2"/>
        <v>0</v>
      </c>
      <c r="AG18" s="416">
        <f t="shared" ca="1" si="3"/>
        <v>0</v>
      </c>
      <c r="AH18" s="416">
        <f t="shared" ca="1" si="4"/>
        <v>0</v>
      </c>
      <c r="AI18" s="416">
        <f t="shared" ca="1" si="5"/>
        <v>0</v>
      </c>
      <c r="AJ18" s="416">
        <f t="shared" ca="1" si="6"/>
        <v>0</v>
      </c>
      <c r="AK18" s="416">
        <f t="shared" ca="1" si="7"/>
        <v>0</v>
      </c>
      <c r="AL18" s="416">
        <f t="shared" ca="1" si="8"/>
        <v>0</v>
      </c>
      <c r="AM18" s="747">
        <f t="shared" ca="1" si="9"/>
        <v>0</v>
      </c>
      <c r="AN18" s="762">
        <f t="shared" ca="1" si="30"/>
        <v>0</v>
      </c>
      <c r="AO18" s="401">
        <v>5</v>
      </c>
      <c r="AP18" s="187">
        <v>5</v>
      </c>
      <c r="AQ18" s="187">
        <v>20</v>
      </c>
      <c r="AR18" s="187">
        <v>5</v>
      </c>
      <c r="AS18" s="187">
        <v>5</v>
      </c>
      <c r="AT18" s="187">
        <v>20</v>
      </c>
      <c r="AU18" s="187">
        <v>10</v>
      </c>
      <c r="AV18" s="187">
        <v>20</v>
      </c>
      <c r="AW18" s="187">
        <v>40</v>
      </c>
      <c r="AX18" s="187">
        <v>5</v>
      </c>
      <c r="AY18" s="746">
        <f t="shared" ca="1" si="10"/>
        <v>0</v>
      </c>
      <c r="AZ18" s="746">
        <f t="shared" ca="1" si="11"/>
        <v>0</v>
      </c>
      <c r="BA18" s="746">
        <f t="shared" ca="1" si="12"/>
        <v>0.47454545454545455</v>
      </c>
      <c r="BB18" s="746">
        <f t="shared" ca="1" si="13"/>
        <v>0</v>
      </c>
      <c r="BC18" s="746">
        <f t="shared" ca="1" si="14"/>
        <v>0</v>
      </c>
      <c r="BD18" s="746">
        <f t="shared" ca="1" si="15"/>
        <v>0</v>
      </c>
      <c r="BE18" s="746">
        <f t="shared" ca="1" si="16"/>
        <v>0</v>
      </c>
      <c r="BF18" s="746">
        <f t="shared" ca="1" si="17"/>
        <v>0</v>
      </c>
      <c r="BG18" s="746">
        <f t="shared" ca="1" si="18"/>
        <v>0.69599999999999995</v>
      </c>
      <c r="BH18" s="746">
        <f t="shared" ca="1" si="19"/>
        <v>0</v>
      </c>
      <c r="BI18" s="760">
        <f t="shared" ca="1" si="31"/>
        <v>0.74914909090909099</v>
      </c>
      <c r="BJ18" s="401">
        <v>80</v>
      </c>
      <c r="BK18" s="187">
        <v>40</v>
      </c>
      <c r="BL18" s="187">
        <v>10</v>
      </c>
      <c r="BM18" s="187">
        <v>5</v>
      </c>
      <c r="BN18" s="187">
        <v>10</v>
      </c>
      <c r="BO18" s="187">
        <v>40</v>
      </c>
      <c r="BP18" s="187">
        <v>80</v>
      </c>
      <c r="BQ18" s="187">
        <v>20</v>
      </c>
      <c r="BR18" s="187">
        <v>20</v>
      </c>
      <c r="BS18" s="686">
        <v>20</v>
      </c>
      <c r="BT18" s="746">
        <f t="shared" ca="1" si="20"/>
        <v>0</v>
      </c>
      <c r="BU18" s="746">
        <f t="shared" ca="1" si="21"/>
        <v>0</v>
      </c>
      <c r="BV18" s="746">
        <f t="shared" ca="1" si="22"/>
        <v>0.27839999999999998</v>
      </c>
      <c r="BW18" s="746">
        <f t="shared" ca="1" si="23"/>
        <v>0</v>
      </c>
      <c r="BX18" s="746">
        <f t="shared" ca="1" si="24"/>
        <v>0</v>
      </c>
      <c r="BY18" s="746">
        <f t="shared" ca="1" si="25"/>
        <v>0</v>
      </c>
      <c r="BZ18" s="746">
        <f t="shared" ca="1" si="26"/>
        <v>0</v>
      </c>
      <c r="CA18" s="746">
        <f t="shared" ca="1" si="27"/>
        <v>0</v>
      </c>
      <c r="CB18" s="746">
        <f t="shared" ca="1" si="28"/>
        <v>0</v>
      </c>
      <c r="CC18" s="746">
        <f t="shared" ca="1" si="29"/>
        <v>0</v>
      </c>
      <c r="CD18" s="758">
        <f t="shared" ca="1" si="32"/>
        <v>0.27839999999999998</v>
      </c>
      <c r="CF18" s="187"/>
      <c r="CI18" s="187"/>
      <c r="CL18" s="187"/>
    </row>
    <row r="19" spans="2:90" s="78" customFormat="1" ht="10.8" hidden="1" thickBot="1">
      <c r="E19" s="689" t="s">
        <v>2211</v>
      </c>
      <c r="F19" s="766"/>
      <c r="G19" s="766"/>
      <c r="H19" s="401">
        <v>40</v>
      </c>
      <c r="I19" s="187"/>
      <c r="J19" s="187"/>
      <c r="K19" s="187">
        <v>10</v>
      </c>
      <c r="L19" s="187"/>
      <c r="M19" s="187"/>
      <c r="N19" s="187">
        <v>40</v>
      </c>
      <c r="O19" s="187"/>
      <c r="P19" s="187"/>
      <c r="Q19" s="187">
        <v>80</v>
      </c>
      <c r="R19" s="187"/>
      <c r="S19" s="187"/>
      <c r="T19" s="187">
        <v>20</v>
      </c>
      <c r="U19" s="187"/>
      <c r="V19" s="187"/>
      <c r="W19" s="187">
        <v>20</v>
      </c>
      <c r="X19" s="187"/>
      <c r="Y19" s="187"/>
      <c r="Z19" s="187">
        <v>20</v>
      </c>
      <c r="AA19" s="187">
        <v>5</v>
      </c>
      <c r="AB19" s="187">
        <v>10</v>
      </c>
      <c r="AC19" s="686">
        <v>20</v>
      </c>
      <c r="AD19" s="746">
        <f t="shared" ca="1" si="0"/>
        <v>0</v>
      </c>
      <c r="AE19" s="416">
        <f t="shared" ca="1" si="1"/>
        <v>0</v>
      </c>
      <c r="AF19" s="416">
        <f t="shared" ca="1" si="2"/>
        <v>0</v>
      </c>
      <c r="AG19" s="416">
        <f t="shared" ca="1" si="3"/>
        <v>0</v>
      </c>
      <c r="AH19" s="416">
        <f t="shared" ca="1" si="4"/>
        <v>0</v>
      </c>
      <c r="AI19" s="416">
        <f t="shared" ca="1" si="5"/>
        <v>0</v>
      </c>
      <c r="AJ19" s="416">
        <f t="shared" ca="1" si="6"/>
        <v>0</v>
      </c>
      <c r="AK19" s="416">
        <f t="shared" ca="1" si="7"/>
        <v>0</v>
      </c>
      <c r="AL19" s="416">
        <f t="shared" ca="1" si="8"/>
        <v>0</v>
      </c>
      <c r="AM19" s="747">
        <f t="shared" ca="1" si="9"/>
        <v>0</v>
      </c>
      <c r="AN19" s="762">
        <f t="shared" ca="1" si="30"/>
        <v>0</v>
      </c>
      <c r="AO19" s="401">
        <v>5</v>
      </c>
      <c r="AP19" s="187">
        <v>10</v>
      </c>
      <c r="AQ19" s="187">
        <v>10</v>
      </c>
      <c r="AR19" s="187">
        <v>10</v>
      </c>
      <c r="AS19" s="187">
        <v>10</v>
      </c>
      <c r="AT19" s="187">
        <v>5</v>
      </c>
      <c r="AU19" s="187">
        <v>10</v>
      </c>
      <c r="AV19" s="187">
        <v>80</v>
      </c>
      <c r="AW19" s="187">
        <v>40</v>
      </c>
      <c r="AX19" s="187">
        <v>10</v>
      </c>
      <c r="AY19" s="746">
        <f t="shared" ca="1" si="10"/>
        <v>0</v>
      </c>
      <c r="AZ19" s="746">
        <f t="shared" ca="1" si="11"/>
        <v>0</v>
      </c>
      <c r="BA19" s="746">
        <f t="shared" ca="1" si="12"/>
        <v>0.23727272727272727</v>
      </c>
      <c r="BB19" s="746">
        <f t="shared" ca="1" si="13"/>
        <v>0</v>
      </c>
      <c r="BC19" s="746">
        <f t="shared" ca="1" si="14"/>
        <v>0</v>
      </c>
      <c r="BD19" s="746">
        <f t="shared" ca="1" si="15"/>
        <v>0</v>
      </c>
      <c r="BE19" s="746">
        <f t="shared" ca="1" si="16"/>
        <v>0</v>
      </c>
      <c r="BF19" s="746">
        <f t="shared" ca="1" si="17"/>
        <v>0</v>
      </c>
      <c r="BG19" s="746">
        <f t="shared" ca="1" si="18"/>
        <v>0.69599999999999995</v>
      </c>
      <c r="BH19" s="746">
        <f t="shared" ca="1" si="19"/>
        <v>0</v>
      </c>
      <c r="BI19" s="760">
        <f t="shared" ca="1" si="31"/>
        <v>0.92393999999999998</v>
      </c>
      <c r="BJ19" s="401">
        <v>5</v>
      </c>
      <c r="BK19" s="187">
        <v>5</v>
      </c>
      <c r="BL19" s="187">
        <v>5</v>
      </c>
      <c r="BM19" s="187">
        <v>10</v>
      </c>
      <c r="BN19" s="187">
        <v>10</v>
      </c>
      <c r="BO19" s="187">
        <v>5</v>
      </c>
      <c r="BP19" s="187">
        <v>5</v>
      </c>
      <c r="BQ19" s="187">
        <v>5</v>
      </c>
      <c r="BR19" s="187">
        <v>10</v>
      </c>
      <c r="BS19" s="686">
        <v>10</v>
      </c>
      <c r="BT19" s="746">
        <f t="shared" ca="1" si="20"/>
        <v>0</v>
      </c>
      <c r="BU19" s="746">
        <f t="shared" ca="1" si="21"/>
        <v>0</v>
      </c>
      <c r="BV19" s="746">
        <f t="shared" ca="1" si="22"/>
        <v>0.13919999999999999</v>
      </c>
      <c r="BW19" s="746">
        <f t="shared" ca="1" si="23"/>
        <v>0</v>
      </c>
      <c r="BX19" s="746">
        <f t="shared" ca="1" si="24"/>
        <v>0</v>
      </c>
      <c r="BY19" s="746">
        <f t="shared" ca="1" si="25"/>
        <v>0</v>
      </c>
      <c r="BZ19" s="746">
        <f t="shared" ca="1" si="26"/>
        <v>0</v>
      </c>
      <c r="CA19" s="746">
        <f t="shared" ca="1" si="27"/>
        <v>0</v>
      </c>
      <c r="CB19" s="746">
        <f t="shared" ca="1" si="28"/>
        <v>0</v>
      </c>
      <c r="CC19" s="746">
        <f t="shared" ca="1" si="29"/>
        <v>0</v>
      </c>
      <c r="CD19" s="758">
        <f t="shared" ca="1" si="32"/>
        <v>0.13919999999999999</v>
      </c>
      <c r="CF19" s="187"/>
      <c r="CI19" s="187"/>
      <c r="CL19" s="187"/>
    </row>
    <row r="20" spans="2:90" s="78" customFormat="1" ht="10.8" hidden="1" thickBot="1">
      <c r="E20" s="689" t="s">
        <v>2210</v>
      </c>
      <c r="F20" s="766"/>
      <c r="G20" s="766"/>
      <c r="H20" s="401">
        <v>20</v>
      </c>
      <c r="I20" s="187"/>
      <c r="J20" s="187"/>
      <c r="K20" s="187">
        <v>20</v>
      </c>
      <c r="L20" s="187"/>
      <c r="M20" s="187"/>
      <c r="N20" s="187">
        <v>5</v>
      </c>
      <c r="O20" s="187"/>
      <c r="P20" s="187"/>
      <c r="Q20" s="187">
        <v>5</v>
      </c>
      <c r="R20" s="187"/>
      <c r="S20" s="187"/>
      <c r="T20" s="187">
        <v>10</v>
      </c>
      <c r="U20" s="187"/>
      <c r="V20" s="187"/>
      <c r="W20" s="187">
        <v>10</v>
      </c>
      <c r="X20" s="187"/>
      <c r="Y20" s="187"/>
      <c r="Z20" s="187">
        <v>10</v>
      </c>
      <c r="AA20" s="187">
        <v>40</v>
      </c>
      <c r="AB20" s="187">
        <v>20</v>
      </c>
      <c r="AC20" s="686">
        <v>5</v>
      </c>
      <c r="AD20" s="746">
        <f t="shared" ca="1" si="0"/>
        <v>0</v>
      </c>
      <c r="AE20" s="416">
        <f t="shared" ca="1" si="1"/>
        <v>0</v>
      </c>
      <c r="AF20" s="416">
        <f t="shared" ca="1" si="2"/>
        <v>0</v>
      </c>
      <c r="AG20" s="416">
        <f t="shared" ca="1" si="3"/>
        <v>0</v>
      </c>
      <c r="AH20" s="416">
        <f t="shared" ca="1" si="4"/>
        <v>0</v>
      </c>
      <c r="AI20" s="416">
        <f t="shared" ca="1" si="5"/>
        <v>0</v>
      </c>
      <c r="AJ20" s="416">
        <f t="shared" ca="1" si="6"/>
        <v>0</v>
      </c>
      <c r="AK20" s="416">
        <f t="shared" ca="1" si="7"/>
        <v>0</v>
      </c>
      <c r="AL20" s="416">
        <f t="shared" ca="1" si="8"/>
        <v>0</v>
      </c>
      <c r="AM20" s="747">
        <f t="shared" ca="1" si="9"/>
        <v>0</v>
      </c>
      <c r="AN20" s="762">
        <f t="shared" ca="1" si="30"/>
        <v>0</v>
      </c>
      <c r="AO20" s="401">
        <v>5</v>
      </c>
      <c r="AP20" s="187">
        <v>5</v>
      </c>
      <c r="AQ20" s="187">
        <v>10</v>
      </c>
      <c r="AR20" s="187">
        <v>20</v>
      </c>
      <c r="AS20" s="187">
        <v>5</v>
      </c>
      <c r="AT20" s="187">
        <v>40</v>
      </c>
      <c r="AU20" s="187">
        <v>5</v>
      </c>
      <c r="AV20" s="187">
        <v>5</v>
      </c>
      <c r="AW20" s="187">
        <v>10</v>
      </c>
      <c r="AX20" s="187">
        <v>20</v>
      </c>
      <c r="AY20" s="746">
        <f t="shared" ca="1" si="10"/>
        <v>0</v>
      </c>
      <c r="AZ20" s="746">
        <f t="shared" ca="1" si="11"/>
        <v>0</v>
      </c>
      <c r="BA20" s="746">
        <f t="shared" ca="1" si="12"/>
        <v>0.23727272727272727</v>
      </c>
      <c r="BB20" s="746">
        <f t="shared" ca="1" si="13"/>
        <v>0</v>
      </c>
      <c r="BC20" s="746">
        <f t="shared" ca="1" si="14"/>
        <v>0</v>
      </c>
      <c r="BD20" s="746">
        <f t="shared" ca="1" si="15"/>
        <v>0</v>
      </c>
      <c r="BE20" s="746">
        <f t="shared" ca="1" si="16"/>
        <v>0</v>
      </c>
      <c r="BF20" s="746">
        <f t="shared" ca="1" si="17"/>
        <v>0</v>
      </c>
      <c r="BG20" s="746">
        <f t="shared" ca="1" si="18"/>
        <v>0.17399999999999999</v>
      </c>
      <c r="BH20" s="746">
        <f t="shared" ca="1" si="19"/>
        <v>0</v>
      </c>
      <c r="BI20" s="760">
        <f t="shared" ca="1" si="31"/>
        <v>0.38659636363636357</v>
      </c>
      <c r="BJ20" s="401">
        <v>5</v>
      </c>
      <c r="BK20" s="187">
        <v>10</v>
      </c>
      <c r="BL20" s="187">
        <v>20</v>
      </c>
      <c r="BM20" s="187">
        <v>40</v>
      </c>
      <c r="BN20" s="187">
        <v>5</v>
      </c>
      <c r="BO20" s="187">
        <v>5</v>
      </c>
      <c r="BP20" s="187">
        <v>5</v>
      </c>
      <c r="BQ20" s="187">
        <v>20</v>
      </c>
      <c r="BR20" s="187">
        <v>80</v>
      </c>
      <c r="BS20" s="686">
        <v>20</v>
      </c>
      <c r="BT20" s="746">
        <f t="shared" ca="1" si="20"/>
        <v>0</v>
      </c>
      <c r="BU20" s="746">
        <f t="shared" ca="1" si="21"/>
        <v>0</v>
      </c>
      <c r="BV20" s="746">
        <f t="shared" ca="1" si="22"/>
        <v>0.55679999999999996</v>
      </c>
      <c r="BW20" s="746">
        <f t="shared" ca="1" si="23"/>
        <v>0</v>
      </c>
      <c r="BX20" s="746">
        <f t="shared" ca="1" si="24"/>
        <v>0</v>
      </c>
      <c r="BY20" s="746">
        <f t="shared" ca="1" si="25"/>
        <v>0</v>
      </c>
      <c r="BZ20" s="746">
        <f t="shared" ca="1" si="26"/>
        <v>0</v>
      </c>
      <c r="CA20" s="746">
        <f t="shared" ca="1" si="27"/>
        <v>0</v>
      </c>
      <c r="CB20" s="746">
        <f t="shared" ca="1" si="28"/>
        <v>0</v>
      </c>
      <c r="CC20" s="746">
        <f t="shared" ca="1" si="29"/>
        <v>0</v>
      </c>
      <c r="CD20" s="758">
        <f t="shared" ca="1" si="32"/>
        <v>0.55679999999999996</v>
      </c>
      <c r="CF20" s="187"/>
      <c r="CI20" s="187"/>
      <c r="CL20" s="187"/>
    </row>
    <row r="21" spans="2:90" s="78" customFormat="1" ht="10.8" hidden="1" thickBot="1">
      <c r="E21" s="689" t="s">
        <v>2209</v>
      </c>
      <c r="F21" s="766"/>
      <c r="G21" s="766"/>
      <c r="H21" s="401">
        <v>10</v>
      </c>
      <c r="I21" s="187"/>
      <c r="J21" s="187"/>
      <c r="K21" s="187">
        <v>40</v>
      </c>
      <c r="L21" s="187"/>
      <c r="M21" s="187"/>
      <c r="N21" s="187">
        <v>20</v>
      </c>
      <c r="O21" s="187"/>
      <c r="P21" s="187"/>
      <c r="Q21" s="187">
        <v>80</v>
      </c>
      <c r="R21" s="187"/>
      <c r="S21" s="187"/>
      <c r="T21" s="187">
        <v>20</v>
      </c>
      <c r="U21" s="187"/>
      <c r="V21" s="187"/>
      <c r="W21" s="187">
        <v>5</v>
      </c>
      <c r="X21" s="187"/>
      <c r="Y21" s="187"/>
      <c r="Z21" s="187">
        <v>20</v>
      </c>
      <c r="AA21" s="187">
        <v>5</v>
      </c>
      <c r="AB21" s="187">
        <v>20</v>
      </c>
      <c r="AC21" s="686">
        <v>40</v>
      </c>
      <c r="AD21" s="746">
        <f t="shared" ca="1" si="0"/>
        <v>0</v>
      </c>
      <c r="AE21" s="416">
        <f t="shared" ca="1" si="1"/>
        <v>0</v>
      </c>
      <c r="AF21" s="416">
        <f t="shared" ca="1" si="2"/>
        <v>0</v>
      </c>
      <c r="AG21" s="416">
        <f t="shared" ca="1" si="3"/>
        <v>0</v>
      </c>
      <c r="AH21" s="416">
        <f t="shared" ca="1" si="4"/>
        <v>0</v>
      </c>
      <c r="AI21" s="416">
        <f t="shared" ca="1" si="5"/>
        <v>0</v>
      </c>
      <c r="AJ21" s="416">
        <f t="shared" ca="1" si="6"/>
        <v>0</v>
      </c>
      <c r="AK21" s="416">
        <f t="shared" ca="1" si="7"/>
        <v>0</v>
      </c>
      <c r="AL21" s="416">
        <f t="shared" ca="1" si="8"/>
        <v>0</v>
      </c>
      <c r="AM21" s="747">
        <f t="shared" ca="1" si="9"/>
        <v>0</v>
      </c>
      <c r="AN21" s="762">
        <f t="shared" ca="1" si="30"/>
        <v>0</v>
      </c>
      <c r="AO21" s="401">
        <v>40</v>
      </c>
      <c r="AP21" s="187">
        <v>10</v>
      </c>
      <c r="AQ21" s="187">
        <v>5</v>
      </c>
      <c r="AR21" s="187">
        <v>5</v>
      </c>
      <c r="AS21" s="187">
        <v>5</v>
      </c>
      <c r="AT21" s="187">
        <v>10</v>
      </c>
      <c r="AU21" s="187">
        <v>10</v>
      </c>
      <c r="AV21" s="187">
        <v>20</v>
      </c>
      <c r="AW21" s="187">
        <v>10</v>
      </c>
      <c r="AX21" s="187">
        <v>10</v>
      </c>
      <c r="AY21" s="746">
        <f t="shared" ca="1" si="10"/>
        <v>0</v>
      </c>
      <c r="AZ21" s="746">
        <f t="shared" ca="1" si="11"/>
        <v>0</v>
      </c>
      <c r="BA21" s="746">
        <f t="shared" ca="1" si="12"/>
        <v>0.11863636363636364</v>
      </c>
      <c r="BB21" s="746">
        <f t="shared" ca="1" si="13"/>
        <v>0</v>
      </c>
      <c r="BC21" s="746">
        <f t="shared" ca="1" si="14"/>
        <v>0</v>
      </c>
      <c r="BD21" s="746">
        <f t="shared" ca="1" si="15"/>
        <v>0</v>
      </c>
      <c r="BE21" s="746">
        <f t="shared" ca="1" si="16"/>
        <v>0</v>
      </c>
      <c r="BF21" s="746">
        <f t="shared" ca="1" si="17"/>
        <v>0</v>
      </c>
      <c r="BG21" s="746">
        <f t="shared" ca="1" si="18"/>
        <v>0.17399999999999999</v>
      </c>
      <c r="BH21" s="746">
        <f t="shared" ca="1" si="19"/>
        <v>0</v>
      </c>
      <c r="BI21" s="760">
        <f t="shared" ca="1" si="31"/>
        <v>0.27800454545454545</v>
      </c>
      <c r="BJ21" s="401">
        <v>5</v>
      </c>
      <c r="BK21" s="187">
        <v>5</v>
      </c>
      <c r="BL21" s="187">
        <v>10</v>
      </c>
      <c r="BM21" s="187">
        <v>10</v>
      </c>
      <c r="BN21" s="187">
        <v>5</v>
      </c>
      <c r="BO21" s="187">
        <v>5</v>
      </c>
      <c r="BP21" s="187">
        <v>5</v>
      </c>
      <c r="BQ21" s="187">
        <v>10</v>
      </c>
      <c r="BR21" s="187">
        <v>20</v>
      </c>
      <c r="BS21" s="686">
        <v>10</v>
      </c>
      <c r="BT21" s="746">
        <f t="shared" ca="1" si="20"/>
        <v>0</v>
      </c>
      <c r="BU21" s="746">
        <f t="shared" ca="1" si="21"/>
        <v>0</v>
      </c>
      <c r="BV21" s="746">
        <f t="shared" ca="1" si="22"/>
        <v>0.27839999999999998</v>
      </c>
      <c r="BW21" s="746">
        <f t="shared" ca="1" si="23"/>
        <v>0</v>
      </c>
      <c r="BX21" s="746">
        <f t="shared" ca="1" si="24"/>
        <v>0</v>
      </c>
      <c r="BY21" s="746">
        <f t="shared" ca="1" si="25"/>
        <v>0</v>
      </c>
      <c r="BZ21" s="746">
        <f t="shared" ca="1" si="26"/>
        <v>0</v>
      </c>
      <c r="CA21" s="746">
        <f t="shared" ca="1" si="27"/>
        <v>0</v>
      </c>
      <c r="CB21" s="746">
        <f t="shared" ca="1" si="28"/>
        <v>0</v>
      </c>
      <c r="CC21" s="746">
        <f t="shared" ca="1" si="29"/>
        <v>0</v>
      </c>
      <c r="CD21" s="758">
        <f t="shared" ca="1" si="32"/>
        <v>0.27839999999999998</v>
      </c>
      <c r="CF21" s="187"/>
      <c r="CI21" s="187"/>
      <c r="CL21" s="187"/>
    </row>
    <row r="22" spans="2:90" s="78" customFormat="1" ht="10.8" hidden="1" thickBot="1">
      <c r="E22" s="689" t="s">
        <v>608</v>
      </c>
      <c r="F22" s="766"/>
      <c r="G22" s="766"/>
      <c r="H22" s="401">
        <v>10</v>
      </c>
      <c r="I22" s="187"/>
      <c r="J22" s="187"/>
      <c r="K22" s="187">
        <v>5</v>
      </c>
      <c r="L22" s="187"/>
      <c r="M22" s="187"/>
      <c r="N22" s="187">
        <v>10</v>
      </c>
      <c r="O22" s="187"/>
      <c r="P22" s="187"/>
      <c r="Q22" s="187">
        <v>10</v>
      </c>
      <c r="R22" s="187"/>
      <c r="S22" s="187"/>
      <c r="T22" s="187">
        <v>10</v>
      </c>
      <c r="U22" s="187"/>
      <c r="V22" s="187"/>
      <c r="W22" s="187">
        <v>20</v>
      </c>
      <c r="X22" s="187"/>
      <c r="Y22" s="187"/>
      <c r="Z22" s="187">
        <v>10</v>
      </c>
      <c r="AA22" s="187">
        <v>20</v>
      </c>
      <c r="AB22" s="187">
        <v>20</v>
      </c>
      <c r="AC22" s="686">
        <v>10</v>
      </c>
      <c r="AD22" s="746">
        <f t="shared" ca="1" si="0"/>
        <v>0</v>
      </c>
      <c r="AE22" s="416">
        <f t="shared" ca="1" si="1"/>
        <v>0</v>
      </c>
      <c r="AF22" s="416">
        <f t="shared" ca="1" si="2"/>
        <v>0</v>
      </c>
      <c r="AG22" s="416">
        <f t="shared" ca="1" si="3"/>
        <v>0</v>
      </c>
      <c r="AH22" s="416">
        <f t="shared" ca="1" si="4"/>
        <v>0</v>
      </c>
      <c r="AI22" s="416">
        <f t="shared" ca="1" si="5"/>
        <v>0</v>
      </c>
      <c r="AJ22" s="416">
        <f t="shared" ca="1" si="6"/>
        <v>0</v>
      </c>
      <c r="AK22" s="416">
        <f t="shared" ca="1" si="7"/>
        <v>0</v>
      </c>
      <c r="AL22" s="416">
        <f t="shared" ca="1" si="8"/>
        <v>0</v>
      </c>
      <c r="AM22" s="747">
        <f t="shared" ca="1" si="9"/>
        <v>0</v>
      </c>
      <c r="AN22" s="762">
        <f t="shared" ca="1" si="30"/>
        <v>0</v>
      </c>
      <c r="AO22" s="401">
        <v>10</v>
      </c>
      <c r="AP22" s="187">
        <v>20</v>
      </c>
      <c r="AQ22" s="187">
        <v>80</v>
      </c>
      <c r="AR22" s="187">
        <v>10</v>
      </c>
      <c r="AS22" s="187">
        <v>20</v>
      </c>
      <c r="AT22" s="187">
        <v>5</v>
      </c>
      <c r="AU22" s="187">
        <v>10</v>
      </c>
      <c r="AV22" s="187">
        <v>10</v>
      </c>
      <c r="AW22" s="187">
        <v>40</v>
      </c>
      <c r="AX22" s="187">
        <v>10</v>
      </c>
      <c r="AY22" s="746">
        <f t="shared" ca="1" si="10"/>
        <v>0</v>
      </c>
      <c r="AZ22" s="746">
        <f t="shared" ca="1" si="11"/>
        <v>0</v>
      </c>
      <c r="BA22" s="746">
        <f t="shared" ca="1" si="12"/>
        <v>1.8981818181818182</v>
      </c>
      <c r="BB22" s="746">
        <f t="shared" ca="1" si="13"/>
        <v>0</v>
      </c>
      <c r="BC22" s="746">
        <f t="shared" ca="1" si="14"/>
        <v>0</v>
      </c>
      <c r="BD22" s="746">
        <f t="shared" ca="1" si="15"/>
        <v>0</v>
      </c>
      <c r="BE22" s="746">
        <f t="shared" ca="1" si="16"/>
        <v>0</v>
      </c>
      <c r="BF22" s="746">
        <f t="shared" ca="1" si="17"/>
        <v>0</v>
      </c>
      <c r="BG22" s="746">
        <f t="shared" ca="1" si="18"/>
        <v>0.69599999999999995</v>
      </c>
      <c r="BH22" s="746">
        <f t="shared" ca="1" si="19"/>
        <v>0</v>
      </c>
      <c r="BI22" s="760">
        <f t="shared" ca="1" si="31"/>
        <v>1.8159272727272726</v>
      </c>
      <c r="BJ22" s="401">
        <v>5</v>
      </c>
      <c r="BK22" s="187">
        <v>20</v>
      </c>
      <c r="BL22" s="187">
        <v>20</v>
      </c>
      <c r="BM22" s="187">
        <v>40</v>
      </c>
      <c r="BN22" s="187">
        <v>10</v>
      </c>
      <c r="BO22" s="187">
        <v>20</v>
      </c>
      <c r="BP22" s="187">
        <v>10</v>
      </c>
      <c r="BQ22" s="187">
        <v>20</v>
      </c>
      <c r="BR22" s="187">
        <v>5</v>
      </c>
      <c r="BS22" s="686">
        <v>20</v>
      </c>
      <c r="BT22" s="746">
        <f t="shared" ca="1" si="20"/>
        <v>0</v>
      </c>
      <c r="BU22" s="746">
        <f t="shared" ca="1" si="21"/>
        <v>0</v>
      </c>
      <c r="BV22" s="746">
        <f t="shared" ca="1" si="22"/>
        <v>0.55679999999999996</v>
      </c>
      <c r="BW22" s="746">
        <f t="shared" ca="1" si="23"/>
        <v>0</v>
      </c>
      <c r="BX22" s="746">
        <f t="shared" ca="1" si="24"/>
        <v>0</v>
      </c>
      <c r="BY22" s="746">
        <f t="shared" ca="1" si="25"/>
        <v>0</v>
      </c>
      <c r="BZ22" s="746">
        <f t="shared" ca="1" si="26"/>
        <v>0</v>
      </c>
      <c r="CA22" s="746">
        <f t="shared" ca="1" si="27"/>
        <v>0</v>
      </c>
      <c r="CB22" s="746">
        <f t="shared" ca="1" si="28"/>
        <v>0</v>
      </c>
      <c r="CC22" s="746">
        <f t="shared" ca="1" si="29"/>
        <v>0</v>
      </c>
      <c r="CD22" s="758">
        <f t="shared" ca="1" si="32"/>
        <v>0.55679999999999996</v>
      </c>
      <c r="CF22" s="187"/>
      <c r="CI22" s="187"/>
      <c r="CL22" s="187"/>
    </row>
    <row r="23" spans="2:90" s="78" customFormat="1" ht="10.8" hidden="1" thickBot="1">
      <c r="E23" s="689" t="s">
        <v>2208</v>
      </c>
      <c r="F23" s="766"/>
      <c r="G23" s="766"/>
      <c r="H23" s="663">
        <v>40</v>
      </c>
      <c r="I23" s="583"/>
      <c r="J23" s="583"/>
      <c r="K23" s="583">
        <v>40</v>
      </c>
      <c r="L23" s="583"/>
      <c r="M23" s="583"/>
      <c r="N23" s="583">
        <v>20</v>
      </c>
      <c r="O23" s="583"/>
      <c r="P23" s="583"/>
      <c r="Q23" s="583">
        <v>10</v>
      </c>
      <c r="R23" s="583"/>
      <c r="S23" s="583"/>
      <c r="T23" s="583">
        <v>20</v>
      </c>
      <c r="U23" s="583"/>
      <c r="V23" s="583"/>
      <c r="W23" s="583">
        <v>20</v>
      </c>
      <c r="X23" s="583"/>
      <c r="Y23" s="583"/>
      <c r="Z23" s="583">
        <v>10</v>
      </c>
      <c r="AA23" s="583">
        <v>40</v>
      </c>
      <c r="AB23" s="583">
        <v>80</v>
      </c>
      <c r="AC23" s="687">
        <v>10</v>
      </c>
      <c r="AD23" s="748">
        <f t="shared" ca="1" si="0"/>
        <v>0</v>
      </c>
      <c r="AE23" s="584">
        <f t="shared" ca="1" si="1"/>
        <v>0</v>
      </c>
      <c r="AF23" s="584">
        <f t="shared" ca="1" si="2"/>
        <v>0</v>
      </c>
      <c r="AG23" s="584">
        <f t="shared" ca="1" si="3"/>
        <v>0</v>
      </c>
      <c r="AH23" s="584">
        <f t="shared" ca="1" si="4"/>
        <v>0</v>
      </c>
      <c r="AI23" s="584">
        <f t="shared" ca="1" si="5"/>
        <v>0</v>
      </c>
      <c r="AJ23" s="584">
        <f t="shared" ca="1" si="6"/>
        <v>0</v>
      </c>
      <c r="AK23" s="584">
        <f t="shared" ca="1" si="7"/>
        <v>0</v>
      </c>
      <c r="AL23" s="584">
        <f t="shared" ca="1" si="8"/>
        <v>0</v>
      </c>
      <c r="AM23" s="749">
        <f t="shared" ca="1" si="9"/>
        <v>0</v>
      </c>
      <c r="AN23" s="762">
        <f t="shared" ca="1" si="30"/>
        <v>0</v>
      </c>
      <c r="AO23" s="663">
        <v>5</v>
      </c>
      <c r="AP23" s="583">
        <v>20</v>
      </c>
      <c r="AQ23" s="583">
        <v>20</v>
      </c>
      <c r="AR23" s="583">
        <v>10</v>
      </c>
      <c r="AS23" s="583">
        <v>10</v>
      </c>
      <c r="AT23" s="583">
        <v>40</v>
      </c>
      <c r="AU23" s="583">
        <v>10</v>
      </c>
      <c r="AV23" s="583">
        <v>10</v>
      </c>
      <c r="AW23" s="583">
        <v>40</v>
      </c>
      <c r="AX23" s="583">
        <v>80</v>
      </c>
      <c r="AY23" s="746">
        <f t="shared" ca="1" si="10"/>
        <v>0</v>
      </c>
      <c r="AZ23" s="746">
        <f t="shared" ca="1" si="11"/>
        <v>0</v>
      </c>
      <c r="BA23" s="746">
        <f t="shared" ca="1" si="12"/>
        <v>0.47454545454545455</v>
      </c>
      <c r="BB23" s="746">
        <f t="shared" ca="1" si="13"/>
        <v>0</v>
      </c>
      <c r="BC23" s="746">
        <f t="shared" ca="1" si="14"/>
        <v>0</v>
      </c>
      <c r="BD23" s="746">
        <f t="shared" ca="1" si="15"/>
        <v>0</v>
      </c>
      <c r="BE23" s="746">
        <f t="shared" ca="1" si="16"/>
        <v>0</v>
      </c>
      <c r="BF23" s="746">
        <f t="shared" ca="1" si="17"/>
        <v>0</v>
      </c>
      <c r="BG23" s="746">
        <f t="shared" ca="1" si="18"/>
        <v>0.69599999999999995</v>
      </c>
      <c r="BH23" s="746">
        <f t="shared" ca="1" si="19"/>
        <v>0</v>
      </c>
      <c r="BI23" s="760">
        <f t="shared" ca="1" si="31"/>
        <v>0.64380000000000004</v>
      </c>
      <c r="BJ23" s="663">
        <v>10</v>
      </c>
      <c r="BK23" s="583">
        <v>20</v>
      </c>
      <c r="BL23" s="583">
        <v>10</v>
      </c>
      <c r="BM23" s="583">
        <v>80</v>
      </c>
      <c r="BN23" s="583">
        <v>10</v>
      </c>
      <c r="BO23" s="583">
        <v>10</v>
      </c>
      <c r="BP23" s="583">
        <v>40</v>
      </c>
      <c r="BQ23" s="583">
        <v>80</v>
      </c>
      <c r="BR23" s="583">
        <v>80</v>
      </c>
      <c r="BS23" s="687">
        <v>40</v>
      </c>
      <c r="BT23" s="746">
        <f t="shared" ca="1" si="20"/>
        <v>0</v>
      </c>
      <c r="BU23" s="746">
        <f t="shared" ca="1" si="21"/>
        <v>0</v>
      </c>
      <c r="BV23" s="746">
        <f t="shared" ca="1" si="22"/>
        <v>0.27839999999999998</v>
      </c>
      <c r="BW23" s="746">
        <f t="shared" ca="1" si="23"/>
        <v>0</v>
      </c>
      <c r="BX23" s="746">
        <f t="shared" ca="1" si="24"/>
        <v>0</v>
      </c>
      <c r="BY23" s="746">
        <f t="shared" ca="1" si="25"/>
        <v>0</v>
      </c>
      <c r="BZ23" s="746">
        <f t="shared" ca="1" si="26"/>
        <v>0</v>
      </c>
      <c r="CA23" s="746">
        <f t="shared" ca="1" si="27"/>
        <v>0</v>
      </c>
      <c r="CB23" s="746">
        <f t="shared" ca="1" si="28"/>
        <v>0</v>
      </c>
      <c r="CC23" s="746">
        <f t="shared" ca="1" si="29"/>
        <v>0</v>
      </c>
      <c r="CD23" s="758">
        <f t="shared" ca="1" si="32"/>
        <v>0.27839999999999998</v>
      </c>
      <c r="CF23" s="187"/>
      <c r="CI23" s="187"/>
      <c r="CL23" s="187"/>
    </row>
    <row r="24" spans="2:90" s="78" customFormat="1" ht="10.199999999999999" hidden="1">
      <c r="E24" s="78" t="s">
        <v>2432</v>
      </c>
      <c r="H24" s="387">
        <f>SUM(H4:H23)</f>
        <v>430</v>
      </c>
      <c r="I24" s="387"/>
      <c r="J24" s="387"/>
      <c r="K24" s="387">
        <f t="shared" ref="K24:AC24" si="33">SUM(K4:K23)</f>
        <v>435</v>
      </c>
      <c r="L24" s="387"/>
      <c r="M24" s="387"/>
      <c r="N24" s="387">
        <f t="shared" si="33"/>
        <v>390</v>
      </c>
      <c r="O24" s="387"/>
      <c r="P24" s="387"/>
      <c r="Q24" s="387">
        <f t="shared" si="33"/>
        <v>365</v>
      </c>
      <c r="R24" s="387"/>
      <c r="S24" s="387"/>
      <c r="T24" s="387">
        <f t="shared" si="33"/>
        <v>380</v>
      </c>
      <c r="U24" s="387"/>
      <c r="V24" s="387"/>
      <c r="W24" s="387">
        <f t="shared" si="33"/>
        <v>420</v>
      </c>
      <c r="X24" s="387"/>
      <c r="Y24" s="387"/>
      <c r="Z24" s="387">
        <f t="shared" si="33"/>
        <v>430</v>
      </c>
      <c r="AA24" s="387">
        <f t="shared" si="33"/>
        <v>615</v>
      </c>
      <c r="AB24" s="387">
        <f t="shared" si="33"/>
        <v>475</v>
      </c>
      <c r="AC24" s="387">
        <f t="shared" si="33"/>
        <v>240</v>
      </c>
      <c r="AD24" s="387"/>
      <c r="AE24" s="387"/>
      <c r="AF24" s="387"/>
      <c r="AG24" s="387"/>
      <c r="AH24" s="387"/>
      <c r="AI24" s="387"/>
      <c r="AJ24" s="387"/>
      <c r="AK24" s="387"/>
      <c r="AL24" s="387"/>
      <c r="AM24" s="387"/>
      <c r="AN24" s="387"/>
      <c r="AO24" s="387">
        <f t="shared" ref="AO24:AX24" si="34">SUM(AO4:AO23)</f>
        <v>305</v>
      </c>
      <c r="AP24" s="387">
        <f t="shared" si="34"/>
        <v>410</v>
      </c>
      <c r="AQ24" s="387">
        <f t="shared" si="34"/>
        <v>440</v>
      </c>
      <c r="AR24" s="387">
        <f t="shared" si="34"/>
        <v>370</v>
      </c>
      <c r="AS24" s="387">
        <f t="shared" si="34"/>
        <v>390</v>
      </c>
      <c r="AT24" s="387">
        <f t="shared" si="34"/>
        <v>340</v>
      </c>
      <c r="AU24" s="387">
        <f t="shared" si="34"/>
        <v>345</v>
      </c>
      <c r="AV24" s="387">
        <f t="shared" si="34"/>
        <v>665</v>
      </c>
      <c r="AW24" s="387">
        <f t="shared" si="34"/>
        <v>600</v>
      </c>
      <c r="AX24" s="387">
        <f t="shared" si="34"/>
        <v>385</v>
      </c>
      <c r="AY24" s="387"/>
      <c r="AZ24" s="387"/>
      <c r="BA24" s="387"/>
      <c r="BB24" s="387"/>
      <c r="BC24" s="387"/>
      <c r="BD24" s="387"/>
      <c r="BE24" s="387"/>
      <c r="BF24" s="387"/>
      <c r="BG24" s="387"/>
      <c r="BH24" s="387"/>
      <c r="BI24" s="387"/>
      <c r="BJ24" s="387">
        <f t="shared" ref="BJ24:BS24" si="35">SUM(BJ4:BJ23)</f>
        <v>400</v>
      </c>
      <c r="BK24" s="387">
        <f t="shared" si="35"/>
        <v>405</v>
      </c>
      <c r="BL24" s="387">
        <f t="shared" si="35"/>
        <v>375</v>
      </c>
      <c r="BM24" s="387">
        <f t="shared" si="35"/>
        <v>530</v>
      </c>
      <c r="BN24" s="387">
        <f t="shared" si="35"/>
        <v>455</v>
      </c>
      <c r="BO24" s="387">
        <f t="shared" si="35"/>
        <v>455</v>
      </c>
      <c r="BP24" s="387">
        <f t="shared" si="35"/>
        <v>445</v>
      </c>
      <c r="BQ24" s="387">
        <f t="shared" si="35"/>
        <v>320</v>
      </c>
      <c r="BR24" s="387">
        <f t="shared" si="35"/>
        <v>500</v>
      </c>
      <c r="BS24" s="387">
        <f t="shared" si="35"/>
        <v>355</v>
      </c>
      <c r="CA24" s="187"/>
      <c r="CB24" s="187"/>
      <c r="CF24" s="187"/>
      <c r="CI24" s="187"/>
      <c r="CL24" s="187"/>
    </row>
    <row r="25" spans="2:90" s="78" customFormat="1" ht="10.8" hidden="1" thickBot="1">
      <c r="AC25" s="594" t="s">
        <v>2207</v>
      </c>
      <c r="AG25" s="78" t="s">
        <v>2431</v>
      </c>
      <c r="CA25" s="187"/>
      <c r="CB25" s="187"/>
      <c r="CF25" s="187"/>
      <c r="CI25" s="187"/>
      <c r="CL25" s="187"/>
    </row>
    <row r="26" spans="2:90" s="78" customFormat="1" hidden="1">
      <c r="B26" s="593" t="s">
        <v>2205</v>
      </c>
      <c r="C26" s="763"/>
      <c r="D26" s="763"/>
      <c r="E26" s="123"/>
      <c r="F26" s="129"/>
      <c r="G26" s="129"/>
      <c r="H26" s="130" t="s">
        <v>2204</v>
      </c>
      <c r="I26" s="129"/>
      <c r="J26" s="129"/>
      <c r="K26" s="129"/>
      <c r="L26" s="129"/>
      <c r="M26" s="129"/>
      <c r="N26" s="129"/>
      <c r="O26" s="129"/>
      <c r="P26" s="129"/>
      <c r="Q26" s="123"/>
      <c r="R26"/>
      <c r="S26"/>
      <c r="CA26" s="187"/>
      <c r="CB26" s="187"/>
      <c r="CF26" s="187"/>
      <c r="CI26" s="187"/>
      <c r="CL26" s="187"/>
    </row>
    <row r="27" spans="2:90" hidden="1">
      <c r="B27" s="592" t="s">
        <v>339</v>
      </c>
      <c r="C27" s="141"/>
      <c r="D27" s="141"/>
      <c r="E27" s="122" t="str">
        <f>IF([1]Ville!F104&gt;0,[1]Ville!E104,0)</f>
        <v>cours d'eau</v>
      </c>
      <c r="F27" s="141"/>
      <c r="G27" s="141"/>
      <c r="H27" s="592" t="str">
        <f>IF([1]Ville!D105&gt;0,[1]Ville!C105,0)</f>
        <v>cours d'eau</v>
      </c>
      <c r="I27" s="141"/>
      <c r="J27" s="141"/>
      <c r="K27" s="141" t="str">
        <f>IF([1]Ville!F105&gt;0,[1]Ville!E105,0)</f>
        <v>colline</v>
      </c>
      <c r="L27" s="141"/>
      <c r="M27" s="141"/>
      <c r="N27" s="141" t="str">
        <f>IF([1]Ville!H105&gt;0,[1]Ville!G105,0)</f>
        <v>montagne</v>
      </c>
      <c r="O27" s="141"/>
      <c r="P27" s="141"/>
      <c r="Q27" s="122">
        <f>IF([1]Ville!J105&gt;0,[1]Ville!I105,0)</f>
        <v>0</v>
      </c>
      <c r="R27" s="141"/>
      <c r="S27" s="141"/>
      <c r="CA27" s="187"/>
      <c r="CB27" s="187"/>
      <c r="CD27" s="78"/>
      <c r="CE27" s="78"/>
      <c r="CF27" s="187"/>
      <c r="CG27" s="78"/>
      <c r="CH27" s="78"/>
      <c r="CI27" s="187"/>
      <c r="CJ27" s="78"/>
      <c r="CK27" s="78"/>
      <c r="CL27" s="187"/>
    </row>
    <row r="28" spans="2:90" ht="15" hidden="1" thickBot="1">
      <c r="B28" s="591">
        <f>[1]Ville!D104</f>
        <v>70</v>
      </c>
      <c r="C28" s="590"/>
      <c r="D28" s="590"/>
      <c r="E28" s="119">
        <f>IF([1]Ville!F105&gt;0,[1]Ville!F104,0)</f>
        <v>30</v>
      </c>
      <c r="F28" s="590"/>
      <c r="G28" s="590"/>
      <c r="H28" s="591">
        <f>IF([1]Ville!D105&gt;0,[1]Ville!D105,0)</f>
        <v>10</v>
      </c>
      <c r="I28" s="590"/>
      <c r="J28" s="590"/>
      <c r="K28" s="590">
        <f>IF([1]Ville!F105&gt;0,[1]Ville!F105,0)</f>
        <v>40</v>
      </c>
      <c r="L28" s="590"/>
      <c r="M28" s="590"/>
      <c r="N28" s="590">
        <f>IF([1]Ville!H105&gt;0,[1]Ville!H105,0)</f>
        <v>10</v>
      </c>
      <c r="O28" s="590"/>
      <c r="P28" s="590"/>
      <c r="Q28" s="119" t="str">
        <f>IF([1]Ville!J105&gt;0,[1]Ville!J105,0)</f>
        <v xml:space="preserve"> </v>
      </c>
      <c r="R28" s="141"/>
      <c r="S28" s="141"/>
      <c r="CA28" s="187"/>
      <c r="CB28" s="187"/>
      <c r="CD28" s="78"/>
      <c r="CE28" s="78"/>
      <c r="CF28" s="187"/>
      <c r="CG28" s="78"/>
      <c r="CH28" s="78"/>
      <c r="CI28" s="187"/>
      <c r="CJ28" s="78"/>
      <c r="CK28" s="78"/>
      <c r="CL28" s="187"/>
    </row>
    <row r="29" spans="2:90" hidden="1">
      <c r="CA29" s="187"/>
      <c r="CB29" s="187"/>
      <c r="CD29" s="78"/>
      <c r="CE29" s="78"/>
      <c r="CF29" s="187"/>
      <c r="CG29" s="78"/>
      <c r="CH29" s="78"/>
      <c r="CI29" s="187"/>
      <c r="CJ29" s="78"/>
      <c r="CK29" s="78"/>
      <c r="CL29" s="187"/>
    </row>
    <row r="30" spans="2:90" hidden="1">
      <c r="CA30" s="187"/>
      <c r="CB30" s="187"/>
      <c r="CD30" s="78"/>
      <c r="CE30" s="78"/>
      <c r="CF30" s="187"/>
      <c r="CG30" s="78"/>
      <c r="CH30" s="78"/>
      <c r="CI30" s="187"/>
      <c r="CJ30" s="78"/>
      <c r="CK30" s="78"/>
      <c r="CL30" s="187"/>
    </row>
    <row r="31" spans="2:90" hidden="1">
      <c r="CA31" s="187"/>
      <c r="CB31" s="187"/>
      <c r="CD31" s="78"/>
      <c r="CE31" s="78"/>
      <c r="CF31" s="187"/>
      <c r="CG31" s="78"/>
      <c r="CH31" s="78"/>
      <c r="CI31" s="187"/>
    </row>
    <row r="32" spans="2:90" hidden="1">
      <c r="CA32" s="187"/>
      <c r="CB32" s="187"/>
      <c r="CD32" s="78"/>
      <c r="CE32" s="78"/>
      <c r="CF32" s="187"/>
      <c r="CG32" s="78"/>
      <c r="CH32" s="78"/>
      <c r="CI32" s="187"/>
    </row>
    <row r="33" spans="2:87" ht="15" hidden="1" thickBot="1">
      <c r="B33" s="595" t="s">
        <v>2222</v>
      </c>
      <c r="C33" s="595"/>
      <c r="D33" s="595"/>
      <c r="E33" s="595" t="s">
        <v>2221</v>
      </c>
      <c r="F33" s="595"/>
      <c r="G33" s="595"/>
      <c r="H33" s="595" t="s">
        <v>2220</v>
      </c>
      <c r="I33" s="595"/>
      <c r="J33" s="595"/>
      <c r="K33" s="595" t="s">
        <v>586</v>
      </c>
      <c r="L33" s="595"/>
      <c r="M33" s="595"/>
      <c r="N33" s="595" t="s">
        <v>1492</v>
      </c>
      <c r="O33" s="595"/>
      <c r="P33" s="595"/>
      <c r="Q33" s="595" t="s">
        <v>602</v>
      </c>
      <c r="R33" s="595"/>
      <c r="S33" s="595"/>
      <c r="T33" s="595" t="s">
        <v>2217</v>
      </c>
      <c r="U33" s="595"/>
      <c r="V33" s="595"/>
      <c r="W33" s="595" t="s">
        <v>2215</v>
      </c>
      <c r="X33" s="595"/>
      <c r="Y33" s="595"/>
      <c r="Z33" s="595" t="s">
        <v>2214</v>
      </c>
      <c r="AA33" s="595" t="s">
        <v>655</v>
      </c>
      <c r="AB33" s="595" t="s">
        <v>2212</v>
      </c>
      <c r="AC33" s="595" t="s">
        <v>597</v>
      </c>
      <c r="AD33" s="595" t="s">
        <v>575</v>
      </c>
      <c r="AE33" s="595" t="s">
        <v>613</v>
      </c>
      <c r="AF33" s="595" t="s">
        <v>1216</v>
      </c>
      <c r="AG33" s="595" t="s">
        <v>2211</v>
      </c>
      <c r="AH33" s="595" t="s">
        <v>2210</v>
      </c>
      <c r="AI33" s="595" t="s">
        <v>2209</v>
      </c>
      <c r="AJ33" s="595" t="s">
        <v>608</v>
      </c>
      <c r="AK33" s="595" t="s">
        <v>2208</v>
      </c>
      <c r="CA33" s="187"/>
      <c r="CB33" s="187"/>
      <c r="CD33" s="78"/>
      <c r="CE33" s="78"/>
      <c r="CF33" s="187"/>
      <c r="CG33" s="78"/>
      <c r="CH33" s="78"/>
      <c r="CI33" s="187"/>
    </row>
    <row r="34" spans="2:87" hidden="1">
      <c r="B34" s="596" t="s">
        <v>1143</v>
      </c>
      <c r="C34" s="596"/>
      <c r="D34" s="596"/>
      <c r="E34" s="189" t="s">
        <v>1226</v>
      </c>
      <c r="F34" s="189"/>
      <c r="G34" s="189"/>
      <c r="H34" s="596" t="s">
        <v>1223</v>
      </c>
      <c r="I34" s="596"/>
      <c r="J34" s="596"/>
      <c r="K34" s="189" t="s">
        <v>1160</v>
      </c>
      <c r="L34" s="189"/>
      <c r="M34" s="189"/>
      <c r="N34" s="596" t="s">
        <v>1224</v>
      </c>
      <c r="O34" s="596"/>
      <c r="P34" s="596"/>
      <c r="Q34" s="189" t="s">
        <v>1256</v>
      </c>
      <c r="R34" s="189"/>
      <c r="S34" s="189"/>
      <c r="T34" s="596" t="s">
        <v>1259</v>
      </c>
      <c r="U34" s="596"/>
      <c r="V34" s="596"/>
      <c r="W34" s="189" t="s">
        <v>1258</v>
      </c>
      <c r="X34" s="189"/>
      <c r="Y34" s="189"/>
      <c r="Z34" s="596" t="s">
        <v>1203</v>
      </c>
      <c r="AA34" s="189" t="s">
        <v>1285</v>
      </c>
      <c r="AB34" s="596" t="s">
        <v>1282</v>
      </c>
      <c r="AC34" s="189" t="s">
        <v>1235</v>
      </c>
      <c r="AD34" s="596" t="s">
        <v>1162</v>
      </c>
      <c r="AE34" s="189" t="s">
        <v>1159</v>
      </c>
      <c r="AF34" s="596" t="s">
        <v>1241</v>
      </c>
      <c r="AG34" s="189" t="s">
        <v>1204</v>
      </c>
      <c r="AH34" s="596" t="s">
        <v>1156</v>
      </c>
      <c r="AI34" s="189" t="s">
        <v>1170</v>
      </c>
      <c r="AJ34" s="596" t="s">
        <v>1284</v>
      </c>
      <c r="AK34" s="189" t="s">
        <v>1161</v>
      </c>
      <c r="CA34" s="187"/>
      <c r="CB34" s="187"/>
      <c r="CD34" s="78"/>
      <c r="CE34" s="78"/>
      <c r="CF34" s="187"/>
      <c r="CG34" s="78"/>
      <c r="CH34" s="78"/>
      <c r="CI34" s="187"/>
    </row>
    <row r="35" spans="2:87" hidden="1">
      <c r="B35" s="596" t="s">
        <v>1243</v>
      </c>
      <c r="C35" s="596"/>
      <c r="D35" s="596"/>
      <c r="E35" s="189" t="s">
        <v>1262</v>
      </c>
      <c r="F35" s="189"/>
      <c r="G35" s="189"/>
      <c r="H35" s="596" t="s">
        <v>1157</v>
      </c>
      <c r="I35" s="596"/>
      <c r="J35" s="596"/>
      <c r="K35" s="189" t="s">
        <v>1163</v>
      </c>
      <c r="L35" s="189"/>
      <c r="M35" s="189"/>
      <c r="N35" s="596" t="s">
        <v>1242</v>
      </c>
      <c r="O35" s="596"/>
      <c r="P35" s="596"/>
      <c r="Q35" s="189" t="s">
        <v>1257</v>
      </c>
      <c r="R35" s="189"/>
      <c r="S35" s="189"/>
      <c r="T35" s="596" t="s">
        <v>1247</v>
      </c>
      <c r="U35" s="596"/>
      <c r="V35" s="596"/>
      <c r="W35" s="189" t="s">
        <v>1244</v>
      </c>
      <c r="X35" s="189"/>
      <c r="Y35" s="189"/>
      <c r="Z35" s="596" t="s">
        <v>1178</v>
      </c>
      <c r="AA35" s="189" t="s">
        <v>1167</v>
      </c>
      <c r="AB35" s="596" t="s">
        <v>1302</v>
      </c>
      <c r="AC35" s="189" t="s">
        <v>1228</v>
      </c>
      <c r="AD35" s="596" t="s">
        <v>1210</v>
      </c>
      <c r="AE35" s="189" t="s">
        <v>1286</v>
      </c>
      <c r="AF35" s="596" t="s">
        <v>1281</v>
      </c>
      <c r="AG35" s="189" t="s">
        <v>1146</v>
      </c>
      <c r="AH35" s="596" t="s">
        <v>1192</v>
      </c>
      <c r="AI35" s="189" t="s">
        <v>1171</v>
      </c>
      <c r="AJ35" s="596" t="s">
        <v>1165</v>
      </c>
      <c r="AK35" s="189" t="s">
        <v>1164</v>
      </c>
      <c r="CA35" s="187"/>
      <c r="CB35" s="187"/>
      <c r="CG35" s="78"/>
      <c r="CH35" s="78"/>
      <c r="CI35" s="187"/>
    </row>
    <row r="36" spans="2:87" hidden="1">
      <c r="B36" s="596" t="s">
        <v>1193</v>
      </c>
      <c r="C36" s="596"/>
      <c r="D36" s="596"/>
      <c r="E36" s="189" t="s">
        <v>1263</v>
      </c>
      <c r="F36" s="189"/>
      <c r="G36" s="189"/>
      <c r="H36" s="596" t="s">
        <v>1158</v>
      </c>
      <c r="I36" s="596"/>
      <c r="J36" s="596"/>
      <c r="K36" s="189" t="s">
        <v>1227</v>
      </c>
      <c r="L36" s="189"/>
      <c r="M36" s="189"/>
      <c r="N36" s="596" t="s">
        <v>1225</v>
      </c>
      <c r="O36" s="596"/>
      <c r="P36" s="596"/>
      <c r="Q36" s="189" t="s">
        <v>1291</v>
      </c>
      <c r="R36" s="189"/>
      <c r="S36" s="189"/>
      <c r="T36" s="596" t="s">
        <v>1260</v>
      </c>
      <c r="U36" s="596"/>
      <c r="V36" s="596"/>
      <c r="W36" s="189" t="s">
        <v>1248</v>
      </c>
      <c r="X36" s="189"/>
      <c r="Y36" s="189"/>
      <c r="Z36" s="596" t="s">
        <v>1179</v>
      </c>
      <c r="AA36" s="189" t="s">
        <v>1270</v>
      </c>
      <c r="AB36" s="596" t="s">
        <v>1303</v>
      </c>
      <c r="AC36" s="189" t="s">
        <v>1249</v>
      </c>
      <c r="AD36" s="596" t="s">
        <v>1218</v>
      </c>
      <c r="AE36" s="189" t="s">
        <v>1305</v>
      </c>
      <c r="AF36" s="596" t="s">
        <v>1271</v>
      </c>
      <c r="AG36" s="189" t="s">
        <v>1147</v>
      </c>
      <c r="AH36" s="596" t="s">
        <v>1229</v>
      </c>
      <c r="AI36" s="189" t="s">
        <v>1149</v>
      </c>
      <c r="AJ36" s="596" t="s">
        <v>1245</v>
      </c>
      <c r="AK36" s="189" t="s">
        <v>1166</v>
      </c>
      <c r="CA36" s="187"/>
      <c r="CB36" s="187"/>
      <c r="CG36" s="78"/>
      <c r="CH36" s="78"/>
      <c r="CI36" s="187"/>
    </row>
    <row r="37" spans="2:87" hidden="1">
      <c r="B37" s="596" t="s">
        <v>1168</v>
      </c>
      <c r="C37" s="596"/>
      <c r="D37" s="596"/>
      <c r="E37" s="189" t="s">
        <v>1266</v>
      </c>
      <c r="F37" s="189"/>
      <c r="G37" s="189"/>
      <c r="H37" s="596" t="s">
        <v>1205</v>
      </c>
      <c r="I37" s="596"/>
      <c r="J37" s="596"/>
      <c r="K37" s="189" t="s">
        <v>1246</v>
      </c>
      <c r="L37" s="189"/>
      <c r="M37" s="189"/>
      <c r="N37" s="596" t="s">
        <v>1283</v>
      </c>
      <c r="O37" s="596"/>
      <c r="P37" s="596"/>
      <c r="Q37" s="189" t="s">
        <v>1198</v>
      </c>
      <c r="R37" s="189"/>
      <c r="S37" s="189"/>
      <c r="T37" s="596" t="s">
        <v>1250</v>
      </c>
      <c r="U37" s="596"/>
      <c r="V37" s="596"/>
      <c r="W37" s="189" t="s">
        <v>1181</v>
      </c>
      <c r="X37" s="189"/>
      <c r="Y37" s="189"/>
      <c r="Z37" s="596" t="s">
        <v>1180</v>
      </c>
      <c r="AA37" s="189" t="s">
        <v>1172</v>
      </c>
      <c r="AB37" s="596" t="s">
        <v>1304</v>
      </c>
      <c r="AC37" s="189" t="s">
        <v>1238</v>
      </c>
      <c r="AD37" s="596" t="s">
        <v>1220</v>
      </c>
      <c r="AE37" s="189" t="s">
        <v>1308</v>
      </c>
      <c r="AF37" s="596" t="s">
        <v>1290</v>
      </c>
      <c r="AG37" s="189" t="s">
        <v>1182</v>
      </c>
      <c r="AH37" s="596" t="s">
        <v>1207</v>
      </c>
      <c r="AI37" s="189" t="s">
        <v>1607</v>
      </c>
      <c r="AJ37" s="596" t="s">
        <v>1219</v>
      </c>
      <c r="AK37" s="189" t="s">
        <v>1212</v>
      </c>
      <c r="CA37" s="187"/>
      <c r="CB37" s="187"/>
      <c r="CG37" s="78"/>
      <c r="CH37" s="78"/>
      <c r="CI37" s="187"/>
    </row>
    <row r="38" spans="2:87" hidden="1">
      <c r="B38" s="596" t="s">
        <v>1169</v>
      </c>
      <c r="C38" s="596"/>
      <c r="D38" s="596"/>
      <c r="E38" s="189" t="s">
        <v>1197</v>
      </c>
      <c r="F38" s="189"/>
      <c r="G38" s="189"/>
      <c r="H38" s="596" t="s">
        <v>1272</v>
      </c>
      <c r="I38" s="596"/>
      <c r="J38" s="596"/>
      <c r="K38" s="189" t="s">
        <v>1209</v>
      </c>
      <c r="L38" s="189"/>
      <c r="M38" s="189"/>
      <c r="N38" s="596" t="s">
        <v>1206</v>
      </c>
      <c r="O38" s="764"/>
      <c r="P38" s="764"/>
      <c r="Q38" s="78"/>
      <c r="R38" s="78"/>
      <c r="S38" s="78"/>
      <c r="T38" s="596" t="s">
        <v>1307</v>
      </c>
      <c r="U38" s="596"/>
      <c r="V38" s="596"/>
      <c r="W38" s="189" t="s">
        <v>1237</v>
      </c>
      <c r="X38" s="189"/>
      <c r="Y38" s="189"/>
      <c r="Z38" s="596" t="s">
        <v>1183</v>
      </c>
      <c r="AA38" s="189" t="s">
        <v>1173</v>
      </c>
      <c r="AB38" s="596" t="s">
        <v>1287</v>
      </c>
      <c r="AC38" s="78"/>
      <c r="AD38" s="78"/>
      <c r="AE38" s="189" t="s">
        <v>1187</v>
      </c>
      <c r="AF38" s="596" t="s">
        <v>2218</v>
      </c>
      <c r="AG38" s="189" t="s">
        <v>1217</v>
      </c>
      <c r="AH38" s="596" t="s">
        <v>1175</v>
      </c>
      <c r="AI38" s="189" t="s">
        <v>1177</v>
      </c>
      <c r="AJ38" s="596" t="s">
        <v>1253</v>
      </c>
      <c r="AK38" s="189" t="s">
        <v>1213</v>
      </c>
      <c r="CA38" s="187"/>
      <c r="CB38" s="187"/>
      <c r="CG38" s="78"/>
      <c r="CH38" s="78"/>
      <c r="CI38" s="187"/>
    </row>
    <row r="39" spans="2:87" ht="15" hidden="1" thickBot="1">
      <c r="B39" s="596" t="s">
        <v>1208</v>
      </c>
      <c r="C39" s="596"/>
      <c r="D39" s="596"/>
      <c r="E39" s="189" t="s">
        <v>1215</v>
      </c>
      <c r="F39" s="189"/>
      <c r="G39" s="189"/>
      <c r="H39" s="596" t="s">
        <v>1195</v>
      </c>
      <c r="I39" s="596"/>
      <c r="J39" s="596"/>
      <c r="K39" s="189" t="s">
        <v>1231</v>
      </c>
      <c r="L39" s="189"/>
      <c r="M39" s="189"/>
      <c r="N39" s="596" t="s">
        <v>1194</v>
      </c>
      <c r="O39" s="764"/>
      <c r="P39" s="764"/>
      <c r="Q39" s="78"/>
      <c r="R39" s="78"/>
      <c r="S39" s="78"/>
      <c r="T39" s="596" t="s">
        <v>1273</v>
      </c>
      <c r="U39" s="764"/>
      <c r="V39" s="764"/>
      <c r="W39" s="78"/>
      <c r="X39" s="78"/>
      <c r="Y39" s="78"/>
      <c r="Z39" s="596" t="s">
        <v>1267</v>
      </c>
      <c r="AA39" s="189" t="s">
        <v>1174</v>
      </c>
      <c r="AB39" s="596" t="s">
        <v>1288</v>
      </c>
      <c r="AC39" s="78"/>
      <c r="AD39" s="78"/>
      <c r="AE39" s="189" t="s">
        <v>1277</v>
      </c>
      <c r="AF39" s="596" t="s">
        <v>1275</v>
      </c>
      <c r="AG39" s="189" t="s">
        <v>1279</v>
      </c>
      <c r="AH39" s="596" t="s">
        <v>1151</v>
      </c>
      <c r="AI39" s="189" t="s">
        <v>1232</v>
      </c>
      <c r="AJ39" s="596" t="s">
        <v>1254</v>
      </c>
      <c r="AK39" s="198" t="s">
        <v>1184</v>
      </c>
      <c r="CA39" s="187"/>
      <c r="CB39" s="187"/>
      <c r="CG39" s="78"/>
      <c r="CH39" s="78"/>
      <c r="CI39" s="187"/>
    </row>
    <row r="40" spans="2:87" hidden="1">
      <c r="B40" s="596" t="s">
        <v>1261</v>
      </c>
      <c r="C40" s="764"/>
      <c r="D40" s="764"/>
      <c r="E40" s="78"/>
      <c r="F40" s="78"/>
      <c r="G40" s="78"/>
      <c r="H40" s="596" t="s">
        <v>1230</v>
      </c>
      <c r="I40" s="764"/>
      <c r="J40" s="764"/>
      <c r="K40" s="78"/>
      <c r="L40" s="78"/>
      <c r="M40" s="78"/>
      <c r="N40" s="596" t="s">
        <v>1252</v>
      </c>
      <c r="O40" s="764"/>
      <c r="P40" s="764"/>
      <c r="Q40" s="78"/>
      <c r="R40" s="78"/>
      <c r="S40" s="78"/>
      <c r="T40" s="596" t="s">
        <v>1294</v>
      </c>
      <c r="U40" s="764"/>
      <c r="V40" s="764"/>
      <c r="W40" s="78"/>
      <c r="X40" s="78"/>
      <c r="Y40" s="78"/>
      <c r="Z40" s="78"/>
      <c r="AA40" s="189" t="s">
        <v>1264</v>
      </c>
      <c r="AB40" s="596" t="s">
        <v>1289</v>
      </c>
      <c r="AC40" s="78"/>
      <c r="AD40" s="78"/>
      <c r="AE40" s="78"/>
      <c r="AF40" s="596" t="s">
        <v>1265</v>
      </c>
      <c r="AG40" s="78"/>
      <c r="AH40" s="596" t="s">
        <v>1152</v>
      </c>
      <c r="AI40" s="189" t="s">
        <v>1153</v>
      </c>
      <c r="AJ40" s="596" t="s">
        <v>1239</v>
      </c>
      <c r="AK40" s="78"/>
      <c r="CA40" s="187"/>
      <c r="CB40" s="187"/>
    </row>
    <row r="41" spans="2:87" hidden="1">
      <c r="B41" s="596" t="s">
        <v>1148</v>
      </c>
      <c r="C41" s="764"/>
      <c r="D41" s="764"/>
      <c r="E41" s="78"/>
      <c r="F41" s="78"/>
      <c r="G41" s="78"/>
      <c r="H41" s="596" t="s">
        <v>1214</v>
      </c>
      <c r="I41" s="764"/>
      <c r="J41" s="764"/>
      <c r="K41" s="78"/>
      <c r="L41" s="78"/>
      <c r="M41" s="78"/>
      <c r="N41" s="596" t="s">
        <v>1199</v>
      </c>
      <c r="O41" s="764"/>
      <c r="P41" s="764"/>
      <c r="Q41" s="78"/>
      <c r="R41" s="78"/>
      <c r="S41" s="78"/>
      <c r="T41" s="596" t="s">
        <v>1297</v>
      </c>
      <c r="U41" s="764"/>
      <c r="V41" s="764"/>
      <c r="W41" s="78"/>
      <c r="X41" s="78"/>
      <c r="Y41" s="78"/>
      <c r="Z41" s="78"/>
      <c r="AA41" s="189" t="s">
        <v>1196</v>
      </c>
      <c r="AB41" s="596" t="s">
        <v>1306</v>
      </c>
      <c r="AC41" s="78"/>
      <c r="AD41" s="78"/>
      <c r="AE41" s="78"/>
      <c r="AF41" s="596" t="s">
        <v>1189</v>
      </c>
      <c r="AG41" s="78"/>
      <c r="AH41" s="596" t="s">
        <v>1188</v>
      </c>
      <c r="AI41" s="189" t="s">
        <v>1154</v>
      </c>
      <c r="AJ41" s="78"/>
      <c r="AK41" s="78"/>
      <c r="CA41" s="187"/>
      <c r="CB41" s="187"/>
    </row>
    <row r="42" spans="2:87" hidden="1">
      <c r="B42" s="596" t="s">
        <v>1176</v>
      </c>
      <c r="C42" s="764"/>
      <c r="D42" s="764"/>
      <c r="E42" s="78"/>
      <c r="F42" s="78"/>
      <c r="G42" s="78"/>
      <c r="H42" s="596" t="s">
        <v>1185</v>
      </c>
      <c r="I42" s="764"/>
      <c r="J42" s="764"/>
      <c r="K42" s="78"/>
      <c r="L42" s="78"/>
      <c r="M42" s="78"/>
      <c r="N42" s="596" t="s">
        <v>1200</v>
      </c>
      <c r="O42" s="764"/>
      <c r="P42" s="764"/>
      <c r="Q42" s="78"/>
      <c r="R42" s="78"/>
      <c r="S42" s="78"/>
      <c r="T42" s="596" t="s">
        <v>1234</v>
      </c>
      <c r="U42" s="764"/>
      <c r="V42" s="764"/>
      <c r="W42" s="78"/>
      <c r="X42" s="78"/>
      <c r="Y42" s="78"/>
      <c r="Z42" s="78"/>
      <c r="AA42" s="189" t="s">
        <v>1233</v>
      </c>
      <c r="AB42" s="596" t="s">
        <v>1292</v>
      </c>
      <c r="AC42" s="78"/>
      <c r="AD42" s="78"/>
      <c r="AE42" s="78"/>
      <c r="AF42" s="596" t="s">
        <v>1216</v>
      </c>
      <c r="AG42" s="78"/>
      <c r="AH42" s="596" t="s">
        <v>1201</v>
      </c>
      <c r="AI42" s="189" t="s">
        <v>1221</v>
      </c>
      <c r="AJ42" s="78"/>
      <c r="AK42" s="78"/>
      <c r="CA42" s="187"/>
      <c r="CB42" s="187"/>
    </row>
    <row r="43" spans="2:87" hidden="1">
      <c r="B43" s="596" t="s">
        <v>1211</v>
      </c>
      <c r="C43" s="764"/>
      <c r="D43" s="764"/>
      <c r="E43" s="78"/>
      <c r="F43" s="78"/>
      <c r="G43" s="78"/>
      <c r="H43" s="78"/>
      <c r="I43" s="78"/>
      <c r="J43" s="78"/>
      <c r="K43" s="78"/>
      <c r="L43" s="78"/>
      <c r="M43" s="78"/>
      <c r="N43" s="78"/>
      <c r="O43" s="78"/>
      <c r="P43" s="78"/>
      <c r="Q43" s="78"/>
      <c r="R43" s="78"/>
      <c r="S43" s="78"/>
      <c r="T43" s="78"/>
      <c r="U43" s="78"/>
      <c r="V43" s="78"/>
      <c r="W43" s="78"/>
      <c r="X43" s="78"/>
      <c r="Y43" s="78"/>
      <c r="Z43" s="78"/>
      <c r="AA43" s="189" t="s">
        <v>1295</v>
      </c>
      <c r="AB43" s="596" t="s">
        <v>1293</v>
      </c>
      <c r="AC43" s="78"/>
      <c r="AD43" s="78"/>
      <c r="AE43" s="78"/>
      <c r="AF43" s="596" t="s">
        <v>1278</v>
      </c>
      <c r="AG43" s="78"/>
      <c r="AH43" s="78"/>
      <c r="AI43" s="78"/>
      <c r="AJ43" s="78"/>
      <c r="AK43" s="78"/>
      <c r="CA43" s="187"/>
      <c r="CB43" s="187"/>
    </row>
    <row r="44" spans="2:87" hidden="1">
      <c r="B44" s="596" t="s">
        <v>1186</v>
      </c>
      <c r="C44" s="764"/>
      <c r="D44" s="764"/>
      <c r="E44" s="78"/>
      <c r="F44" s="78"/>
      <c r="G44" s="78"/>
      <c r="H44" s="78"/>
      <c r="I44" s="78"/>
      <c r="J44" s="78"/>
      <c r="K44" s="78"/>
      <c r="L44" s="78"/>
      <c r="M44" s="78"/>
      <c r="N44" s="78"/>
      <c r="O44" s="78"/>
      <c r="P44" s="78"/>
      <c r="Q44" s="78"/>
      <c r="R44" s="78"/>
      <c r="S44" s="78"/>
      <c r="T44" s="78"/>
      <c r="U44" s="78"/>
      <c r="V44" s="78"/>
      <c r="W44" s="78"/>
      <c r="X44" s="78"/>
      <c r="Y44" s="78"/>
      <c r="Z44" s="78"/>
      <c r="AA44" s="189" t="s">
        <v>1300</v>
      </c>
      <c r="AB44" s="596" t="s">
        <v>1274</v>
      </c>
      <c r="AC44" s="78"/>
      <c r="AD44" s="78"/>
      <c r="AE44" s="78"/>
      <c r="AF44" s="596" t="s">
        <v>1190</v>
      </c>
      <c r="AG44" s="78"/>
      <c r="AH44" s="78"/>
      <c r="AI44" s="78"/>
      <c r="AJ44" s="78"/>
      <c r="AK44" s="78"/>
      <c r="CA44" s="187"/>
      <c r="CB44" s="187"/>
    </row>
    <row r="45" spans="2:87" hidden="1">
      <c r="B45" s="596" t="s">
        <v>1268</v>
      </c>
      <c r="C45" s="764"/>
      <c r="D45" s="764"/>
      <c r="E45" s="78"/>
      <c r="F45" s="78"/>
      <c r="G45" s="78"/>
      <c r="H45" s="78"/>
      <c r="I45" s="78"/>
      <c r="J45" s="78"/>
      <c r="K45" s="78"/>
      <c r="L45" s="78"/>
      <c r="M45" s="78"/>
      <c r="N45" s="78"/>
      <c r="O45" s="78"/>
      <c r="P45" s="78"/>
      <c r="Q45" s="78"/>
      <c r="R45" s="78"/>
      <c r="S45" s="78"/>
      <c r="T45" s="78"/>
      <c r="U45" s="78"/>
      <c r="V45" s="78"/>
      <c r="W45" s="78"/>
      <c r="X45" s="78"/>
      <c r="Y45" s="78"/>
      <c r="Z45" s="78"/>
      <c r="AA45" s="189" t="s">
        <v>1236</v>
      </c>
      <c r="AB45" s="596" t="s">
        <v>1276</v>
      </c>
      <c r="AC45" s="78"/>
      <c r="AD45" s="78"/>
      <c r="AE45" s="78"/>
      <c r="AF45" s="78"/>
      <c r="AG45" s="78"/>
      <c r="AH45" s="78"/>
      <c r="AI45" s="78"/>
      <c r="AJ45" s="78"/>
      <c r="AK45" s="78"/>
      <c r="CA45" s="187"/>
      <c r="CB45" s="187"/>
    </row>
    <row r="46" spans="2:87" hidden="1">
      <c r="B46" s="78"/>
      <c r="C46" s="78"/>
      <c r="D46" s="78"/>
      <c r="E46" s="78"/>
      <c r="F46" s="78"/>
      <c r="G46" s="78"/>
      <c r="H46" s="78"/>
      <c r="I46" s="78"/>
      <c r="J46" s="78"/>
      <c r="K46" s="78"/>
      <c r="L46" s="78"/>
      <c r="M46" s="78"/>
      <c r="N46" s="78"/>
      <c r="O46" s="78"/>
      <c r="P46" s="78"/>
      <c r="Q46" s="78"/>
      <c r="R46" s="78"/>
      <c r="S46" s="78"/>
      <c r="T46" s="78"/>
      <c r="U46" s="78"/>
      <c r="V46" s="78"/>
      <c r="W46" s="78"/>
      <c r="X46" s="78"/>
      <c r="Y46" s="78"/>
      <c r="Z46" s="78"/>
      <c r="AA46" s="78"/>
      <c r="AB46" s="596" t="s">
        <v>1309</v>
      </c>
      <c r="AC46" s="78"/>
      <c r="AD46" s="78"/>
      <c r="AE46" s="78"/>
      <c r="AF46" s="78"/>
      <c r="AG46" s="78"/>
      <c r="AH46" s="78"/>
      <c r="AI46" s="78"/>
      <c r="AJ46" s="78"/>
      <c r="AK46" s="78"/>
      <c r="CA46" s="187"/>
      <c r="CB46" s="187"/>
    </row>
    <row r="47" spans="2:87" hidden="1">
      <c r="B47" s="78"/>
      <c r="C47" s="78"/>
      <c r="D47" s="78"/>
      <c r="E47" s="78"/>
      <c r="F47" s="78"/>
      <c r="G47" s="78"/>
      <c r="H47" s="78"/>
      <c r="I47" s="78"/>
      <c r="J47" s="78"/>
      <c r="K47" s="78"/>
      <c r="L47" s="78"/>
      <c r="M47" s="78"/>
      <c r="N47" s="78"/>
      <c r="O47" s="78"/>
      <c r="P47" s="78"/>
      <c r="Q47" s="78"/>
      <c r="R47" s="78"/>
      <c r="S47" s="78"/>
      <c r="T47" s="78"/>
      <c r="U47" s="78"/>
      <c r="V47" s="78"/>
      <c r="W47" s="78"/>
      <c r="X47" s="78"/>
      <c r="Y47" s="78"/>
      <c r="Z47" s="78"/>
      <c r="AA47" s="78"/>
      <c r="AB47" s="596" t="s">
        <v>1296</v>
      </c>
      <c r="AC47" s="78"/>
      <c r="AD47" s="78"/>
      <c r="AE47" s="78"/>
      <c r="AF47" s="78"/>
      <c r="AG47" s="78"/>
      <c r="AH47" s="78"/>
      <c r="AI47" s="78"/>
      <c r="AJ47" s="78"/>
      <c r="AK47" s="78"/>
      <c r="CA47" s="187"/>
      <c r="CB47" s="187"/>
    </row>
    <row r="48" spans="2:87" hidden="1">
      <c r="B48" s="78"/>
      <c r="C48" s="78"/>
      <c r="D48" s="78"/>
      <c r="E48" s="78"/>
      <c r="F48" s="78"/>
      <c r="G48" s="78"/>
      <c r="H48" s="78"/>
      <c r="I48" s="78"/>
      <c r="J48" s="78"/>
      <c r="K48" s="78"/>
      <c r="L48" s="78"/>
      <c r="M48" s="78"/>
      <c r="N48" s="78"/>
      <c r="O48" s="78"/>
      <c r="P48" s="78"/>
      <c r="Q48" s="78"/>
      <c r="R48" s="78"/>
      <c r="S48" s="78"/>
      <c r="T48" s="78"/>
      <c r="U48" s="78"/>
      <c r="V48" s="78"/>
      <c r="W48" s="78"/>
      <c r="X48" s="78"/>
      <c r="Y48" s="78"/>
      <c r="Z48" s="78"/>
      <c r="AA48" s="78"/>
      <c r="AB48" s="596" t="s">
        <v>1298</v>
      </c>
      <c r="AC48" s="78"/>
      <c r="AD48" s="78"/>
      <c r="AE48" s="78"/>
      <c r="AF48" s="78"/>
      <c r="AG48" s="78"/>
      <c r="AH48" s="78"/>
      <c r="AI48" s="78"/>
      <c r="AJ48" s="78"/>
      <c r="AK48" s="78"/>
      <c r="CA48" s="187"/>
      <c r="CB48" s="187"/>
    </row>
    <row r="49" spans="1:80" hidden="1">
      <c r="B49" s="78"/>
      <c r="C49" s="78"/>
      <c r="D49" s="78"/>
      <c r="E49" s="78"/>
      <c r="F49" s="78"/>
      <c r="G49" s="78"/>
      <c r="H49" s="78"/>
      <c r="I49" s="78"/>
      <c r="J49" s="78"/>
      <c r="K49" s="78"/>
      <c r="L49" s="78"/>
      <c r="M49" s="78"/>
      <c r="N49" s="78"/>
      <c r="O49" s="78"/>
      <c r="P49" s="78"/>
      <c r="Q49" s="78"/>
      <c r="R49" s="78"/>
      <c r="S49" s="78"/>
      <c r="T49" s="78"/>
      <c r="U49" s="78"/>
      <c r="V49" s="78"/>
      <c r="W49" s="78"/>
      <c r="X49" s="78"/>
      <c r="Y49" s="78"/>
      <c r="Z49" s="78"/>
      <c r="AA49" s="78"/>
      <c r="AB49" s="596" t="s">
        <v>1299</v>
      </c>
      <c r="AC49" s="78"/>
      <c r="AD49" s="78"/>
      <c r="AE49" s="78"/>
      <c r="AF49" s="78"/>
      <c r="AG49" s="78"/>
      <c r="AH49" s="78"/>
      <c r="AI49" s="78"/>
      <c r="AJ49" s="78"/>
      <c r="AK49" s="78"/>
      <c r="CA49" s="187"/>
      <c r="CB49" s="187"/>
    </row>
    <row r="50" spans="1:80" hidden="1">
      <c r="B50" s="78"/>
      <c r="C50" s="78"/>
      <c r="D50" s="78"/>
      <c r="E50" s="78"/>
      <c r="F50" s="78"/>
      <c r="G50" s="78"/>
      <c r="H50" s="78"/>
      <c r="I50" s="78"/>
      <c r="J50" s="78"/>
      <c r="K50" s="78"/>
      <c r="L50" s="78"/>
      <c r="M50" s="78"/>
      <c r="N50" s="78"/>
      <c r="O50" s="78"/>
      <c r="P50" s="78"/>
      <c r="Q50" s="78"/>
      <c r="R50" s="78"/>
      <c r="S50" s="78"/>
      <c r="T50" s="78"/>
      <c r="U50" s="78"/>
      <c r="V50" s="78"/>
      <c r="W50" s="78"/>
      <c r="X50" s="78"/>
      <c r="Y50" s="78"/>
      <c r="Z50" s="78"/>
      <c r="AA50" s="78"/>
      <c r="AB50" s="596" t="s">
        <v>1310</v>
      </c>
      <c r="AC50" s="78"/>
      <c r="AD50" s="78"/>
      <c r="AE50" s="78"/>
      <c r="AF50" s="78"/>
      <c r="AG50" s="78"/>
      <c r="AH50" s="78"/>
      <c r="AI50" s="78"/>
      <c r="AJ50" s="78"/>
      <c r="AK50" s="78"/>
      <c r="CA50" s="187"/>
      <c r="CB50" s="187"/>
    </row>
    <row r="51" spans="1:80" ht="15" hidden="1" thickBot="1">
      <c r="CA51" s="187"/>
      <c r="CB51" s="187"/>
    </row>
    <row r="52" spans="1:80">
      <c r="B52" s="183">
        <v>1</v>
      </c>
      <c r="C52" s="390"/>
      <c r="D52" s="390" t="s">
        <v>2514</v>
      </c>
      <c r="E52" s="390">
        <v>2</v>
      </c>
      <c r="F52" s="390"/>
      <c r="G52" s="390"/>
      <c r="H52" s="390">
        <v>3</v>
      </c>
      <c r="I52" s="390"/>
      <c r="J52" s="390"/>
      <c r="K52" s="390">
        <v>4</v>
      </c>
      <c r="L52" s="390"/>
      <c r="M52" s="390"/>
      <c r="N52" s="390">
        <v>5</v>
      </c>
      <c r="O52" s="390"/>
      <c r="P52" s="390"/>
      <c r="Q52" s="390">
        <v>6</v>
      </c>
      <c r="R52" s="390"/>
      <c r="S52" s="390"/>
      <c r="T52" s="390">
        <v>7</v>
      </c>
      <c r="U52" s="390"/>
      <c r="V52" s="390"/>
      <c r="W52" s="390">
        <v>8</v>
      </c>
      <c r="X52" s="78"/>
      <c r="Y52" s="78"/>
      <c r="AA52" s="844" t="s">
        <v>2005</v>
      </c>
      <c r="AB52" s="78"/>
      <c r="AC52" s="683" t="s">
        <v>2430</v>
      </c>
      <c r="AD52" s="681">
        <v>150</v>
      </c>
      <c r="AE52" s="78"/>
      <c r="AF52" s="78"/>
      <c r="AG52" s="78"/>
      <c r="AH52" s="78"/>
      <c r="AI52" s="78"/>
      <c r="AJ52" s="78"/>
      <c r="AK52" s="78"/>
      <c r="AL52" s="78"/>
      <c r="AM52" s="78"/>
      <c r="AN52" s="78"/>
      <c r="AO52" s="78"/>
      <c r="CA52" s="187"/>
      <c r="CB52" s="187"/>
    </row>
    <row r="53" spans="1:80">
      <c r="A53">
        <v>8</v>
      </c>
      <c r="B53" s="94" t="s">
        <v>2345</v>
      </c>
      <c r="C53" s="94">
        <f ca="1">RANDBETWEEN(1,100)</f>
        <v>29</v>
      </c>
      <c r="D53" s="94" t="str">
        <f ca="1">IF((C53/1)&lt;($Z53/$A53),"1",IF((C53/2)&lt;($Z53/$A53),"2+",IF((C53/3)&lt;($Z53/$A53),"bcp","-")))</f>
        <v>-</v>
      </c>
      <c r="E53" s="94" t="s">
        <v>2373</v>
      </c>
      <c r="F53" s="94">
        <f ca="1">RANDBETWEEN(1,100)</f>
        <v>85</v>
      </c>
      <c r="G53" s="94" t="str">
        <f ca="1">IF((F53/1)&lt;($Z53/$A53),"1",IF((F53/2)&lt;($Z53/$A53),"2+",IF((F53/3)&lt;($Z53/$A53),"bcp","-")))</f>
        <v>-</v>
      </c>
      <c r="H53" s="94" t="s">
        <v>2346</v>
      </c>
      <c r="I53" s="94">
        <f ca="1">RANDBETWEEN(1,100)</f>
        <v>83</v>
      </c>
      <c r="J53" s="94" t="str">
        <f ca="1">IF((I53/1)&lt;($Z53/$A53),"1",IF((I53/2)&lt;($Z53/$A53),"2+",IF((I53/3)&lt;($Z53/$A53),"bcp","-")))</f>
        <v>-</v>
      </c>
      <c r="K53" s="94" t="s">
        <v>2352</v>
      </c>
      <c r="L53" s="94">
        <f ca="1">RANDBETWEEN(1,100)</f>
        <v>82</v>
      </c>
      <c r="M53" s="94" t="str">
        <f ca="1">IF((L53/1)&lt;($Z53/$A53),"1",IF((L53/2)&lt;($Z53/$A53),"2+",IF((L53/3)&lt;($Z53/$A53),"bcp","-")))</f>
        <v>-</v>
      </c>
      <c r="N53" s="94" t="s">
        <v>2362</v>
      </c>
      <c r="O53" s="94">
        <f ca="1">RANDBETWEEN(1,100)</f>
        <v>15</v>
      </c>
      <c r="P53" s="94" t="str">
        <f ca="1">IF((O53/1)&lt;($Z53/$A53),"1",IF((O53/2)&lt;($Z53/$A53),"2+",IF((O53/3)&lt;($Z53/$A53),"bcp","-")))</f>
        <v>-</v>
      </c>
      <c r="Q53" s="94" t="s">
        <v>2367</v>
      </c>
      <c r="R53" s="94">
        <f ca="1">RANDBETWEEN(1,100)</f>
        <v>86</v>
      </c>
      <c r="S53" s="94" t="str">
        <f ca="1">IF((R53/1)&lt;($Z53/$A53),"1",IF((R53/2)&lt;($Z53/$A53),"2+",IF((R53/3)&lt;($Z53/$A53),"bcp","-")))</f>
        <v>-</v>
      </c>
      <c r="T53" s="94" t="s">
        <v>2391</v>
      </c>
      <c r="U53" s="94">
        <f ca="1">RANDBETWEEN(1,100)</f>
        <v>79</v>
      </c>
      <c r="V53" s="94" t="str">
        <f ca="1">IF((U53/1)&lt;($Z53/$A53),"1",IF((U53/2)&lt;($Z53/$A53),"2+",IF((U53/3)&lt;($Z53/$A53),"bcp","-")))</f>
        <v>-</v>
      </c>
      <c r="W53" s="94" t="s">
        <v>2397</v>
      </c>
      <c r="X53" s="94">
        <f ca="1">RANDBETWEEN(1,100)</f>
        <v>57</v>
      </c>
      <c r="Y53" s="94" t="str">
        <f ca="1">IF((X53/1)&lt;($Z53/$A53),"1",IF((X53/2)&lt;($Z53/$A53),"2+",IF((X53/3)&lt;($Z53/$A53),"bcp","-")))</f>
        <v>-</v>
      </c>
      <c r="Z53" s="845">
        <f t="shared" ref="Z53:Z72" ca="1" si="36">AN4+BI4+CD4</f>
        <v>0.71640545454545457</v>
      </c>
      <c r="AA53" s="846" t="s">
        <v>2222</v>
      </c>
      <c r="AB53" s="847"/>
      <c r="AG53" s="112" t="s">
        <v>2206</v>
      </c>
      <c r="CA53" s="187"/>
      <c r="CB53" s="187"/>
    </row>
    <row r="54" spans="1:80" ht="15" thickBot="1">
      <c r="A54">
        <v>3</v>
      </c>
      <c r="B54" s="94" t="s">
        <v>2380</v>
      </c>
      <c r="C54" s="94">
        <f t="shared" ref="C54:C72" ca="1" si="37">RANDBETWEEN(1,100)</f>
        <v>13</v>
      </c>
      <c r="D54" s="94" t="str">
        <f t="shared" ref="D54:D72" ca="1" si="38">IF((C54/1)&lt;($Z54/$A54),"1",IF((C54/2)&lt;($Z54/$A54),"2+",IF((C54/3)&lt;($Z54/$A54),"bcp","-")))</f>
        <v>-</v>
      </c>
      <c r="E54" s="94" t="s">
        <v>2404</v>
      </c>
      <c r="F54" s="94">
        <f t="shared" ref="F54:F72" ca="1" si="39">RANDBETWEEN(1,100)</f>
        <v>42</v>
      </c>
      <c r="G54" s="94" t="str">
        <f t="shared" ref="G54:G72" ca="1" si="40">IF((F54/1)&lt;($Z54/$A54),"1",IF((F54/2)&lt;($Z54/$A54),"2+",IF((F54/3)&lt;($Z54/$A54),"bcp","-")))</f>
        <v>-</v>
      </c>
      <c r="H54" s="94" t="s">
        <v>2405</v>
      </c>
      <c r="I54" s="94">
        <f t="shared" ref="I54:I72" ca="1" si="41">RANDBETWEEN(1,100)</f>
        <v>83</v>
      </c>
      <c r="J54" s="94" t="str">
        <f t="shared" ref="J54:J72" ca="1" si="42">IF((I54/1)&lt;($Z54/$A54),"1",IF((I54/2)&lt;($Z54/$A54),"2+",IF((I54/3)&lt;($Z54/$A54),"bcp","-")))</f>
        <v>-</v>
      </c>
      <c r="K54" s="768"/>
      <c r="L54" s="768">
        <f t="shared" ref="L54:L72" ca="1" si="43">RANDBETWEEN(1,100)</f>
        <v>93</v>
      </c>
      <c r="M54" s="94" t="str">
        <f t="shared" ref="M54:M72" ca="1" si="44">IF((L54/1)&lt;($Z54/$A54),"1",IF((L54/2)&lt;($Z54/$A54),"2+",IF((L54/3)&lt;($Z54/$A54),"bcp","-")))</f>
        <v>-</v>
      </c>
      <c r="N54" s="768"/>
      <c r="O54" s="768">
        <f t="shared" ref="O54:O72" ca="1" si="45">RANDBETWEEN(1,100)</f>
        <v>85</v>
      </c>
      <c r="P54" s="94" t="str">
        <f t="shared" ref="P54:P72" ca="1" si="46">IF((O54/1)&lt;($Z54/$A54),"1",IF((O54/2)&lt;($Z54/$A54),"2+",IF((O54/3)&lt;($Z54/$A54),"bcp","-")))</f>
        <v>-</v>
      </c>
      <c r="Q54" s="768"/>
      <c r="R54" s="768">
        <f t="shared" ref="R54:R72" ca="1" si="47">RANDBETWEEN(1,100)</f>
        <v>26</v>
      </c>
      <c r="S54" s="94" t="str">
        <f t="shared" ref="S54:S72" ca="1" si="48">IF((R54/1)&lt;($Z54/$A54),"1",IF((R54/2)&lt;($Z54/$A54),"2+",IF((R54/3)&lt;($Z54/$A54),"bcp","-")))</f>
        <v>-</v>
      </c>
      <c r="T54" s="768"/>
      <c r="U54" s="768">
        <f t="shared" ref="U54:U72" ca="1" si="49">RANDBETWEEN(1,100)</f>
        <v>54</v>
      </c>
      <c r="V54" s="94" t="str">
        <f t="shared" ref="V54:V72" ca="1" si="50">IF((U54/1)&lt;($Z54/$A54),"1",IF((U54/2)&lt;($Z54/$A54),"2+",IF((U54/3)&lt;($Z54/$A54),"bcp","-")))</f>
        <v>-</v>
      </c>
      <c r="W54" s="768"/>
      <c r="X54" s="768">
        <f t="shared" ref="X54:X72" ca="1" si="51">RANDBETWEEN(1,100)</f>
        <v>80</v>
      </c>
      <c r="Y54" s="94" t="str">
        <f t="shared" ref="Y54:Y72" ca="1" si="52">IF((X54/1)&lt;($Z54/$A54),"1",IF((X54/2)&lt;($Z54/$A54),"2+",IF((X54/3)&lt;($Z54/$A54),"bcp","-")))</f>
        <v>-</v>
      </c>
      <c r="Z54" s="845">
        <f t="shared" ca="1" si="36"/>
        <v>1.7298763636363637</v>
      </c>
      <c r="AA54" s="846" t="s">
        <v>2221</v>
      </c>
      <c r="AB54" s="847"/>
      <c r="AF54" s="680">
        <f ca="1">SUM(AG57:AR57)</f>
        <v>4</v>
      </c>
      <c r="AG54" s="682">
        <f ca="1">RANDBETWEEN(50,150)/100*IF(AG57&lt;&gt;0,$AJ55/$AH55,0)</f>
        <v>52.199999999999996</v>
      </c>
      <c r="AH54" s="682">
        <f ca="1">RANDBETWEEN(50,150)/100*IF(AH57&lt;&gt;0,$AJ55/$AH55,0)</f>
        <v>0</v>
      </c>
      <c r="AI54" s="682">
        <f ca="1">RANDBETWEEN(50,150)/100*IF(AI57&lt;&gt;0,$AJ55/$AH55,0)</f>
        <v>0</v>
      </c>
      <c r="AJ54" s="684">
        <f ca="1">RANDBETWEEN(50,150)/100*IF(AJ57&lt;&gt;0,$AJ55/$AH55,0)</f>
        <v>0</v>
      </c>
      <c r="AK54" s="682">
        <f ca="1">RANDBETWEEN(50,150)/100*IF(AK57&lt;&gt;0,$AN55/$AL55,0)</f>
        <v>32.85</v>
      </c>
      <c r="AL54" s="682">
        <f ca="1">RANDBETWEEN(50,150)/100*IF(AL57&lt;&gt;0,$AN55/$AL55,0)</f>
        <v>17.775000000000002</v>
      </c>
      <c r="AM54" s="682">
        <f ca="1">RANDBETWEEN(50,150)/100*IF(AM57&lt;&gt;0,$AN55/$AL55,0)</f>
        <v>0</v>
      </c>
      <c r="AN54" s="682">
        <f ca="1">RANDBETWEEN(50,150)/100*IF(AN57&lt;&gt;0,$AN55/$AL55,0)</f>
        <v>0</v>
      </c>
      <c r="AO54" s="682">
        <f ca="1">RANDBETWEEN(50,150)/100*IF(AO57&lt;&gt;0,$AR55/$AP55,0)</f>
        <v>20.100000000000001</v>
      </c>
      <c r="AP54" s="682">
        <f ca="1">RANDBETWEEN(50,150)/100*IF(AP57&lt;&gt;0,$AR55/$AP55,0)</f>
        <v>0</v>
      </c>
      <c r="AQ54" s="682">
        <f ca="1">RANDBETWEEN(50,150)/100*IF(AQ57&lt;&gt;0,$AR55/$AP55,0)</f>
        <v>0</v>
      </c>
      <c r="AR54" s="684">
        <f ca="1">RANDBETWEEN(50,150)/100*IF(AR57&lt;&gt;0,$AR55/$AP55,0)</f>
        <v>0</v>
      </c>
      <c r="CA54" s="187"/>
      <c r="CB54" s="187"/>
    </row>
    <row r="55" spans="1:80" ht="15" thickBot="1">
      <c r="A55">
        <v>3</v>
      </c>
      <c r="B55" s="94" t="s">
        <v>2350</v>
      </c>
      <c r="C55" s="94">
        <f t="shared" ca="1" si="37"/>
        <v>19</v>
      </c>
      <c r="D55" s="94" t="str">
        <f t="shared" ca="1" si="38"/>
        <v>-</v>
      </c>
      <c r="E55" s="94" t="s">
        <v>2375</v>
      </c>
      <c r="F55" s="94">
        <f t="shared" ca="1" si="39"/>
        <v>89</v>
      </c>
      <c r="G55" s="94" t="str">
        <f t="shared" ca="1" si="40"/>
        <v>-</v>
      </c>
      <c r="H55" s="94" t="s">
        <v>2379</v>
      </c>
      <c r="I55" s="94">
        <f t="shared" ca="1" si="41"/>
        <v>74</v>
      </c>
      <c r="J55" s="94" t="str">
        <f t="shared" ca="1" si="42"/>
        <v>-</v>
      </c>
      <c r="K55" s="768"/>
      <c r="L55" s="768">
        <f t="shared" ca="1" si="43"/>
        <v>39</v>
      </c>
      <c r="M55" s="94" t="str">
        <f t="shared" ca="1" si="44"/>
        <v>-</v>
      </c>
      <c r="N55" s="768"/>
      <c r="O55" s="768">
        <f t="shared" ca="1" si="45"/>
        <v>23</v>
      </c>
      <c r="P55" s="94" t="str">
        <f t="shared" ca="1" si="46"/>
        <v>-</v>
      </c>
      <c r="Q55" s="768"/>
      <c r="R55" s="768">
        <f t="shared" ca="1" si="47"/>
        <v>78</v>
      </c>
      <c r="S55" s="94" t="str">
        <f t="shared" ca="1" si="48"/>
        <v>-</v>
      </c>
      <c r="T55" s="768"/>
      <c r="U55" s="768">
        <f t="shared" ca="1" si="49"/>
        <v>20</v>
      </c>
      <c r="V55" s="94" t="str">
        <f t="shared" ca="1" si="50"/>
        <v>-</v>
      </c>
      <c r="W55" s="768"/>
      <c r="X55" s="768">
        <f t="shared" ca="1" si="51"/>
        <v>12</v>
      </c>
      <c r="Y55" s="94" t="str">
        <f t="shared" ca="1" si="52"/>
        <v>-</v>
      </c>
      <c r="Z55" s="845">
        <f t="shared" ca="1" si="36"/>
        <v>2.2980654545454544</v>
      </c>
      <c r="AA55" s="846" t="s">
        <v>2220</v>
      </c>
      <c r="AB55" s="847"/>
      <c r="AG55" s="678" t="s">
        <v>2427</v>
      </c>
      <c r="AH55" s="679">
        <f ca="1">SUM(AG57:AJ57)</f>
        <v>1</v>
      </c>
      <c r="AI55">
        <v>60</v>
      </c>
      <c r="AJ55" s="685">
        <f>AD52*AI55/100</f>
        <v>90</v>
      </c>
      <c r="AK55" s="678" t="s">
        <v>2428</v>
      </c>
      <c r="AL55" s="679">
        <f ca="1">SUM(AK57:AN57)</f>
        <v>2</v>
      </c>
      <c r="AM55">
        <v>30</v>
      </c>
      <c r="AN55" s="685">
        <f>AD52*AM55/100</f>
        <v>45</v>
      </c>
      <c r="AO55" s="678" t="s">
        <v>2429</v>
      </c>
      <c r="AP55" s="679">
        <f ca="1">SUM(AO57:AR57)</f>
        <v>1</v>
      </c>
      <c r="AQ55">
        <v>10</v>
      </c>
      <c r="AR55" s="685">
        <f>AD52*AQ55/100</f>
        <v>15</v>
      </c>
      <c r="CA55" s="187"/>
      <c r="CB55" s="187"/>
    </row>
    <row r="56" spans="1:80">
      <c r="A56">
        <v>4</v>
      </c>
      <c r="B56" s="94" t="s">
        <v>2353</v>
      </c>
      <c r="C56" s="94">
        <f t="shared" ca="1" si="37"/>
        <v>50</v>
      </c>
      <c r="D56" s="94" t="str">
        <f t="shared" ca="1" si="38"/>
        <v>-</v>
      </c>
      <c r="E56" s="94" t="s">
        <v>2355</v>
      </c>
      <c r="F56" s="94">
        <f t="shared" ca="1" si="39"/>
        <v>89</v>
      </c>
      <c r="G56" s="94" t="str">
        <f t="shared" ca="1" si="40"/>
        <v>-</v>
      </c>
      <c r="H56" s="94" t="s">
        <v>2382</v>
      </c>
      <c r="I56" s="94">
        <f t="shared" ca="1" si="41"/>
        <v>38</v>
      </c>
      <c r="J56" s="94" t="str">
        <f t="shared" ca="1" si="42"/>
        <v>-</v>
      </c>
      <c r="K56" s="94" t="s">
        <v>2393</v>
      </c>
      <c r="L56" s="94">
        <f t="shared" ca="1" si="43"/>
        <v>45</v>
      </c>
      <c r="M56" s="94" t="str">
        <f t="shared" ca="1" si="44"/>
        <v>-</v>
      </c>
      <c r="N56" s="768"/>
      <c r="O56" s="768">
        <f t="shared" ca="1" si="45"/>
        <v>29</v>
      </c>
      <c r="P56" s="94" t="str">
        <f t="shared" ca="1" si="46"/>
        <v>-</v>
      </c>
      <c r="Q56" s="768"/>
      <c r="R56" s="768">
        <f t="shared" ca="1" si="47"/>
        <v>92</v>
      </c>
      <c r="S56" s="94" t="str">
        <f t="shared" ca="1" si="48"/>
        <v>-</v>
      </c>
      <c r="T56" s="768"/>
      <c r="U56" s="768">
        <f t="shared" ca="1" si="49"/>
        <v>93</v>
      </c>
      <c r="V56" s="94" t="str">
        <f t="shared" ca="1" si="50"/>
        <v>-</v>
      </c>
      <c r="W56" s="768"/>
      <c r="X56" s="768">
        <f t="shared" ca="1" si="51"/>
        <v>33</v>
      </c>
      <c r="Y56" s="94" t="str">
        <f t="shared" ca="1" si="52"/>
        <v>-</v>
      </c>
      <c r="Z56" s="845">
        <f t="shared" ca="1" si="36"/>
        <v>0.81969818181818177</v>
      </c>
      <c r="AA56" s="846" t="s">
        <v>586</v>
      </c>
      <c r="AB56" s="847"/>
      <c r="AG56" s="128" t="str">
        <f ca="1">LEFT(Ville!C107,3)</f>
        <v>Ele</v>
      </c>
      <c r="AH56" t="str">
        <f ca="1">LEFT(Ville!F107,3)</f>
        <v>0</v>
      </c>
      <c r="AI56" t="str">
        <f ca="1">LEFT(Ville!I107,3)</f>
        <v>0</v>
      </c>
      <c r="AJ56" s="127" t="str">
        <f ca="1">LEFT(Ville!L107,3)</f>
        <v>0</v>
      </c>
      <c r="AK56" s="128" t="str">
        <f ca="1">LEFT(Ville!C108,3)</f>
        <v>Art</v>
      </c>
      <c r="AL56" t="str">
        <f ca="1">LEFT(Ville!F108,3)</f>
        <v>tis</v>
      </c>
      <c r="AM56" t="str">
        <f ca="1">LEFT(Ville!I108,3)</f>
        <v>0</v>
      </c>
      <c r="AN56" s="127" t="str">
        <f ca="1">LEFT(Ville!L108,3)</f>
        <v>0</v>
      </c>
      <c r="AO56" s="128" t="str">
        <f ca="1">LEFT(Ville!C109,3)</f>
        <v>Rel</v>
      </c>
      <c r="AP56" t="str">
        <f ca="1">LEFT(Ville!F109,3)</f>
        <v>0</v>
      </c>
      <c r="AQ56" t="str">
        <f ca="1">LEFT(Ville!I109,3)</f>
        <v>0</v>
      </c>
      <c r="AR56" s="127" t="str">
        <f ca="1">LEFT(Ville!L109,3)</f>
        <v>0</v>
      </c>
      <c r="CA56" s="187"/>
      <c r="CB56" s="187"/>
    </row>
    <row r="57" spans="1:80" ht="15" thickBot="1">
      <c r="A57">
        <v>4</v>
      </c>
      <c r="B57" s="94" t="s">
        <v>2369</v>
      </c>
      <c r="C57" s="94">
        <f t="shared" ca="1" si="37"/>
        <v>30</v>
      </c>
      <c r="D57" s="94" t="str">
        <f t="shared" ca="1" si="38"/>
        <v>-</v>
      </c>
      <c r="E57" s="94" t="s">
        <v>2370</v>
      </c>
      <c r="F57" s="94">
        <f t="shared" ca="1" si="39"/>
        <v>32</v>
      </c>
      <c r="G57" s="94" t="str">
        <f t="shared" ca="1" si="40"/>
        <v>-</v>
      </c>
      <c r="H57" s="94" t="s">
        <v>2390</v>
      </c>
      <c r="I57" s="94">
        <f t="shared" ca="1" si="41"/>
        <v>55</v>
      </c>
      <c r="J57" s="94" t="str">
        <f t="shared" ca="1" si="42"/>
        <v>-</v>
      </c>
      <c r="K57" s="94" t="s">
        <v>822</v>
      </c>
      <c r="L57" s="94">
        <f t="shared" ca="1" si="43"/>
        <v>14</v>
      </c>
      <c r="M57" s="94" t="str">
        <f t="shared" ca="1" si="44"/>
        <v>-</v>
      </c>
      <c r="N57" s="768"/>
      <c r="O57" s="768">
        <f t="shared" ca="1" si="45"/>
        <v>63</v>
      </c>
      <c r="P57" s="94" t="str">
        <f t="shared" ca="1" si="46"/>
        <v>-</v>
      </c>
      <c r="Q57" s="768"/>
      <c r="R57" s="768">
        <f t="shared" ca="1" si="47"/>
        <v>72</v>
      </c>
      <c r="S57" s="94" t="str">
        <f t="shared" ca="1" si="48"/>
        <v>-</v>
      </c>
      <c r="T57" s="768"/>
      <c r="U57" s="768">
        <f t="shared" ca="1" si="49"/>
        <v>27</v>
      </c>
      <c r="V57" s="94" t="str">
        <f t="shared" ca="1" si="50"/>
        <v>-</v>
      </c>
      <c r="W57" s="768"/>
      <c r="X57" s="768">
        <f t="shared" ca="1" si="51"/>
        <v>60</v>
      </c>
      <c r="Y57" s="94" t="str">
        <f t="shared" ca="1" si="52"/>
        <v>-</v>
      </c>
      <c r="Z57" s="845">
        <f t="shared" ca="1" si="36"/>
        <v>1.9886618181818183</v>
      </c>
      <c r="AA57" s="846" t="s">
        <v>1492</v>
      </c>
      <c r="AB57" s="847"/>
      <c r="AG57" s="742">
        <f t="shared" ref="AG57:AR57" ca="1" si="53">IF(AG56&lt;&gt;"0",1,0)</f>
        <v>1</v>
      </c>
      <c r="AH57" s="742">
        <f t="shared" ca="1" si="53"/>
        <v>0</v>
      </c>
      <c r="AI57" s="742">
        <f t="shared" ca="1" si="53"/>
        <v>0</v>
      </c>
      <c r="AJ57" s="742">
        <f t="shared" ca="1" si="53"/>
        <v>0</v>
      </c>
      <c r="AK57" s="742">
        <f t="shared" ca="1" si="53"/>
        <v>1</v>
      </c>
      <c r="AL57" s="742">
        <f t="shared" ca="1" si="53"/>
        <v>1</v>
      </c>
      <c r="AM57" s="742">
        <f t="shared" ca="1" si="53"/>
        <v>0</v>
      </c>
      <c r="AN57" s="742">
        <f t="shared" ca="1" si="53"/>
        <v>0</v>
      </c>
      <c r="AO57" s="742">
        <f t="shared" ca="1" si="53"/>
        <v>1</v>
      </c>
      <c r="AP57" s="742">
        <f t="shared" ca="1" si="53"/>
        <v>0</v>
      </c>
      <c r="AQ57" s="742">
        <f t="shared" ca="1" si="53"/>
        <v>0</v>
      </c>
      <c r="AR57" s="742">
        <f t="shared" ca="1" si="53"/>
        <v>0</v>
      </c>
      <c r="CA57" s="187"/>
      <c r="CB57" s="187"/>
    </row>
    <row r="58" spans="1:80">
      <c r="A58">
        <v>2</v>
      </c>
      <c r="B58" s="94" t="s">
        <v>2400</v>
      </c>
      <c r="C58" s="94">
        <f t="shared" ca="1" si="37"/>
        <v>27</v>
      </c>
      <c r="D58" s="94" t="str">
        <f t="shared" ca="1" si="38"/>
        <v>-</v>
      </c>
      <c r="E58" s="94" t="s">
        <v>2414</v>
      </c>
      <c r="F58" s="94">
        <f t="shared" ca="1" si="39"/>
        <v>17</v>
      </c>
      <c r="G58" s="94" t="str">
        <f t="shared" ca="1" si="40"/>
        <v>-</v>
      </c>
      <c r="H58" s="768"/>
      <c r="I58" s="768">
        <f t="shared" ca="1" si="41"/>
        <v>28</v>
      </c>
      <c r="J58" s="94" t="str">
        <f t="shared" ca="1" si="42"/>
        <v>-</v>
      </c>
      <c r="K58" s="768"/>
      <c r="L58" s="768">
        <f t="shared" ca="1" si="43"/>
        <v>82</v>
      </c>
      <c r="M58" s="94" t="str">
        <f t="shared" ca="1" si="44"/>
        <v>-</v>
      </c>
      <c r="N58" s="768"/>
      <c r="O58" s="768">
        <f t="shared" ca="1" si="45"/>
        <v>74</v>
      </c>
      <c r="P58" s="94" t="str">
        <f t="shared" ca="1" si="46"/>
        <v>-</v>
      </c>
      <c r="Q58" s="768"/>
      <c r="R58" s="768">
        <f t="shared" ca="1" si="47"/>
        <v>48</v>
      </c>
      <c r="S58" s="94" t="str">
        <f t="shared" ca="1" si="48"/>
        <v>-</v>
      </c>
      <c r="T58" s="768"/>
      <c r="U58" s="768">
        <f t="shared" ca="1" si="49"/>
        <v>96</v>
      </c>
      <c r="V58" s="94" t="str">
        <f t="shared" ca="1" si="50"/>
        <v>-</v>
      </c>
      <c r="W58" s="768"/>
      <c r="X58" s="768">
        <f t="shared" ca="1" si="51"/>
        <v>54</v>
      </c>
      <c r="Y58" s="94" t="str">
        <f t="shared" ca="1" si="52"/>
        <v>-</v>
      </c>
      <c r="Z58" s="845">
        <f t="shared" ca="1" si="36"/>
        <v>1.3889154545454545</v>
      </c>
      <c r="AA58" s="846" t="s">
        <v>602</v>
      </c>
      <c r="AB58" s="847"/>
      <c r="CA58" s="187"/>
      <c r="CB58" s="187"/>
    </row>
    <row r="59" spans="1:80">
      <c r="A59">
        <v>4</v>
      </c>
      <c r="B59" s="94" t="s">
        <v>2395</v>
      </c>
      <c r="C59" s="94">
        <f t="shared" ca="1" si="37"/>
        <v>68</v>
      </c>
      <c r="D59" s="94" t="str">
        <f t="shared" ca="1" si="38"/>
        <v>-</v>
      </c>
      <c r="E59" s="94" t="s">
        <v>2402</v>
      </c>
      <c r="F59" s="94">
        <f t="shared" ca="1" si="39"/>
        <v>25</v>
      </c>
      <c r="G59" s="94" t="str">
        <f t="shared" ca="1" si="40"/>
        <v>-</v>
      </c>
      <c r="H59" s="94" t="s">
        <v>2403</v>
      </c>
      <c r="I59" s="94">
        <f t="shared" ca="1" si="41"/>
        <v>36</v>
      </c>
      <c r="J59" s="94" t="str">
        <f t="shared" ca="1" si="42"/>
        <v>-</v>
      </c>
      <c r="K59" s="94" t="s">
        <v>2409</v>
      </c>
      <c r="L59" s="94">
        <f t="shared" ca="1" si="43"/>
        <v>7</v>
      </c>
      <c r="M59" s="94" t="str">
        <f t="shared" ca="1" si="44"/>
        <v>-</v>
      </c>
      <c r="N59" s="768"/>
      <c r="O59" s="768">
        <f t="shared" ca="1" si="45"/>
        <v>51</v>
      </c>
      <c r="P59" s="94" t="str">
        <f t="shared" ca="1" si="46"/>
        <v>-</v>
      </c>
      <c r="Q59" s="768"/>
      <c r="R59" s="768">
        <f t="shared" ca="1" si="47"/>
        <v>80</v>
      </c>
      <c r="S59" s="94" t="str">
        <f t="shared" ca="1" si="48"/>
        <v>-</v>
      </c>
      <c r="T59" s="768"/>
      <c r="U59" s="768">
        <f t="shared" ca="1" si="49"/>
        <v>98</v>
      </c>
      <c r="V59" s="94" t="str">
        <f t="shared" ca="1" si="50"/>
        <v>-</v>
      </c>
      <c r="W59" s="768"/>
      <c r="X59" s="768">
        <f t="shared" ca="1" si="51"/>
        <v>62</v>
      </c>
      <c r="Y59" s="94" t="str">
        <f t="shared" ca="1" si="52"/>
        <v>-</v>
      </c>
      <c r="Z59" s="845">
        <f t="shared" ca="1" si="36"/>
        <v>1.4706163636363636</v>
      </c>
      <c r="AA59" s="846" t="s">
        <v>2217</v>
      </c>
      <c r="AB59" s="847"/>
      <c r="CA59" s="187"/>
      <c r="CB59" s="187"/>
    </row>
    <row r="60" spans="1:80">
      <c r="A60">
        <v>4</v>
      </c>
      <c r="B60" s="94" t="s">
        <v>2360</v>
      </c>
      <c r="C60" s="94">
        <f t="shared" ca="1" si="37"/>
        <v>49</v>
      </c>
      <c r="D60" s="94" t="str">
        <f t="shared" ca="1" si="38"/>
        <v>-</v>
      </c>
      <c r="E60" s="94" t="s">
        <v>2386</v>
      </c>
      <c r="F60" s="94">
        <f t="shared" ca="1" si="39"/>
        <v>28</v>
      </c>
      <c r="G60" s="94" t="str">
        <f t="shared" ca="1" si="40"/>
        <v>-</v>
      </c>
      <c r="H60" s="94" t="s">
        <v>2394</v>
      </c>
      <c r="I60" s="94">
        <f t="shared" ca="1" si="41"/>
        <v>11</v>
      </c>
      <c r="J60" s="94" t="str">
        <f t="shared" ca="1" si="42"/>
        <v>-</v>
      </c>
      <c r="K60" s="94" t="s">
        <v>2401</v>
      </c>
      <c r="L60" s="94">
        <f t="shared" ca="1" si="43"/>
        <v>63</v>
      </c>
      <c r="M60" s="94" t="str">
        <f t="shared" ca="1" si="44"/>
        <v>-</v>
      </c>
      <c r="N60" s="768"/>
      <c r="O60" s="768">
        <f t="shared" ca="1" si="45"/>
        <v>85</v>
      </c>
      <c r="P60" s="94" t="str">
        <f t="shared" ca="1" si="46"/>
        <v>-</v>
      </c>
      <c r="Q60" s="768"/>
      <c r="R60" s="768">
        <f t="shared" ca="1" si="47"/>
        <v>83</v>
      </c>
      <c r="S60" s="94" t="str">
        <f t="shared" ca="1" si="48"/>
        <v>-</v>
      </c>
      <c r="T60" s="768"/>
      <c r="U60" s="768">
        <f t="shared" ca="1" si="49"/>
        <v>70</v>
      </c>
      <c r="V60" s="94" t="str">
        <f t="shared" ca="1" si="50"/>
        <v>-</v>
      </c>
      <c r="W60" s="768"/>
      <c r="X60" s="768">
        <f t="shared" ca="1" si="51"/>
        <v>50</v>
      </c>
      <c r="Y60" s="94" t="str">
        <f t="shared" ca="1" si="52"/>
        <v>-</v>
      </c>
      <c r="Z60" s="845">
        <f t="shared" ca="1" si="36"/>
        <v>0.55466454545454535</v>
      </c>
      <c r="AA60" s="846" t="s">
        <v>2215</v>
      </c>
      <c r="AB60" s="847"/>
      <c r="CA60" s="187"/>
      <c r="CB60" s="187"/>
    </row>
    <row r="61" spans="1:80">
      <c r="A61">
        <v>2</v>
      </c>
      <c r="B61" s="94" t="s">
        <v>2359</v>
      </c>
      <c r="C61" s="94">
        <f t="shared" ca="1" si="37"/>
        <v>69</v>
      </c>
      <c r="D61" s="94" t="str">
        <f t="shared" ca="1" si="38"/>
        <v>-</v>
      </c>
      <c r="E61" s="94" t="s">
        <v>2408</v>
      </c>
      <c r="F61" s="94">
        <f t="shared" ca="1" si="39"/>
        <v>19</v>
      </c>
      <c r="G61" s="94" t="str">
        <f t="shared" ca="1" si="40"/>
        <v>-</v>
      </c>
      <c r="H61" s="768"/>
      <c r="I61" s="768">
        <f t="shared" ca="1" si="41"/>
        <v>29</v>
      </c>
      <c r="J61" s="94" t="str">
        <f t="shared" ca="1" si="42"/>
        <v>-</v>
      </c>
      <c r="K61" s="768"/>
      <c r="L61" s="768">
        <f t="shared" ca="1" si="43"/>
        <v>57</v>
      </c>
      <c r="M61" s="94" t="str">
        <f t="shared" ca="1" si="44"/>
        <v>-</v>
      </c>
      <c r="N61" s="768"/>
      <c r="O61" s="768">
        <f t="shared" ca="1" si="45"/>
        <v>62</v>
      </c>
      <c r="P61" s="94" t="str">
        <f t="shared" ca="1" si="46"/>
        <v>-</v>
      </c>
      <c r="Q61" s="768"/>
      <c r="R61" s="768">
        <f t="shared" ca="1" si="47"/>
        <v>60</v>
      </c>
      <c r="S61" s="94" t="str">
        <f t="shared" ca="1" si="48"/>
        <v>-</v>
      </c>
      <c r="T61" s="768"/>
      <c r="U61" s="768">
        <f t="shared" ca="1" si="49"/>
        <v>48</v>
      </c>
      <c r="V61" s="94" t="str">
        <f t="shared" ca="1" si="50"/>
        <v>-</v>
      </c>
      <c r="W61" s="768"/>
      <c r="X61" s="768">
        <f t="shared" ca="1" si="51"/>
        <v>89</v>
      </c>
      <c r="Y61" s="94" t="str">
        <f t="shared" ca="1" si="52"/>
        <v>-</v>
      </c>
      <c r="Z61" s="845">
        <f t="shared" ca="1" si="36"/>
        <v>0.9288436363636362</v>
      </c>
      <c r="AA61" s="846" t="s">
        <v>2214</v>
      </c>
      <c r="AB61" s="847"/>
      <c r="CA61" s="187"/>
      <c r="CB61" s="187"/>
    </row>
    <row r="62" spans="1:80">
      <c r="A62">
        <v>6</v>
      </c>
      <c r="B62" s="94" t="s">
        <v>2356</v>
      </c>
      <c r="C62" s="94">
        <f t="shared" ca="1" si="37"/>
        <v>14</v>
      </c>
      <c r="D62" s="94" t="str">
        <f t="shared" ca="1" si="38"/>
        <v>-</v>
      </c>
      <c r="E62" s="94" t="s">
        <v>2358</v>
      </c>
      <c r="F62" s="94">
        <f t="shared" ca="1" si="39"/>
        <v>63</v>
      </c>
      <c r="G62" s="94" t="str">
        <f t="shared" ca="1" si="40"/>
        <v>-</v>
      </c>
      <c r="H62" s="94" t="s">
        <v>2368</v>
      </c>
      <c r="I62" s="94">
        <f t="shared" ca="1" si="41"/>
        <v>79</v>
      </c>
      <c r="J62" s="94" t="str">
        <f t="shared" ca="1" si="42"/>
        <v>-</v>
      </c>
      <c r="K62" s="94" t="s">
        <v>2384</v>
      </c>
      <c r="L62" s="94">
        <f t="shared" ca="1" si="43"/>
        <v>85</v>
      </c>
      <c r="M62" s="94" t="str">
        <f t="shared" ca="1" si="44"/>
        <v>-</v>
      </c>
      <c r="N62" s="94" t="s">
        <v>2406</v>
      </c>
      <c r="O62" s="94">
        <f t="shared" ca="1" si="45"/>
        <v>7</v>
      </c>
      <c r="P62" s="94" t="str">
        <f t="shared" ca="1" si="46"/>
        <v>-</v>
      </c>
      <c r="Q62" s="94" t="s">
        <v>2410</v>
      </c>
      <c r="R62" s="94">
        <f t="shared" ca="1" si="47"/>
        <v>85</v>
      </c>
      <c r="S62" s="94" t="str">
        <f t="shared" ca="1" si="48"/>
        <v>-</v>
      </c>
      <c r="T62" s="94" t="s">
        <v>1691</v>
      </c>
      <c r="U62" s="94">
        <f t="shared" ca="1" si="49"/>
        <v>25</v>
      </c>
      <c r="V62" s="94" t="str">
        <f t="shared" ca="1" si="50"/>
        <v>-</v>
      </c>
      <c r="W62" s="768"/>
      <c r="X62" s="768">
        <f t="shared" ca="1" si="51"/>
        <v>91</v>
      </c>
      <c r="Y62" s="94" t="str">
        <f t="shared" ca="1" si="52"/>
        <v>-</v>
      </c>
      <c r="Z62" s="845">
        <f t="shared" ca="1" si="36"/>
        <v>0.46821818181818181</v>
      </c>
      <c r="AA62" s="846" t="s">
        <v>655</v>
      </c>
      <c r="AB62" s="847"/>
      <c r="CA62" s="187"/>
      <c r="CB62" s="187"/>
    </row>
    <row r="63" spans="1:80">
      <c r="A63">
        <v>6</v>
      </c>
      <c r="B63" s="94" t="s">
        <v>1781</v>
      </c>
      <c r="C63" s="94">
        <f t="shared" ca="1" si="37"/>
        <v>22</v>
      </c>
      <c r="D63" s="94" t="str">
        <f t="shared" ca="1" si="38"/>
        <v>-</v>
      </c>
      <c r="E63" s="94" t="s">
        <v>19</v>
      </c>
      <c r="F63" s="94">
        <f t="shared" ca="1" si="39"/>
        <v>55</v>
      </c>
      <c r="G63" s="94" t="str">
        <f t="shared" ca="1" si="40"/>
        <v>-</v>
      </c>
      <c r="H63" s="94" t="s">
        <v>1838</v>
      </c>
      <c r="I63" s="94">
        <f t="shared" ca="1" si="41"/>
        <v>55</v>
      </c>
      <c r="J63" s="94" t="str">
        <f t="shared" ca="1" si="42"/>
        <v>-</v>
      </c>
      <c r="K63" s="94" t="s">
        <v>1696</v>
      </c>
      <c r="L63" s="94">
        <f t="shared" ca="1" si="43"/>
        <v>19</v>
      </c>
      <c r="M63" s="94" t="str">
        <f t="shared" ca="1" si="44"/>
        <v>-</v>
      </c>
      <c r="N63" s="94" t="s">
        <v>1842</v>
      </c>
      <c r="O63" s="94">
        <f t="shared" ca="1" si="45"/>
        <v>29</v>
      </c>
      <c r="P63" s="94" t="str">
        <f t="shared" ca="1" si="46"/>
        <v>-</v>
      </c>
      <c r="Q63" s="94" t="s">
        <v>2415</v>
      </c>
      <c r="R63" s="94">
        <f t="shared" ca="1" si="47"/>
        <v>80</v>
      </c>
      <c r="S63" s="94" t="str">
        <f t="shared" ca="1" si="48"/>
        <v>-</v>
      </c>
      <c r="T63" s="94" t="s">
        <v>849</v>
      </c>
      <c r="U63" s="94">
        <f t="shared" ca="1" si="49"/>
        <v>93</v>
      </c>
      <c r="V63" s="94" t="str">
        <f t="shared" ca="1" si="50"/>
        <v>-</v>
      </c>
      <c r="W63" s="768"/>
      <c r="X63" s="768">
        <f t="shared" ca="1" si="51"/>
        <v>73</v>
      </c>
      <c r="Y63" s="94" t="str">
        <f t="shared" ca="1" si="52"/>
        <v>-</v>
      </c>
      <c r="Z63" s="845">
        <f t="shared" ca="1" si="36"/>
        <v>1.4302799999999998</v>
      </c>
      <c r="AA63" s="846" t="s">
        <v>2212</v>
      </c>
      <c r="AB63" s="847"/>
      <c r="CA63" s="187"/>
      <c r="CB63" s="187"/>
    </row>
    <row r="64" spans="1:80">
      <c r="A64">
        <v>3</v>
      </c>
      <c r="B64" s="94" t="s">
        <v>2381</v>
      </c>
      <c r="C64" s="94">
        <f t="shared" ca="1" si="37"/>
        <v>37</v>
      </c>
      <c r="D64" s="94" t="str">
        <f t="shared" ca="1" si="38"/>
        <v>-</v>
      </c>
      <c r="E64" s="94" t="s">
        <v>2385</v>
      </c>
      <c r="F64" s="94">
        <f t="shared" ca="1" si="39"/>
        <v>92</v>
      </c>
      <c r="G64" s="94" t="str">
        <f t="shared" ca="1" si="40"/>
        <v>-</v>
      </c>
      <c r="H64" s="94" t="s">
        <v>2387</v>
      </c>
      <c r="I64" s="94">
        <f t="shared" ca="1" si="41"/>
        <v>32</v>
      </c>
      <c r="J64" s="94" t="str">
        <f t="shared" ca="1" si="42"/>
        <v>-</v>
      </c>
      <c r="K64" s="768"/>
      <c r="L64" s="768">
        <f t="shared" ca="1" si="43"/>
        <v>46</v>
      </c>
      <c r="M64" s="94" t="str">
        <f t="shared" ca="1" si="44"/>
        <v>-</v>
      </c>
      <c r="N64" s="768"/>
      <c r="O64" s="768">
        <f t="shared" ca="1" si="45"/>
        <v>92</v>
      </c>
      <c r="P64" s="94" t="str">
        <f t="shared" ca="1" si="46"/>
        <v>-</v>
      </c>
      <c r="Q64" s="768"/>
      <c r="R64" s="768">
        <f t="shared" ca="1" si="47"/>
        <v>18</v>
      </c>
      <c r="S64" s="94" t="str">
        <f t="shared" ca="1" si="48"/>
        <v>-</v>
      </c>
      <c r="T64" s="768"/>
      <c r="U64" s="768">
        <f t="shared" ca="1" si="49"/>
        <v>62</v>
      </c>
      <c r="V64" s="94" t="str">
        <f t="shared" ca="1" si="50"/>
        <v>-</v>
      </c>
      <c r="W64" s="768"/>
      <c r="X64" s="768">
        <f t="shared" ca="1" si="51"/>
        <v>37</v>
      </c>
      <c r="Y64" s="94" t="str">
        <f t="shared" ca="1" si="52"/>
        <v>-</v>
      </c>
      <c r="Z64" s="845">
        <f t="shared" ca="1" si="36"/>
        <v>1.1639018181818181</v>
      </c>
      <c r="AA64" s="846" t="s">
        <v>597</v>
      </c>
      <c r="AB64" s="847"/>
      <c r="CA64" s="187"/>
      <c r="CB64" s="187"/>
    </row>
    <row r="65" spans="1:80">
      <c r="A65">
        <v>3</v>
      </c>
      <c r="B65" s="94" t="s">
        <v>2351</v>
      </c>
      <c r="C65" s="94">
        <f t="shared" ca="1" si="37"/>
        <v>83</v>
      </c>
      <c r="D65" s="94" t="str">
        <f t="shared" ca="1" si="38"/>
        <v>-</v>
      </c>
      <c r="E65" s="94" t="s">
        <v>2372</v>
      </c>
      <c r="F65" s="94">
        <f t="shared" ca="1" si="39"/>
        <v>77</v>
      </c>
      <c r="G65" s="94" t="str">
        <f t="shared" ca="1" si="40"/>
        <v>-</v>
      </c>
      <c r="H65" s="94" t="s">
        <v>2398</v>
      </c>
      <c r="I65" s="94">
        <f t="shared" ca="1" si="41"/>
        <v>32</v>
      </c>
      <c r="J65" s="94" t="str">
        <f t="shared" ca="1" si="42"/>
        <v>-</v>
      </c>
      <c r="K65" s="768"/>
      <c r="L65" s="768">
        <f t="shared" ca="1" si="43"/>
        <v>53</v>
      </c>
      <c r="M65" s="94" t="str">
        <f t="shared" ca="1" si="44"/>
        <v>-</v>
      </c>
      <c r="N65" s="768"/>
      <c r="O65" s="768">
        <f t="shared" ca="1" si="45"/>
        <v>43</v>
      </c>
      <c r="P65" s="94" t="str">
        <f t="shared" ca="1" si="46"/>
        <v>-</v>
      </c>
      <c r="Q65" s="768"/>
      <c r="R65" s="768">
        <f t="shared" ca="1" si="47"/>
        <v>96</v>
      </c>
      <c r="S65" s="94" t="str">
        <f t="shared" ca="1" si="48"/>
        <v>-</v>
      </c>
      <c r="T65" s="768"/>
      <c r="U65" s="768">
        <f t="shared" ca="1" si="49"/>
        <v>97</v>
      </c>
      <c r="V65" s="94" t="str">
        <f t="shared" ca="1" si="50"/>
        <v>-</v>
      </c>
      <c r="W65" s="768"/>
      <c r="X65" s="768">
        <f t="shared" ca="1" si="51"/>
        <v>4</v>
      </c>
      <c r="Y65" s="94" t="str">
        <f t="shared" ca="1" si="52"/>
        <v>-</v>
      </c>
      <c r="Z65" s="845">
        <f t="shared" ca="1" si="36"/>
        <v>0.53505000000000003</v>
      </c>
      <c r="AA65" s="846" t="s">
        <v>575</v>
      </c>
      <c r="AB65" s="847"/>
      <c r="CA65" s="187"/>
      <c r="CB65" s="187"/>
    </row>
    <row r="66" spans="1:80">
      <c r="A66">
        <v>3</v>
      </c>
      <c r="B66" s="94" t="s">
        <v>2412</v>
      </c>
      <c r="C66" s="94">
        <f t="shared" ca="1" si="37"/>
        <v>21</v>
      </c>
      <c r="D66" s="94" t="str">
        <f t="shared" ca="1" si="38"/>
        <v>-</v>
      </c>
      <c r="E66" s="94" t="s">
        <v>2416</v>
      </c>
      <c r="F66" s="94">
        <f t="shared" ca="1" si="39"/>
        <v>100</v>
      </c>
      <c r="G66" s="94" t="str">
        <f t="shared" ca="1" si="40"/>
        <v>-</v>
      </c>
      <c r="H66" s="94" t="s">
        <v>1806</v>
      </c>
      <c r="I66" s="94">
        <f t="shared" ca="1" si="41"/>
        <v>18</v>
      </c>
      <c r="J66" s="94" t="str">
        <f t="shared" ca="1" si="42"/>
        <v>-</v>
      </c>
      <c r="K66" s="768"/>
      <c r="L66" s="768">
        <f t="shared" ca="1" si="43"/>
        <v>28</v>
      </c>
      <c r="M66" s="94" t="str">
        <f t="shared" ca="1" si="44"/>
        <v>-</v>
      </c>
      <c r="N66" s="768"/>
      <c r="O66" s="768">
        <f t="shared" ca="1" si="45"/>
        <v>52</v>
      </c>
      <c r="P66" s="94" t="str">
        <f t="shared" ca="1" si="46"/>
        <v>-</v>
      </c>
      <c r="Q66" s="768"/>
      <c r="R66" s="768">
        <f t="shared" ca="1" si="47"/>
        <v>51</v>
      </c>
      <c r="S66" s="94" t="str">
        <f t="shared" ca="1" si="48"/>
        <v>-</v>
      </c>
      <c r="T66" s="768"/>
      <c r="U66" s="768">
        <f t="shared" ca="1" si="49"/>
        <v>19</v>
      </c>
      <c r="V66" s="94" t="str">
        <f t="shared" ca="1" si="50"/>
        <v>-</v>
      </c>
      <c r="W66" s="848"/>
      <c r="X66" s="768">
        <f t="shared" ca="1" si="51"/>
        <v>27</v>
      </c>
      <c r="Y66" s="94" t="str">
        <f t="shared" ca="1" si="52"/>
        <v>-</v>
      </c>
      <c r="Z66" s="845">
        <f t="shared" ca="1" si="36"/>
        <v>3.2829054545454541</v>
      </c>
      <c r="AA66" s="846" t="s">
        <v>613</v>
      </c>
      <c r="AB66" s="847"/>
      <c r="CA66" s="187"/>
      <c r="CB66" s="187"/>
    </row>
    <row r="67" spans="1:80">
      <c r="A67">
        <v>8</v>
      </c>
      <c r="B67" s="94" t="s">
        <v>2364</v>
      </c>
      <c r="C67" s="94">
        <f t="shared" ca="1" si="37"/>
        <v>55</v>
      </c>
      <c r="D67" s="94" t="str">
        <f t="shared" ca="1" si="38"/>
        <v>-</v>
      </c>
      <c r="E67" s="94" t="s">
        <v>2365</v>
      </c>
      <c r="F67" s="94">
        <f t="shared" ca="1" si="39"/>
        <v>34</v>
      </c>
      <c r="G67" s="94" t="str">
        <f t="shared" ca="1" si="40"/>
        <v>-</v>
      </c>
      <c r="H67" s="94" t="s">
        <v>2376</v>
      </c>
      <c r="I67" s="94">
        <f t="shared" ca="1" si="41"/>
        <v>56</v>
      </c>
      <c r="J67" s="94" t="str">
        <f t="shared" ca="1" si="42"/>
        <v>-</v>
      </c>
      <c r="K67" s="94" t="s">
        <v>2389</v>
      </c>
      <c r="L67" s="94">
        <f t="shared" ca="1" si="43"/>
        <v>99</v>
      </c>
      <c r="M67" s="94" t="str">
        <f t="shared" ca="1" si="44"/>
        <v>-</v>
      </c>
      <c r="N67" s="94" t="s">
        <v>2396</v>
      </c>
      <c r="O67" s="94">
        <f t="shared" ca="1" si="45"/>
        <v>63</v>
      </c>
      <c r="P67" s="94" t="str">
        <f t="shared" ca="1" si="46"/>
        <v>-</v>
      </c>
      <c r="Q67" s="94" t="s">
        <v>2407</v>
      </c>
      <c r="R67" s="94">
        <f t="shared" ca="1" si="47"/>
        <v>10</v>
      </c>
      <c r="S67" s="94" t="str">
        <f t="shared" ca="1" si="48"/>
        <v>-</v>
      </c>
      <c r="T67" s="94" t="s">
        <v>2411</v>
      </c>
      <c r="U67" s="94">
        <f t="shared" ca="1" si="49"/>
        <v>45</v>
      </c>
      <c r="V67" s="94" t="str">
        <f t="shared" ca="1" si="50"/>
        <v>-</v>
      </c>
      <c r="W67" s="94" t="s">
        <v>2413</v>
      </c>
      <c r="X67" s="94">
        <f t="shared" ca="1" si="51"/>
        <v>67</v>
      </c>
      <c r="Y67" s="94" t="str">
        <f t="shared" ca="1" si="52"/>
        <v>-</v>
      </c>
      <c r="Z67" s="845">
        <f t="shared" ca="1" si="36"/>
        <v>1.027549090909091</v>
      </c>
      <c r="AA67" s="846" t="s">
        <v>1216</v>
      </c>
      <c r="AB67" s="847"/>
      <c r="CA67" s="187"/>
      <c r="CB67" s="187"/>
    </row>
    <row r="68" spans="1:80">
      <c r="A68">
        <v>1</v>
      </c>
      <c r="B68" s="94" t="s">
        <v>2417</v>
      </c>
      <c r="C68" s="94">
        <f t="shared" ca="1" si="37"/>
        <v>96</v>
      </c>
      <c r="D68" s="94" t="str">
        <f t="shared" ca="1" si="38"/>
        <v>-</v>
      </c>
      <c r="E68" s="768"/>
      <c r="F68" s="768">
        <f t="shared" ca="1" si="39"/>
        <v>19</v>
      </c>
      <c r="G68" s="94" t="str">
        <f t="shared" ca="1" si="40"/>
        <v>-</v>
      </c>
      <c r="H68" s="768"/>
      <c r="I68" s="768">
        <f t="shared" ca="1" si="41"/>
        <v>98</v>
      </c>
      <c r="J68" s="94" t="str">
        <f t="shared" ca="1" si="42"/>
        <v>-</v>
      </c>
      <c r="K68" s="768"/>
      <c r="L68" s="768">
        <f t="shared" ca="1" si="43"/>
        <v>35</v>
      </c>
      <c r="M68" s="94" t="str">
        <f t="shared" ca="1" si="44"/>
        <v>-</v>
      </c>
      <c r="N68" s="768"/>
      <c r="O68" s="768">
        <f t="shared" ca="1" si="45"/>
        <v>76</v>
      </c>
      <c r="P68" s="94" t="str">
        <f t="shared" ca="1" si="46"/>
        <v>-</v>
      </c>
      <c r="Q68" s="768"/>
      <c r="R68" s="768">
        <f t="shared" ca="1" si="47"/>
        <v>16</v>
      </c>
      <c r="S68" s="94" t="str">
        <f t="shared" ca="1" si="48"/>
        <v>-</v>
      </c>
      <c r="T68" s="768"/>
      <c r="U68" s="768">
        <f t="shared" ca="1" si="49"/>
        <v>99</v>
      </c>
      <c r="V68" s="94" t="str">
        <f t="shared" ca="1" si="50"/>
        <v>-</v>
      </c>
      <c r="W68" s="768"/>
      <c r="X68" s="768">
        <f t="shared" ca="1" si="51"/>
        <v>55</v>
      </c>
      <c r="Y68" s="94" t="str">
        <f t="shared" ca="1" si="52"/>
        <v>-</v>
      </c>
      <c r="Z68" s="845">
        <f t="shared" ca="1" si="36"/>
        <v>1.06314</v>
      </c>
      <c r="AA68" s="846" t="s">
        <v>2211</v>
      </c>
      <c r="AB68" s="847"/>
      <c r="CA68" s="187"/>
      <c r="CB68" s="187"/>
    </row>
    <row r="69" spans="1:80">
      <c r="A69">
        <v>6</v>
      </c>
      <c r="B69" s="94" t="s">
        <v>2347</v>
      </c>
      <c r="C69" s="94">
        <f t="shared" ca="1" si="37"/>
        <v>51</v>
      </c>
      <c r="D69" s="94" t="str">
        <f t="shared" ca="1" si="38"/>
        <v>-</v>
      </c>
      <c r="E69" s="94" t="s">
        <v>2348</v>
      </c>
      <c r="F69" s="94">
        <f t="shared" ca="1" si="39"/>
        <v>46</v>
      </c>
      <c r="G69" s="94" t="str">
        <f t="shared" ca="1" si="40"/>
        <v>-</v>
      </c>
      <c r="H69" s="94" t="s">
        <v>2349</v>
      </c>
      <c r="I69" s="94">
        <f t="shared" ca="1" si="41"/>
        <v>78</v>
      </c>
      <c r="J69" s="94" t="str">
        <f t="shared" ca="1" si="42"/>
        <v>-</v>
      </c>
      <c r="K69" s="94" t="s">
        <v>2363</v>
      </c>
      <c r="L69" s="94">
        <f t="shared" ca="1" si="43"/>
        <v>72</v>
      </c>
      <c r="M69" s="94" t="str">
        <f t="shared" ca="1" si="44"/>
        <v>-</v>
      </c>
      <c r="N69" s="94" t="s">
        <v>2366</v>
      </c>
      <c r="O69" s="94">
        <f t="shared" ca="1" si="45"/>
        <v>99</v>
      </c>
      <c r="P69" s="94" t="str">
        <f t="shared" ca="1" si="46"/>
        <v>-</v>
      </c>
      <c r="Q69" s="94" t="s">
        <v>2371</v>
      </c>
      <c r="R69" s="849">
        <f t="shared" ca="1" si="47"/>
        <v>7</v>
      </c>
      <c r="S69" s="94" t="str">
        <f t="shared" ca="1" si="48"/>
        <v>-</v>
      </c>
      <c r="T69" s="768"/>
      <c r="U69" s="768">
        <f t="shared" ca="1" si="49"/>
        <v>1</v>
      </c>
      <c r="V69" s="94" t="str">
        <f t="shared" ca="1" si="50"/>
        <v>-</v>
      </c>
      <c r="W69" s="768"/>
      <c r="X69" s="768">
        <f t="shared" ca="1" si="51"/>
        <v>95</v>
      </c>
      <c r="Y69" s="94" t="str">
        <f t="shared" ca="1" si="52"/>
        <v>-</v>
      </c>
      <c r="Z69" s="845">
        <f t="shared" ca="1" si="36"/>
        <v>0.94339636363636359</v>
      </c>
      <c r="AA69" s="846" t="s">
        <v>2210</v>
      </c>
      <c r="AB69" s="847"/>
      <c r="CA69" s="187"/>
      <c r="CB69" s="187"/>
    </row>
    <row r="70" spans="1:80">
      <c r="A70">
        <v>3</v>
      </c>
      <c r="B70" s="94" t="s">
        <v>2357</v>
      </c>
      <c r="C70" s="94">
        <f t="shared" ca="1" si="37"/>
        <v>30</v>
      </c>
      <c r="D70" s="94" t="str">
        <f t="shared" ca="1" si="38"/>
        <v>-</v>
      </c>
      <c r="E70" s="94" t="s">
        <v>2378</v>
      </c>
      <c r="F70" s="94">
        <f t="shared" ca="1" si="39"/>
        <v>17</v>
      </c>
      <c r="G70" s="94" t="str">
        <f t="shared" ca="1" si="40"/>
        <v>-</v>
      </c>
      <c r="H70" s="94" t="s">
        <v>2383</v>
      </c>
      <c r="I70" s="94">
        <f t="shared" ca="1" si="41"/>
        <v>65</v>
      </c>
      <c r="J70" s="94" t="str">
        <f t="shared" ca="1" si="42"/>
        <v>-</v>
      </c>
      <c r="K70" s="768"/>
      <c r="L70" s="768">
        <f t="shared" ca="1" si="43"/>
        <v>97</v>
      </c>
      <c r="M70" s="94" t="str">
        <f t="shared" ca="1" si="44"/>
        <v>-</v>
      </c>
      <c r="N70" s="768"/>
      <c r="O70" s="768">
        <f t="shared" ca="1" si="45"/>
        <v>34</v>
      </c>
      <c r="P70" s="94" t="str">
        <f t="shared" ca="1" si="46"/>
        <v>-</v>
      </c>
      <c r="Q70" s="768"/>
      <c r="R70" s="768">
        <f t="shared" ca="1" si="47"/>
        <v>28</v>
      </c>
      <c r="S70" s="94" t="str">
        <f t="shared" ca="1" si="48"/>
        <v>-</v>
      </c>
      <c r="T70" s="768"/>
      <c r="U70" s="768">
        <f t="shared" ca="1" si="49"/>
        <v>34</v>
      </c>
      <c r="V70" s="94" t="str">
        <f t="shared" ca="1" si="50"/>
        <v>-</v>
      </c>
      <c r="W70" s="768"/>
      <c r="X70" s="768">
        <f t="shared" ca="1" si="51"/>
        <v>3</v>
      </c>
      <c r="Y70" s="94" t="str">
        <f t="shared" ca="1" si="52"/>
        <v>-</v>
      </c>
      <c r="Z70" s="845">
        <f t="shared" ca="1" si="36"/>
        <v>0.55640454545454543</v>
      </c>
      <c r="AA70" s="846" t="s">
        <v>2209</v>
      </c>
      <c r="AB70" s="847"/>
      <c r="CA70" s="187"/>
      <c r="CB70" s="187"/>
    </row>
    <row r="71" spans="1:80">
      <c r="A71">
        <v>4</v>
      </c>
      <c r="B71" s="94" t="s">
        <v>2377</v>
      </c>
      <c r="C71" s="94">
        <f t="shared" ca="1" si="37"/>
        <v>45</v>
      </c>
      <c r="D71" s="94" t="str">
        <f t="shared" ca="1" si="38"/>
        <v>-</v>
      </c>
      <c r="E71" s="94" t="s">
        <v>2388</v>
      </c>
      <c r="F71" s="94">
        <f t="shared" ca="1" si="39"/>
        <v>39</v>
      </c>
      <c r="G71" s="94" t="str">
        <f t="shared" ca="1" si="40"/>
        <v>-</v>
      </c>
      <c r="H71" s="94" t="s">
        <v>2392</v>
      </c>
      <c r="I71" s="94">
        <f t="shared" ca="1" si="41"/>
        <v>62</v>
      </c>
      <c r="J71" s="94" t="str">
        <f t="shared" ca="1" si="42"/>
        <v>-</v>
      </c>
      <c r="K71" s="94" t="s">
        <v>2399</v>
      </c>
      <c r="L71" s="94">
        <f t="shared" ca="1" si="43"/>
        <v>91</v>
      </c>
      <c r="M71" s="94" t="str">
        <f t="shared" ca="1" si="44"/>
        <v>-</v>
      </c>
      <c r="N71" s="768"/>
      <c r="O71" s="768">
        <f t="shared" ca="1" si="45"/>
        <v>92</v>
      </c>
      <c r="P71" s="94" t="str">
        <f t="shared" ca="1" si="46"/>
        <v>-</v>
      </c>
      <c r="Q71" s="768"/>
      <c r="R71" s="768">
        <f t="shared" ca="1" si="47"/>
        <v>58</v>
      </c>
      <c r="S71" s="94" t="str">
        <f t="shared" ca="1" si="48"/>
        <v>-</v>
      </c>
      <c r="T71" s="768"/>
      <c r="U71" s="768">
        <f t="shared" ca="1" si="49"/>
        <v>5</v>
      </c>
      <c r="V71" s="94" t="str">
        <f t="shared" ca="1" si="50"/>
        <v>-</v>
      </c>
      <c r="W71" s="768"/>
      <c r="X71" s="768">
        <f t="shared" ca="1" si="51"/>
        <v>42</v>
      </c>
      <c r="Y71" s="94" t="str">
        <f t="shared" ca="1" si="52"/>
        <v>-</v>
      </c>
      <c r="Z71" s="845">
        <f t="shared" ca="1" si="36"/>
        <v>2.3727272727272726</v>
      </c>
      <c r="AA71" s="846" t="s">
        <v>608</v>
      </c>
      <c r="AB71" s="847"/>
      <c r="CA71" s="187"/>
      <c r="CB71" s="187"/>
    </row>
    <row r="72" spans="1:80">
      <c r="A72">
        <v>3</v>
      </c>
      <c r="B72" s="94" t="s">
        <v>2354</v>
      </c>
      <c r="C72" s="94">
        <f t="shared" ca="1" si="37"/>
        <v>54</v>
      </c>
      <c r="D72" s="94" t="str">
        <f t="shared" ca="1" si="38"/>
        <v>-</v>
      </c>
      <c r="E72" s="94" t="s">
        <v>2361</v>
      </c>
      <c r="F72" s="94">
        <f t="shared" ca="1" si="39"/>
        <v>2</v>
      </c>
      <c r="G72" s="94" t="str">
        <f t="shared" ca="1" si="40"/>
        <v>-</v>
      </c>
      <c r="H72" s="94" t="s">
        <v>2374</v>
      </c>
      <c r="I72" s="94">
        <f t="shared" ca="1" si="41"/>
        <v>93</v>
      </c>
      <c r="J72" s="94" t="str">
        <f t="shared" ca="1" si="42"/>
        <v>-</v>
      </c>
      <c r="K72" s="768"/>
      <c r="L72" s="768">
        <f t="shared" ca="1" si="43"/>
        <v>84</v>
      </c>
      <c r="M72" s="94" t="str">
        <f t="shared" ca="1" si="44"/>
        <v>-</v>
      </c>
      <c r="N72" s="768"/>
      <c r="O72" s="768">
        <f t="shared" ca="1" si="45"/>
        <v>51</v>
      </c>
      <c r="P72" s="94" t="str">
        <f t="shared" ca="1" si="46"/>
        <v>-</v>
      </c>
      <c r="Q72" s="768"/>
      <c r="R72" s="768">
        <f t="shared" ca="1" si="47"/>
        <v>27</v>
      </c>
      <c r="S72" s="94" t="str">
        <f t="shared" ca="1" si="48"/>
        <v>-</v>
      </c>
      <c r="T72" s="768"/>
      <c r="U72" s="768">
        <f t="shared" ca="1" si="49"/>
        <v>98</v>
      </c>
      <c r="V72" s="94" t="str">
        <f t="shared" ca="1" si="50"/>
        <v>-</v>
      </c>
      <c r="W72" s="768"/>
      <c r="X72" s="768">
        <f t="shared" ca="1" si="51"/>
        <v>9</v>
      </c>
      <c r="Y72" s="94" t="str">
        <f t="shared" ca="1" si="52"/>
        <v>-</v>
      </c>
      <c r="Z72" s="845">
        <f t="shared" ca="1" si="36"/>
        <v>0.92220000000000002</v>
      </c>
      <c r="AA72" s="846" t="s">
        <v>2208</v>
      </c>
      <c r="AB72" s="847"/>
      <c r="CA72" s="187"/>
      <c r="CB72" s="187"/>
    </row>
    <row r="73" spans="1:80">
      <c r="CA73" s="187"/>
      <c r="CB73" s="187"/>
    </row>
    <row r="74" spans="1:80">
      <c r="CA74" s="187"/>
      <c r="CB74" s="187"/>
    </row>
    <row r="75" spans="1:80">
      <c r="CA75" s="187"/>
      <c r="CB75" s="187"/>
    </row>
    <row r="76" spans="1:80">
      <c r="CA76" s="187"/>
      <c r="CB76" s="187"/>
    </row>
    <row r="77" spans="1:80">
      <c r="CA77" s="187"/>
      <c r="CB77" s="187"/>
    </row>
    <row r="78" spans="1:80">
      <c r="CA78" s="187"/>
      <c r="CB78" s="187"/>
    </row>
    <row r="79" spans="1:80">
      <c r="CA79" s="187"/>
      <c r="CB79" s="187"/>
    </row>
    <row r="80" spans="1:80">
      <c r="CA80" s="187"/>
      <c r="CB80" s="187"/>
    </row>
    <row r="81" spans="79:80">
      <c r="CA81" s="187"/>
      <c r="CB81" s="187"/>
    </row>
    <row r="82" spans="79:80">
      <c r="CA82" s="187"/>
      <c r="CB82" s="187"/>
    </row>
    <row r="83" spans="79:80">
      <c r="CA83" s="187"/>
      <c r="CB83" s="187"/>
    </row>
    <row r="84" spans="79:80">
      <c r="CA84" s="187"/>
      <c r="CB84" s="187"/>
    </row>
    <row r="85" spans="79:80">
      <c r="CA85" s="187"/>
      <c r="CB85" s="187"/>
    </row>
    <row r="86" spans="79:80">
      <c r="CA86" s="187"/>
      <c r="CB86" s="187"/>
    </row>
    <row r="87" spans="79:80">
      <c r="CA87" s="187"/>
      <c r="CB87" s="187"/>
    </row>
    <row r="88" spans="79:80">
      <c r="CA88" s="187"/>
      <c r="CB88" s="187"/>
    </row>
    <row r="89" spans="79:80">
      <c r="CA89" s="187"/>
      <c r="CB89" s="187"/>
    </row>
    <row r="90" spans="79:80">
      <c r="CA90" s="187"/>
      <c r="CB90" s="187"/>
    </row>
    <row r="91" spans="79:80">
      <c r="CA91" s="187"/>
      <c r="CB91" s="187"/>
    </row>
    <row r="92" spans="79:80">
      <c r="CA92" s="187"/>
      <c r="CB92" s="187"/>
    </row>
    <row r="93" spans="79:80">
      <c r="CA93" s="187"/>
      <c r="CB93" s="187"/>
    </row>
    <row r="94" spans="79:80">
      <c r="CA94" s="187"/>
      <c r="CB94" s="187"/>
    </row>
    <row r="95" spans="79:80">
      <c r="CA95" s="187"/>
      <c r="CB95" s="187"/>
    </row>
    <row r="96" spans="79:80">
      <c r="CA96" s="187"/>
      <c r="CB96" s="187"/>
    </row>
    <row r="97" spans="79:80">
      <c r="CA97" s="187"/>
      <c r="CB97" s="187"/>
    </row>
    <row r="98" spans="79:80">
      <c r="CA98" s="187"/>
      <c r="CB98" s="187"/>
    </row>
    <row r="99" spans="79:80">
      <c r="CA99" s="187"/>
      <c r="CB99" s="187"/>
    </row>
    <row r="100" spans="79:80">
      <c r="CA100" s="187"/>
      <c r="CB100" s="187"/>
    </row>
    <row r="101" spans="79:80">
      <c r="CA101" s="187"/>
      <c r="CB101" s="187"/>
    </row>
  </sheetData>
  <conditionalFormatting sqref="B53">
    <cfRule type="expression" dxfId="8" priority="9">
      <formula>($D$53&lt;&gt;"-")</formula>
    </cfRule>
  </conditionalFormatting>
  <conditionalFormatting sqref="B53:B72">
    <cfRule type="expression" dxfId="7" priority="8">
      <formula>$D53&lt;&gt;"-"</formula>
    </cfRule>
  </conditionalFormatting>
  <conditionalFormatting sqref="E53:E72">
    <cfRule type="expression" dxfId="6" priority="6">
      <formula>$G53&lt;&gt;"-"</formula>
    </cfRule>
  </conditionalFormatting>
  <conditionalFormatting sqref="H53:H72">
    <cfRule type="expression" dxfId="5" priority="7">
      <formula>$J53&lt;&gt;"-"</formula>
    </cfRule>
  </conditionalFormatting>
  <conditionalFormatting sqref="K53:K72">
    <cfRule type="expression" dxfId="4" priority="5">
      <formula>$M53&lt;&gt;"-"</formula>
    </cfRule>
  </conditionalFormatting>
  <conditionalFormatting sqref="N53:N72">
    <cfRule type="expression" dxfId="3" priority="4">
      <formula>$P53&lt;&gt;"-"</formula>
    </cfRule>
  </conditionalFormatting>
  <conditionalFormatting sqref="Q54:Q72">
    <cfRule type="expression" dxfId="2" priority="3">
      <formula>$S54&lt;&gt;"-"</formula>
    </cfRule>
  </conditionalFormatting>
  <conditionalFormatting sqref="T54:T72">
    <cfRule type="expression" dxfId="1" priority="2">
      <formula>$V54&lt;&gt;"-"</formula>
    </cfRule>
  </conditionalFormatting>
  <conditionalFormatting sqref="W67">
    <cfRule type="expression" dxfId="0" priority="1">
      <formula>$Y67&lt;&gt;"-"</formula>
    </cfRule>
  </conditionalFormatting>
  <pageMargins left="0.7" right="0.7" top="0.75" bottom="0.75" header="0.3" footer="0.3"/>
  <pageSetup paperSize="9" orientation="landscape" r:id="rId1"/>
  <headerFooter>
    <oddFooter>&amp;C_x000D_&amp;1#&amp;"Arial"&amp;9&amp;K000000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9"/>
  <sheetViews>
    <sheetView topLeftCell="A7" workbookViewId="0">
      <selection activeCell="A8" sqref="A8"/>
    </sheetView>
  </sheetViews>
  <sheetFormatPr baseColWidth="10" defaultColWidth="8.88671875" defaultRowHeight="15" customHeight="1"/>
  <cols>
    <col min="1" max="1" width="18.33203125" bestFit="1" customWidth="1"/>
    <col min="2" max="2" width="3" customWidth="1"/>
    <col min="3" max="3" width="9.5546875" bestFit="1" customWidth="1"/>
    <col min="4" max="4" width="6.109375" customWidth="1"/>
    <col min="5" max="5" width="4.6640625" bestFit="1" customWidth="1"/>
    <col min="6" max="6" width="6.33203125" bestFit="1" customWidth="1"/>
    <col min="7" max="7" width="4.6640625" style="112" customWidth="1"/>
    <col min="8" max="8" width="14.109375" bestFit="1" customWidth="1"/>
    <col min="9" max="9" width="5.33203125" bestFit="1" customWidth="1"/>
    <col min="10" max="10" width="6.33203125" bestFit="1" customWidth="1"/>
    <col min="11" max="11" width="7.6640625" customWidth="1"/>
    <col min="12" max="12" width="3.44140625" bestFit="1" customWidth="1"/>
  </cols>
  <sheetData>
    <row r="1" spans="1:11" ht="15" customHeight="1" thickBot="1">
      <c r="A1" s="600" t="s">
        <v>676</v>
      </c>
      <c r="B1" s="600"/>
      <c r="C1" s="599">
        <v>600</v>
      </c>
      <c r="D1" s="828">
        <v>23</v>
      </c>
      <c r="E1" s="129"/>
      <c r="F1" s="597" t="s">
        <v>675</v>
      </c>
      <c r="H1" s="598" t="s">
        <v>674</v>
      </c>
    </row>
    <row r="2" spans="1:11" ht="15" customHeight="1" thickBot="1">
      <c r="C2" s="188" t="s">
        <v>672</v>
      </c>
      <c r="D2" s="691">
        <f>D1/4</f>
        <v>5.75</v>
      </c>
      <c r="E2" s="794"/>
      <c r="F2" s="122">
        <f>$C$1*D2</f>
        <v>3450</v>
      </c>
      <c r="H2" s="599">
        <v>13800</v>
      </c>
    </row>
    <row r="3" spans="1:11" ht="15" customHeight="1">
      <c r="C3" s="188" t="s">
        <v>670</v>
      </c>
      <c r="D3" s="691">
        <f>D1/2</f>
        <v>11.5</v>
      </c>
      <c r="E3" s="794"/>
      <c r="F3" s="122">
        <f>$C$1*D3</f>
        <v>6900</v>
      </c>
    </row>
    <row r="4" spans="1:11" ht="15" customHeight="1">
      <c r="C4" s="188" t="s">
        <v>667</v>
      </c>
      <c r="D4" s="691">
        <f>D1</f>
        <v>23</v>
      </c>
      <c r="E4" s="794"/>
      <c r="F4" s="122">
        <f>$C$1*D4</f>
        <v>13800</v>
      </c>
    </row>
    <row r="5" spans="1:11" ht="15" customHeight="1">
      <c r="C5" s="188" t="s">
        <v>665</v>
      </c>
      <c r="D5" s="691">
        <f>D4*1.5</f>
        <v>34.5</v>
      </c>
      <c r="E5" s="794"/>
      <c r="F5" s="122">
        <f>$C$1*D5</f>
        <v>20700</v>
      </c>
    </row>
    <row r="6" spans="1:11" ht="15" customHeight="1" thickBot="1">
      <c r="C6" s="194" t="s">
        <v>664</v>
      </c>
      <c r="D6" s="692">
        <f>D4*2</f>
        <v>46</v>
      </c>
      <c r="E6" s="795"/>
      <c r="F6" s="119">
        <f>$C$1*D6</f>
        <v>27600</v>
      </c>
    </row>
    <row r="7" spans="1:11" ht="15" customHeight="1" thickBot="1">
      <c r="A7" t="s">
        <v>2594</v>
      </c>
      <c r="C7" s="793" t="s">
        <v>2593</v>
      </c>
      <c r="D7" s="112"/>
      <c r="E7" s="112"/>
      <c r="G7" s="112" t="s">
        <v>673</v>
      </c>
      <c r="H7" t="s">
        <v>738</v>
      </c>
    </row>
    <row r="8" spans="1:11" ht="15" customHeight="1" thickBot="1">
      <c r="A8" s="797">
        <v>15000</v>
      </c>
      <c r="D8" s="798">
        <f ca="1">D9+D13+D16+D21+D25+D31</f>
        <v>18296.25</v>
      </c>
      <c r="E8" s="796" t="s">
        <v>556</v>
      </c>
      <c r="F8" s="123" t="s">
        <v>671</v>
      </c>
    </row>
    <row r="9" spans="1:11" ht="15" customHeight="1" thickBot="1">
      <c r="A9" s="823" t="s">
        <v>669</v>
      </c>
      <c r="B9" s="808" t="s">
        <v>1009</v>
      </c>
      <c r="C9" s="809">
        <v>0.65</v>
      </c>
      <c r="D9" s="810">
        <f ca="1">popcarte*C9*(50+RANDBETWEEN(1,100))/100</f>
        <v>13065</v>
      </c>
      <c r="E9" s="811"/>
      <c r="F9" s="812" t="s">
        <v>668</v>
      </c>
      <c r="G9" s="142"/>
    </row>
    <row r="10" spans="1:11" ht="15" customHeight="1">
      <c r="A10" s="824" t="s">
        <v>2436</v>
      </c>
      <c r="B10" s="803">
        <v>2</v>
      </c>
      <c r="C10" s="804">
        <f ca="1">B10*(50+RANDBETWEEN(1,100))/100</f>
        <v>2.96</v>
      </c>
      <c r="D10" s="805">
        <f ca="1">rural*C10/100</f>
        <v>386.72399999999999</v>
      </c>
      <c r="E10" s="806">
        <v>20</v>
      </c>
      <c r="F10" s="802">
        <f ca="1">20*(50+RANDBETWEEN(1,100))/100</f>
        <v>22.2</v>
      </c>
      <c r="G10" s="799">
        <f ca="1">ROUND(D10/F10,0)</f>
        <v>17</v>
      </c>
      <c r="H10" s="601" t="str">
        <f ca="1">IF(G10&gt;0,ROUND(G10,0)&amp;" lieux "&amp;A10&amp;" avec "&amp;ROUND(D10,0)&amp;" habitants","-")</f>
        <v>17 lieux ferme/isolé avec 387 habitants</v>
      </c>
      <c r="I10" s="601"/>
      <c r="J10" s="601"/>
      <c r="K10" s="602"/>
    </row>
    <row r="11" spans="1:11" ht="15" customHeight="1">
      <c r="A11" s="824" t="s">
        <v>2234</v>
      </c>
      <c r="B11" s="803">
        <v>20</v>
      </c>
      <c r="C11" s="804">
        <f t="shared" ref="C11:C12" ca="1" si="0">B11*(50+RANDBETWEEN(1,100))/100</f>
        <v>25.4</v>
      </c>
      <c r="D11" s="805">
        <f ca="1">rural*C11/100</f>
        <v>3318.51</v>
      </c>
      <c r="E11" s="806">
        <v>100</v>
      </c>
      <c r="F11" s="802">
        <f ca="1">100*(50+RANDBETWEEN(1,100))/100</f>
        <v>57</v>
      </c>
      <c r="G11" s="800">
        <f t="shared" ref="G11:G34" ca="1" si="1">ROUND(D11/F11,0)</f>
        <v>58</v>
      </c>
      <c r="H11" s="604" t="str">
        <f ca="1">IF(G11&gt;0,ROUND(G11,0)&amp;" "&amp;A11&amp;" avec "&amp;ROUND(D11,0)&amp;" habitants","-")</f>
        <v>58 hameaux  avec 3319 habitants</v>
      </c>
      <c r="I11" s="604"/>
      <c r="J11" s="604"/>
      <c r="K11" s="605"/>
    </row>
    <row r="12" spans="1:11" ht="15" customHeight="1" thickBot="1">
      <c r="A12" s="825" t="s">
        <v>2235</v>
      </c>
      <c r="B12" s="814">
        <v>78</v>
      </c>
      <c r="C12" s="815">
        <f t="shared" ca="1" si="0"/>
        <v>79.56</v>
      </c>
      <c r="D12" s="816">
        <f ca="1">rural*C12/100</f>
        <v>10394.514000000001</v>
      </c>
      <c r="E12" s="817">
        <v>500</v>
      </c>
      <c r="F12" s="818">
        <f ca="1">500*(50+RANDBETWEEN(1,100))/100</f>
        <v>665</v>
      </c>
      <c r="G12" s="801">
        <f t="shared" ca="1" si="1"/>
        <v>16</v>
      </c>
      <c r="H12" s="604" t="str">
        <f t="shared" ref="H12:H34" ca="1" si="2">IF(G12&gt;0,ROUND(G12,0)&amp;" "&amp;A12&amp;" avec "&amp;ROUND(D12,0)&amp;" habitants","-")</f>
        <v>16 villages  avec 10395 habitants</v>
      </c>
      <c r="I12" s="604"/>
      <c r="J12" s="604"/>
      <c r="K12" s="605"/>
    </row>
    <row r="13" spans="1:11" ht="15" customHeight="1">
      <c r="A13" s="822" t="s">
        <v>663</v>
      </c>
      <c r="B13" s="819"/>
      <c r="C13" s="809">
        <v>0.28999999999999998</v>
      </c>
      <c r="D13" s="810">
        <f ca="1">popcarte*C13*(50+RANDBETWEEN(1,100))/100</f>
        <v>4132.5</v>
      </c>
      <c r="E13" s="811"/>
      <c r="F13" s="812"/>
      <c r="G13" s="799"/>
      <c r="H13" s="603" t="str">
        <f t="shared" si="2"/>
        <v>-</v>
      </c>
      <c r="I13" s="604"/>
      <c r="J13" s="604"/>
      <c r="K13" s="605"/>
    </row>
    <row r="14" spans="1:11" ht="15" customHeight="1">
      <c r="A14" s="98" t="s">
        <v>2236</v>
      </c>
      <c r="B14" s="803">
        <v>50</v>
      </c>
      <c r="C14" s="804">
        <f ca="1">B14*(50+RANDBETWEEN(1,100))/100</f>
        <v>70.5</v>
      </c>
      <c r="D14" s="805">
        <f ca="1">urbain*C14/100</f>
        <v>2913.4124999999999</v>
      </c>
      <c r="E14" s="806">
        <v>1000</v>
      </c>
      <c r="F14" s="802">
        <f ca="1">1000*(50+RANDBETWEEN(1,100))/100</f>
        <v>1100</v>
      </c>
      <c r="G14" s="800">
        <f t="shared" ca="1" si="1"/>
        <v>3</v>
      </c>
      <c r="H14" s="603" t="str">
        <f t="shared" ca="1" si="2"/>
        <v>3 bourgs  avec 2913 habitants</v>
      </c>
      <c r="I14" s="604"/>
      <c r="J14" s="604"/>
      <c r="K14" s="605"/>
    </row>
    <row r="15" spans="1:11" ht="15" customHeight="1" thickBot="1">
      <c r="A15" s="813" t="s">
        <v>2444</v>
      </c>
      <c r="B15" s="814">
        <v>50</v>
      </c>
      <c r="C15" s="815">
        <f ca="1">B15*(50+RANDBETWEEN(1,100))/100</f>
        <v>31.5</v>
      </c>
      <c r="D15" s="816">
        <f ca="1">urbain*C15/100</f>
        <v>1301.7375</v>
      </c>
      <c r="E15" s="817">
        <v>5000</v>
      </c>
      <c r="F15" s="818">
        <f ca="1">5000*(50+RANDBETWEEN(1,100))/100</f>
        <v>3550</v>
      </c>
      <c r="G15" s="801">
        <f t="shared" ca="1" si="1"/>
        <v>0</v>
      </c>
      <c r="H15" s="603" t="str">
        <f t="shared" ca="1" si="2"/>
        <v>-</v>
      </c>
      <c r="I15" s="604"/>
      <c r="J15" s="604"/>
      <c r="K15" s="605"/>
    </row>
    <row r="16" spans="1:11" ht="15" customHeight="1">
      <c r="A16" s="807" t="s">
        <v>661</v>
      </c>
      <c r="B16" s="819"/>
      <c r="C16" s="809">
        <v>8.0000000000000002E-3</v>
      </c>
      <c r="D16" s="810">
        <f ca="1">popcarte*C16*(50+RANDBETWEEN(1,100))/100</f>
        <v>150</v>
      </c>
      <c r="E16" s="811"/>
      <c r="F16" s="812"/>
      <c r="G16" s="799"/>
      <c r="H16" s="603" t="str">
        <f t="shared" si="2"/>
        <v>-</v>
      </c>
      <c r="I16" s="604"/>
      <c r="J16" s="604"/>
      <c r="K16" s="605"/>
    </row>
    <row r="17" spans="1:11" ht="15" customHeight="1">
      <c r="A17" s="820" t="s">
        <v>2434</v>
      </c>
      <c r="B17" s="803">
        <v>5</v>
      </c>
      <c r="C17" s="804">
        <f ca="1">B17*(50+RANDBETWEEN(1,100))/100</f>
        <v>5.4</v>
      </c>
      <c r="D17" s="805">
        <f ca="1">isolé*C17/100</f>
        <v>8.1</v>
      </c>
      <c r="E17" s="806">
        <v>10</v>
      </c>
      <c r="F17" s="802">
        <f ca="1">10*(50+RANDBETWEEN(1,100))/100</f>
        <v>11.2</v>
      </c>
      <c r="G17" s="800">
        <f t="shared" ca="1" si="1"/>
        <v>1</v>
      </c>
      <c r="H17" s="603" t="str">
        <f t="shared" ca="1" si="2"/>
        <v>1 camps/relais avec 8 habitants</v>
      </c>
      <c r="I17" s="604"/>
      <c r="J17" s="604"/>
      <c r="K17" s="605"/>
    </row>
    <row r="18" spans="1:11" ht="15" customHeight="1">
      <c r="A18" s="820" t="s">
        <v>2449</v>
      </c>
      <c r="B18" s="803">
        <v>10</v>
      </c>
      <c r="C18" s="804">
        <f t="shared" ref="C18:C20" ca="1" si="3">B18*(50+RANDBETWEEN(1,100))/100</f>
        <v>12.1</v>
      </c>
      <c r="D18" s="805">
        <f ca="1">isolé*C18/100</f>
        <v>18.149999999999999</v>
      </c>
      <c r="E18" s="806">
        <v>20</v>
      </c>
      <c r="F18" s="802">
        <f ca="1">20*(50+RANDBETWEEN(1,100))/100</f>
        <v>29.2</v>
      </c>
      <c r="G18" s="800">
        <f t="shared" ca="1" si="1"/>
        <v>1</v>
      </c>
      <c r="H18" s="603" t="str">
        <f t="shared" ca="1" si="2"/>
        <v>1 tombes/religieux avec 18 habitants</v>
      </c>
      <c r="I18" s="604"/>
      <c r="J18" s="604"/>
      <c r="K18" s="605"/>
    </row>
    <row r="19" spans="1:11" ht="15" customHeight="1">
      <c r="A19" s="820" t="s">
        <v>2448</v>
      </c>
      <c r="B19" s="803">
        <v>55</v>
      </c>
      <c r="C19" s="804">
        <f t="shared" ca="1" si="3"/>
        <v>50.6</v>
      </c>
      <c r="D19" s="805">
        <f ca="1">isolé*C19/100</f>
        <v>75.900000000000006</v>
      </c>
      <c r="E19" s="806">
        <v>30</v>
      </c>
      <c r="F19" s="802">
        <f ca="1">30*(50+RANDBETWEEN(1,100))/100</f>
        <v>24</v>
      </c>
      <c r="G19" s="800">
        <f t="shared" ca="1" si="1"/>
        <v>3</v>
      </c>
      <c r="H19" s="603" t="str">
        <f t="shared" ca="1" si="2"/>
        <v>3 champs/vergers avec 76 habitants</v>
      </c>
      <c r="I19" s="604"/>
      <c r="J19" s="604"/>
      <c r="K19" s="605"/>
    </row>
    <row r="20" spans="1:11" ht="15" customHeight="1" thickBot="1">
      <c r="A20" s="821" t="s">
        <v>2447</v>
      </c>
      <c r="B20" s="814">
        <v>30</v>
      </c>
      <c r="C20" s="815">
        <f t="shared" ca="1" si="3"/>
        <v>16.8</v>
      </c>
      <c r="D20" s="816">
        <f ca="1">isolé*C20/100</f>
        <v>25.2</v>
      </c>
      <c r="E20" s="817">
        <v>50</v>
      </c>
      <c r="F20" s="818">
        <f ca="1">50*(50+RANDBETWEEN(1,100))/100</f>
        <v>52</v>
      </c>
      <c r="G20" s="801">
        <f t="shared" ca="1" si="1"/>
        <v>0</v>
      </c>
      <c r="H20" s="603" t="str">
        <f t="shared" ca="1" si="2"/>
        <v>-</v>
      </c>
      <c r="I20" s="604"/>
      <c r="J20" s="604"/>
      <c r="K20" s="605"/>
    </row>
    <row r="21" spans="1:11" ht="15" customHeight="1">
      <c r="A21" s="822" t="s">
        <v>656</v>
      </c>
      <c r="B21" s="819"/>
      <c r="C21" s="809">
        <v>7.0000000000000001E-3</v>
      </c>
      <c r="D21" s="810">
        <f ca="1">popcarte*C21*(50+RANDBETWEEN(1,100))/100</f>
        <v>54.6</v>
      </c>
      <c r="E21" s="811"/>
      <c r="F21" s="812"/>
      <c r="G21" s="799"/>
      <c r="H21" s="603" t="str">
        <f t="shared" si="2"/>
        <v>-</v>
      </c>
      <c r="I21" s="604"/>
      <c r="J21" s="604"/>
      <c r="K21" s="605"/>
    </row>
    <row r="22" spans="1:11" ht="15" customHeight="1">
      <c r="A22" s="98" t="s">
        <v>2445</v>
      </c>
      <c r="B22" s="803">
        <v>30</v>
      </c>
      <c r="C22" s="804">
        <f ca="1">B22*(50+RANDBETWEEN(1,100))/100</f>
        <v>15.3</v>
      </c>
      <c r="D22" s="805">
        <f ca="1">reli*C22/100</f>
        <v>8.3538000000000014</v>
      </c>
      <c r="E22" s="806">
        <v>20</v>
      </c>
      <c r="F22" s="802">
        <f ca="1">5*(50+RANDBETWEEN(1,100))/100</f>
        <v>5.25</v>
      </c>
      <c r="G22" s="800">
        <f t="shared" ca="1" si="1"/>
        <v>2</v>
      </c>
      <c r="H22" s="603" t="str">
        <f t="shared" ca="1" si="2"/>
        <v>2 monastères avec 8 habitants</v>
      </c>
      <c r="I22" s="604"/>
      <c r="J22" s="604"/>
      <c r="K22" s="605"/>
    </row>
    <row r="23" spans="1:11" ht="15" customHeight="1">
      <c r="A23" s="98" t="s">
        <v>2595</v>
      </c>
      <c r="B23" s="803">
        <v>60</v>
      </c>
      <c r="C23" s="804">
        <f t="shared" ref="C23:C24" ca="1" si="4">B23*(50+RANDBETWEEN(1,100))/100</f>
        <v>43.2</v>
      </c>
      <c r="D23" s="805">
        <f ca="1">reli*C23/100</f>
        <v>23.587200000000003</v>
      </c>
      <c r="E23" s="806">
        <v>10</v>
      </c>
      <c r="F23" s="802">
        <f ca="1">20*(50+RANDBETWEEN(1,100))/100</f>
        <v>12.8</v>
      </c>
      <c r="G23" s="800">
        <f t="shared" ca="1" si="1"/>
        <v>2</v>
      </c>
      <c r="H23" s="603" t="str">
        <f t="shared" ca="1" si="2"/>
        <v>2 lieux de culte avec 24 habitants</v>
      </c>
      <c r="I23" s="604"/>
      <c r="J23" s="604"/>
      <c r="K23" s="605"/>
    </row>
    <row r="24" spans="1:11" ht="15" customHeight="1" thickBot="1">
      <c r="A24" s="813" t="s">
        <v>2437</v>
      </c>
      <c r="B24" s="814">
        <v>10</v>
      </c>
      <c r="C24" s="815">
        <f t="shared" ca="1" si="4"/>
        <v>13.3</v>
      </c>
      <c r="D24" s="816">
        <f ca="1">reli*C24/100</f>
        <v>7.2618000000000009</v>
      </c>
      <c r="E24" s="817">
        <v>30</v>
      </c>
      <c r="F24" s="818">
        <f ca="1">40*(50+RANDBETWEEN(1,100))/100</f>
        <v>24</v>
      </c>
      <c r="G24" s="801">
        <f t="shared" ca="1" si="1"/>
        <v>0</v>
      </c>
      <c r="H24" s="603" t="str">
        <f t="shared" ca="1" si="2"/>
        <v>-</v>
      </c>
      <c r="I24" s="604"/>
      <c r="J24" s="604"/>
      <c r="K24" s="605"/>
    </row>
    <row r="25" spans="1:11" ht="15" customHeight="1">
      <c r="A25" s="807" t="s">
        <v>655</v>
      </c>
      <c r="B25" s="819"/>
      <c r="C25" s="809">
        <v>4.2000000000000003E-2</v>
      </c>
      <c r="D25" s="810">
        <f ca="1">popcarte*C25*(50+RANDBETWEEN(1,100))/100</f>
        <v>844.2</v>
      </c>
      <c r="E25" s="811"/>
      <c r="F25" s="812"/>
      <c r="G25" s="799"/>
      <c r="H25" s="603" t="str">
        <f t="shared" si="2"/>
        <v>-</v>
      </c>
      <c r="I25" s="604"/>
      <c r="J25" s="604"/>
      <c r="K25" s="605"/>
    </row>
    <row r="26" spans="1:11" ht="15" customHeight="1">
      <c r="A26" s="820" t="s">
        <v>2446</v>
      </c>
      <c r="B26" s="803">
        <v>1</v>
      </c>
      <c r="C26" s="804">
        <f ca="1">B26*(50+RANDBETWEEN(1,100))/100</f>
        <v>1.35</v>
      </c>
      <c r="D26" s="805">
        <f ca="1">mili*C26/100</f>
        <v>11.396700000000001</v>
      </c>
      <c r="E26" s="806">
        <v>10</v>
      </c>
      <c r="F26" s="802">
        <f ca="1">5*(50+RANDBETWEEN(1,100))/100</f>
        <v>6.3</v>
      </c>
      <c r="G26" s="800">
        <f t="shared" ca="1" si="1"/>
        <v>2</v>
      </c>
      <c r="H26" s="603" t="str">
        <f t="shared" ca="1" si="2"/>
        <v>2 fortifications avec 11 habitants</v>
      </c>
      <c r="I26" s="604"/>
      <c r="J26" s="604"/>
      <c r="K26" s="605"/>
    </row>
    <row r="27" spans="1:11" ht="15" customHeight="1">
      <c r="A27" s="820" t="s">
        <v>2439</v>
      </c>
      <c r="B27" s="803">
        <v>7</v>
      </c>
      <c r="C27" s="804">
        <f t="shared" ref="C27:C30" ca="1" si="5">B27*(50+RANDBETWEEN(1,100))/100</f>
        <v>9.17</v>
      </c>
      <c r="D27" s="805">
        <f ca="1">mili*C27/100</f>
        <v>77.413139999999999</v>
      </c>
      <c r="E27" s="806">
        <v>10</v>
      </c>
      <c r="F27" s="802">
        <f ca="1">10*(50+RANDBETWEEN(1,100))/100</f>
        <v>14.6</v>
      </c>
      <c r="G27" s="800">
        <f t="shared" ca="1" si="1"/>
        <v>5</v>
      </c>
      <c r="H27" s="603" t="str">
        <f t="shared" ca="1" si="2"/>
        <v>5 tours avec 77 habitants</v>
      </c>
      <c r="I27" s="604"/>
      <c r="J27" s="604"/>
      <c r="K27" s="605"/>
    </row>
    <row r="28" spans="1:11" ht="15" customHeight="1">
      <c r="A28" s="820" t="s">
        <v>2440</v>
      </c>
      <c r="B28" s="803">
        <v>2</v>
      </c>
      <c r="C28" s="804">
        <f t="shared" ca="1" si="5"/>
        <v>2.16</v>
      </c>
      <c r="D28" s="805">
        <f ca="1">mili*C28/100</f>
        <v>18.234720000000003</v>
      </c>
      <c r="E28" s="806">
        <v>50</v>
      </c>
      <c r="F28" s="802">
        <f ca="1">50*(50+RANDBETWEEN(1,100))/100</f>
        <v>65.5</v>
      </c>
      <c r="G28" s="800">
        <f t="shared" ca="1" si="1"/>
        <v>0</v>
      </c>
      <c r="H28" s="603" t="str">
        <f t="shared" ca="1" si="2"/>
        <v>-</v>
      </c>
      <c r="I28" s="604"/>
      <c r="J28" s="604"/>
      <c r="K28" s="605"/>
    </row>
    <row r="29" spans="1:11" ht="15" customHeight="1">
      <c r="A29" s="820" t="s">
        <v>2237</v>
      </c>
      <c r="B29" s="803">
        <v>60</v>
      </c>
      <c r="C29" s="804">
        <f t="shared" ca="1" si="5"/>
        <v>70.8</v>
      </c>
      <c r="D29" s="805">
        <f ca="1">mili*C29/100</f>
        <v>597.69360000000006</v>
      </c>
      <c r="E29" s="806">
        <v>50</v>
      </c>
      <c r="F29" s="802">
        <f ca="1">100*(50+RANDBETWEEN(1,100))/100</f>
        <v>66</v>
      </c>
      <c r="G29" s="800">
        <f t="shared" ca="1" si="1"/>
        <v>9</v>
      </c>
      <c r="H29" s="603" t="str">
        <f t="shared" ca="1" si="2"/>
        <v>9 manoirs  avec 598 habitants</v>
      </c>
      <c r="I29" s="604"/>
      <c r="J29" s="604"/>
      <c r="K29" s="605"/>
    </row>
    <row r="30" spans="1:11" ht="15" customHeight="1" thickBot="1">
      <c r="A30" s="821" t="s">
        <v>2238</v>
      </c>
      <c r="B30" s="814">
        <v>30</v>
      </c>
      <c r="C30" s="815">
        <f t="shared" ca="1" si="5"/>
        <v>23.1</v>
      </c>
      <c r="D30" s="816">
        <f ca="1">mili*C30/100</f>
        <v>195.0102</v>
      </c>
      <c r="E30" s="817">
        <v>100</v>
      </c>
      <c r="F30" s="818">
        <f ca="1">150*(50+RANDBETWEEN(1,100))/100</f>
        <v>217.5</v>
      </c>
      <c r="G30" s="801">
        <f t="shared" ca="1" si="1"/>
        <v>1</v>
      </c>
      <c r="H30" s="603" t="str">
        <f t="shared" ca="1" si="2"/>
        <v>1 châteaux  avec 195 habitants</v>
      </c>
      <c r="I30" s="604"/>
      <c r="J30" s="604"/>
      <c r="K30" s="605"/>
    </row>
    <row r="31" spans="1:11" ht="15" customHeight="1">
      <c r="A31" s="822" t="s">
        <v>653</v>
      </c>
      <c r="B31" s="819"/>
      <c r="C31" s="809">
        <v>3.0000000000000001E-3</v>
      </c>
      <c r="D31" s="810">
        <f ca="1">popcarte*C31*(50+RANDBETWEEN(1,100))/100</f>
        <v>49.95</v>
      </c>
      <c r="E31" s="811"/>
      <c r="F31" s="812"/>
      <c r="G31" s="799"/>
      <c r="H31" s="603" t="str">
        <f t="shared" si="2"/>
        <v>-</v>
      </c>
      <c r="I31" s="604"/>
      <c r="J31" s="604"/>
      <c r="K31" s="605"/>
    </row>
    <row r="32" spans="1:11" ht="15" customHeight="1">
      <c r="A32" s="98" t="s">
        <v>2443</v>
      </c>
      <c r="B32" s="803">
        <v>30</v>
      </c>
      <c r="C32" s="804">
        <f ca="1">B32*(50+RANDBETWEEN(1,100))/100</f>
        <v>37.799999999999997</v>
      </c>
      <c r="D32" s="805">
        <f ca="1">dive*C32/100</f>
        <v>18.8811</v>
      </c>
      <c r="E32" s="806">
        <v>5</v>
      </c>
      <c r="F32" s="802">
        <f ca="1">5*(50+RANDBETWEEN(1,100))/100</f>
        <v>4.8499999999999996</v>
      </c>
      <c r="G32" s="800">
        <f t="shared" ca="1" si="1"/>
        <v>4</v>
      </c>
      <c r="H32" s="603" t="str">
        <f t="shared" ca="1" si="2"/>
        <v>4 pont/ouvrages  avec 19 habitants</v>
      </c>
      <c r="I32" s="604"/>
      <c r="J32" s="604"/>
      <c r="K32" s="605"/>
    </row>
    <row r="33" spans="1:11" ht="15" customHeight="1">
      <c r="A33" s="98" t="s">
        <v>2441</v>
      </c>
      <c r="B33" s="803">
        <v>20</v>
      </c>
      <c r="C33" s="804">
        <f t="shared" ref="C33:C34" ca="1" si="6">B33*(50+RANDBETWEEN(1,100))/100</f>
        <v>12</v>
      </c>
      <c r="D33" s="805">
        <f ca="1">dive*C33/100</f>
        <v>5.9940000000000007</v>
      </c>
      <c r="E33" s="806">
        <v>10</v>
      </c>
      <c r="F33" s="802">
        <f ca="1">10*(50+RANDBETWEEN(1,100))/100</f>
        <v>12.1</v>
      </c>
      <c r="G33" s="800">
        <f t="shared" ca="1" si="1"/>
        <v>0</v>
      </c>
      <c r="H33" s="603" t="str">
        <f t="shared" ca="1" si="2"/>
        <v>-</v>
      </c>
      <c r="I33" s="604"/>
      <c r="J33" s="604"/>
      <c r="K33" s="605"/>
    </row>
    <row r="34" spans="1:11" ht="15" customHeight="1" thickBot="1">
      <c r="A34" s="813" t="s">
        <v>2442</v>
      </c>
      <c r="B34" s="814">
        <v>50</v>
      </c>
      <c r="C34" s="815">
        <f t="shared" ca="1" si="6"/>
        <v>67.5</v>
      </c>
      <c r="D34" s="816">
        <f ca="1">dive*C34/100</f>
        <v>33.716250000000002</v>
      </c>
      <c r="E34" s="817">
        <v>20</v>
      </c>
      <c r="F34" s="818">
        <f ca="1">20*(50+RANDBETWEEN(1,100))/100</f>
        <v>13.6</v>
      </c>
      <c r="G34" s="801">
        <f t="shared" ca="1" si="1"/>
        <v>2</v>
      </c>
      <c r="H34" s="606" t="str">
        <f t="shared" ca="1" si="2"/>
        <v>2 créatures/ dangers avec 34 habitants</v>
      </c>
      <c r="I34" s="607"/>
      <c r="J34" s="607"/>
      <c r="K34" s="608"/>
    </row>
    <row r="35" spans="1:11" ht="15" customHeight="1">
      <c r="H35" s="112" t="s">
        <v>2625</v>
      </c>
      <c r="I35" s="112" t="s">
        <v>2598</v>
      </c>
    </row>
    <row r="36" spans="1:11" ht="15" customHeight="1">
      <c r="A36" s="827" t="s">
        <v>2597</v>
      </c>
      <c r="B36" s="112"/>
      <c r="C36" s="112" t="s">
        <v>2598</v>
      </c>
      <c r="D36" s="112" t="s">
        <v>675</v>
      </c>
      <c r="H36" t="s">
        <v>2611</v>
      </c>
      <c r="I36">
        <v>10</v>
      </c>
    </row>
    <row r="37" spans="1:11" ht="15" customHeight="1">
      <c r="A37" s="826" t="s">
        <v>2599</v>
      </c>
      <c r="C37">
        <v>1500</v>
      </c>
      <c r="D37">
        <v>4</v>
      </c>
      <c r="H37" t="s">
        <v>2612</v>
      </c>
      <c r="I37">
        <v>39</v>
      </c>
    </row>
    <row r="38" spans="1:11" ht="15" customHeight="1">
      <c r="A38" s="826" t="s">
        <v>2600</v>
      </c>
      <c r="C38">
        <v>2500</v>
      </c>
      <c r="D38">
        <v>16</v>
      </c>
      <c r="H38" t="s">
        <v>2613</v>
      </c>
      <c r="I38">
        <v>32</v>
      </c>
    </row>
    <row r="39" spans="1:11" ht="15" customHeight="1">
      <c r="A39" s="826" t="s">
        <v>2601</v>
      </c>
      <c r="C39">
        <v>1200</v>
      </c>
      <c r="D39">
        <v>35</v>
      </c>
      <c r="H39" t="s">
        <v>2614</v>
      </c>
      <c r="I39">
        <v>504</v>
      </c>
    </row>
    <row r="40" spans="1:11" ht="15" customHeight="1">
      <c r="A40" s="826" t="s">
        <v>2602</v>
      </c>
      <c r="C40">
        <v>650</v>
      </c>
      <c r="D40">
        <v>82</v>
      </c>
      <c r="H40" t="s">
        <v>2615</v>
      </c>
      <c r="I40">
        <v>39</v>
      </c>
    </row>
    <row r="41" spans="1:11" ht="15" customHeight="1">
      <c r="A41" s="826" t="s">
        <v>2603</v>
      </c>
      <c r="C41">
        <v>5200</v>
      </c>
      <c r="D41">
        <v>18</v>
      </c>
      <c r="H41" t="s">
        <v>2616</v>
      </c>
      <c r="I41">
        <v>58</v>
      </c>
    </row>
    <row r="42" spans="1:11" ht="15" customHeight="1">
      <c r="A42" s="826" t="s">
        <v>2604</v>
      </c>
      <c r="C42">
        <v>4500</v>
      </c>
      <c r="D42">
        <v>23</v>
      </c>
      <c r="H42" t="s">
        <v>2617</v>
      </c>
      <c r="I42">
        <v>24</v>
      </c>
    </row>
    <row r="43" spans="1:11" ht="15" customHeight="1">
      <c r="A43" s="826" t="s">
        <v>2605</v>
      </c>
      <c r="C43">
        <v>880</v>
      </c>
      <c r="D43">
        <v>7</v>
      </c>
      <c r="H43" t="s">
        <v>2618</v>
      </c>
      <c r="I43">
        <v>28</v>
      </c>
    </row>
    <row r="44" spans="1:11" ht="15" customHeight="1">
      <c r="A44" s="826" t="s">
        <v>2606</v>
      </c>
      <c r="C44">
        <v>2500</v>
      </c>
      <c r="D44">
        <v>23</v>
      </c>
      <c r="H44" t="s">
        <v>2619</v>
      </c>
      <c r="I44">
        <v>83</v>
      </c>
    </row>
    <row r="45" spans="1:11" ht="15" customHeight="1">
      <c r="A45" s="826" t="s">
        <v>2607</v>
      </c>
      <c r="C45">
        <v>666</v>
      </c>
      <c r="D45">
        <v>4</v>
      </c>
      <c r="H45" t="s">
        <v>2620</v>
      </c>
      <c r="I45">
        <v>135</v>
      </c>
    </row>
    <row r="46" spans="1:11" ht="15" customHeight="1">
      <c r="A46" s="826" t="s">
        <v>2608</v>
      </c>
      <c r="C46">
        <v>100</v>
      </c>
      <c r="D46">
        <v>71</v>
      </c>
      <c r="H46" t="s">
        <v>2621</v>
      </c>
      <c r="I46">
        <v>165</v>
      </c>
    </row>
    <row r="47" spans="1:11" ht="15" customHeight="1">
      <c r="A47" s="826" t="s">
        <v>2609</v>
      </c>
      <c r="C47">
        <v>2800</v>
      </c>
      <c r="D47">
        <v>21</v>
      </c>
      <c r="H47" t="s">
        <v>2622</v>
      </c>
      <c r="I47">
        <v>41</v>
      </c>
    </row>
    <row r="48" spans="1:11" ht="15" customHeight="1">
      <c r="A48" s="826" t="s">
        <v>2610</v>
      </c>
      <c r="C48">
        <v>39</v>
      </c>
      <c r="D48">
        <v>5</v>
      </c>
      <c r="H48" t="s">
        <v>2623</v>
      </c>
      <c r="I48">
        <v>9</v>
      </c>
    </row>
    <row r="49" spans="8:9" ht="15" customHeight="1">
      <c r="H49" t="s">
        <v>2624</v>
      </c>
      <c r="I49">
        <v>39</v>
      </c>
    </row>
  </sheetData>
  <pageMargins left="0.25" right="0.25" top="0.75" bottom="0.75" header="0.3" footer="0.3"/>
  <pageSetup paperSize="9" orientation="portrait" horizontalDpi="300" verticalDpi="300" r:id="rId1"/>
  <headerFooter>
    <oddFooter>&amp;C_x000D_&amp;1#&amp;"Arial"&amp;9&amp;K000000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8"/>
  <sheetViews>
    <sheetView zoomScaleNormal="100" workbookViewId="0">
      <selection activeCell="Q1" sqref="Q1:V1048576"/>
    </sheetView>
  </sheetViews>
  <sheetFormatPr baseColWidth="10" defaultColWidth="9.109375" defaultRowHeight="14.4"/>
  <cols>
    <col min="1" max="1" width="18.6640625" bestFit="1" customWidth="1"/>
    <col min="2" max="2" width="5" bestFit="1" customWidth="1"/>
    <col min="3" max="3" width="8.44140625" bestFit="1" customWidth="1"/>
    <col min="4" max="4" width="8.6640625" bestFit="1" customWidth="1"/>
    <col min="5" max="5" width="8.44140625" bestFit="1" customWidth="1"/>
    <col min="7" max="7" width="8.5546875" bestFit="1" customWidth="1"/>
    <col min="8" max="8" width="7.44140625" bestFit="1" customWidth="1"/>
    <col min="9" max="9" width="6.109375" bestFit="1" customWidth="1"/>
    <col min="10" max="10" width="6" bestFit="1" customWidth="1"/>
    <col min="11" max="11" width="5.6640625" customWidth="1"/>
    <col min="12" max="12" width="6.109375" bestFit="1" customWidth="1"/>
    <col min="13" max="13" width="5.88671875" bestFit="1" customWidth="1"/>
    <col min="14" max="14" width="7" bestFit="1" customWidth="1"/>
    <col min="15" max="15" width="6.6640625" bestFit="1" customWidth="1"/>
    <col min="16" max="16" width="5.44140625" bestFit="1" customWidth="1"/>
    <col min="17" max="22" width="5.33203125" customWidth="1"/>
  </cols>
  <sheetData>
    <row r="1" spans="1:22" ht="20.399999999999999">
      <c r="A1" s="1706" t="s">
        <v>142</v>
      </c>
      <c r="B1" s="1708" t="s">
        <v>556</v>
      </c>
      <c r="C1" s="142" t="s">
        <v>129</v>
      </c>
      <c r="D1" s="142" t="s">
        <v>129</v>
      </c>
      <c r="E1" s="142" t="s">
        <v>129</v>
      </c>
      <c r="F1" s="142" t="s">
        <v>739</v>
      </c>
      <c r="G1" s="142" t="s">
        <v>739</v>
      </c>
      <c r="H1" s="142" t="s">
        <v>739</v>
      </c>
      <c r="I1" s="1708" t="s">
        <v>726</v>
      </c>
      <c r="J1" s="141">
        <v>10000</v>
      </c>
      <c r="K1" s="140" t="s">
        <v>674</v>
      </c>
      <c r="R1" t="s">
        <v>738</v>
      </c>
    </row>
    <row r="2" spans="1:22" ht="21" thickBot="1">
      <c r="A2" s="1707"/>
      <c r="B2" s="1709"/>
      <c r="C2" s="134" t="s">
        <v>737</v>
      </c>
      <c r="D2" s="134" t="s">
        <v>736</v>
      </c>
      <c r="E2" s="134" t="s">
        <v>735</v>
      </c>
      <c r="F2" s="134" t="s">
        <v>734</v>
      </c>
      <c r="G2" s="134" t="s">
        <v>733</v>
      </c>
      <c r="H2" s="134" t="s">
        <v>727</v>
      </c>
      <c r="I2" s="1709"/>
      <c r="J2" s="139" t="s">
        <v>732</v>
      </c>
      <c r="K2" s="110" t="s">
        <v>731</v>
      </c>
      <c r="L2" t="s">
        <v>730</v>
      </c>
      <c r="M2" t="s">
        <v>729</v>
      </c>
      <c r="N2" t="s">
        <v>728</v>
      </c>
      <c r="O2" t="s">
        <v>727</v>
      </c>
      <c r="P2" t="s">
        <v>726</v>
      </c>
      <c r="Q2" t="s">
        <v>725</v>
      </c>
      <c r="R2" t="s">
        <v>724</v>
      </c>
      <c r="S2" t="s">
        <v>723</v>
      </c>
      <c r="T2" t="s">
        <v>722</v>
      </c>
      <c r="U2" t="s">
        <v>721</v>
      </c>
      <c r="V2" t="s">
        <v>720</v>
      </c>
    </row>
    <row r="3" spans="1:22" ht="15" thickBot="1">
      <c r="A3" s="117" t="s">
        <v>669</v>
      </c>
      <c r="B3" s="136"/>
      <c r="C3" s="137">
        <v>35</v>
      </c>
      <c r="D3" s="137">
        <v>60</v>
      </c>
      <c r="E3" s="137">
        <v>60</v>
      </c>
      <c r="F3" s="137">
        <v>60</v>
      </c>
      <c r="G3" s="137">
        <v>30</v>
      </c>
      <c r="H3" s="137">
        <v>42</v>
      </c>
      <c r="I3" s="137">
        <v>60</v>
      </c>
      <c r="J3" s="133">
        <f t="shared" ref="J3:J28" si="0">pop*C3/100</f>
        <v>3500</v>
      </c>
      <c r="K3" s="132">
        <f t="shared" ref="K3:K28" si="1">pop*D3/100</f>
        <v>6000</v>
      </c>
      <c r="L3" s="132">
        <f t="shared" ref="L3:L28" si="2">pop*E3/100</f>
        <v>6000</v>
      </c>
      <c r="M3" s="132">
        <f t="shared" ref="M3:M28" si="3">pop*F3/100</f>
        <v>6000</v>
      </c>
      <c r="N3" s="132">
        <f t="shared" ref="N3:N28" si="4">pop*G3/100</f>
        <v>3000</v>
      </c>
      <c r="O3" s="132">
        <f t="shared" ref="O3:O28" si="5">pop*H3/100</f>
        <v>4200</v>
      </c>
      <c r="P3" s="131">
        <f t="shared" ref="P3:P28" si="6">pop*I3/100</f>
        <v>6000</v>
      </c>
    </row>
    <row r="4" spans="1:22" ht="15" thickBot="1">
      <c r="A4" s="113" t="s">
        <v>666</v>
      </c>
      <c r="B4" s="126">
        <v>10</v>
      </c>
      <c r="C4" s="126">
        <v>5</v>
      </c>
      <c r="D4" s="126">
        <v>10</v>
      </c>
      <c r="E4" s="126">
        <v>20</v>
      </c>
      <c r="F4" s="126">
        <v>5</v>
      </c>
      <c r="G4" s="126">
        <v>5</v>
      </c>
      <c r="H4" s="126">
        <v>2</v>
      </c>
      <c r="I4" s="126">
        <v>10</v>
      </c>
      <c r="J4">
        <f t="shared" si="0"/>
        <v>500</v>
      </c>
      <c r="K4">
        <f t="shared" si="1"/>
        <v>1000</v>
      </c>
      <c r="L4">
        <f t="shared" si="2"/>
        <v>2000</v>
      </c>
      <c r="M4">
        <f t="shared" si="3"/>
        <v>500</v>
      </c>
      <c r="N4">
        <f t="shared" si="4"/>
        <v>500</v>
      </c>
      <c r="O4">
        <f t="shared" si="5"/>
        <v>200</v>
      </c>
      <c r="P4">
        <f t="shared" si="6"/>
        <v>1000</v>
      </c>
      <c r="Q4" s="130">
        <f t="shared" ref="Q4:V6" si="7">J4/$B4</f>
        <v>50</v>
      </c>
      <c r="R4" s="129">
        <f t="shared" si="7"/>
        <v>100</v>
      </c>
      <c r="S4" s="129">
        <f t="shared" si="7"/>
        <v>200</v>
      </c>
      <c r="T4" s="129">
        <f t="shared" si="7"/>
        <v>50</v>
      </c>
      <c r="U4" s="129">
        <f t="shared" si="7"/>
        <v>50</v>
      </c>
      <c r="V4" s="123">
        <f t="shared" si="7"/>
        <v>20</v>
      </c>
    </row>
    <row r="5" spans="1:22" ht="15" thickBot="1">
      <c r="A5" s="113" t="s">
        <v>545</v>
      </c>
      <c r="B5" s="126">
        <v>50</v>
      </c>
      <c r="C5" s="126">
        <v>10</v>
      </c>
      <c r="D5" s="126">
        <v>20</v>
      </c>
      <c r="E5" s="126">
        <v>20</v>
      </c>
      <c r="F5" s="126">
        <v>15</v>
      </c>
      <c r="G5" s="126">
        <v>20</v>
      </c>
      <c r="H5" s="126">
        <v>10</v>
      </c>
      <c r="I5" s="126">
        <v>20</v>
      </c>
      <c r="J5">
        <f t="shared" si="0"/>
        <v>1000</v>
      </c>
      <c r="K5">
        <f t="shared" si="1"/>
        <v>2000</v>
      </c>
      <c r="L5">
        <f t="shared" si="2"/>
        <v>2000</v>
      </c>
      <c r="M5">
        <f t="shared" si="3"/>
        <v>1500</v>
      </c>
      <c r="N5">
        <f t="shared" si="4"/>
        <v>2000</v>
      </c>
      <c r="O5">
        <f t="shared" si="5"/>
        <v>1000</v>
      </c>
      <c r="P5">
        <f t="shared" si="6"/>
        <v>2000</v>
      </c>
      <c r="Q5" s="128">
        <f t="shared" si="7"/>
        <v>20</v>
      </c>
      <c r="R5">
        <f t="shared" si="7"/>
        <v>40</v>
      </c>
      <c r="S5">
        <f t="shared" si="7"/>
        <v>40</v>
      </c>
      <c r="T5">
        <f t="shared" si="7"/>
        <v>30</v>
      </c>
      <c r="U5">
        <f t="shared" si="7"/>
        <v>40</v>
      </c>
      <c r="V5" s="127">
        <f t="shared" si="7"/>
        <v>20</v>
      </c>
    </row>
    <row r="6" spans="1:22" ht="15" thickBot="1">
      <c r="A6" s="118" t="s">
        <v>544</v>
      </c>
      <c r="B6" s="138">
        <v>250</v>
      </c>
      <c r="C6" s="138">
        <v>20</v>
      </c>
      <c r="D6" s="138">
        <v>30</v>
      </c>
      <c r="E6" s="138">
        <v>20</v>
      </c>
      <c r="F6" s="138">
        <v>40</v>
      </c>
      <c r="G6" s="138">
        <v>5</v>
      </c>
      <c r="H6" s="138">
        <v>30</v>
      </c>
      <c r="I6" s="138">
        <v>30</v>
      </c>
      <c r="J6">
        <f t="shared" si="0"/>
        <v>2000</v>
      </c>
      <c r="K6">
        <f t="shared" si="1"/>
        <v>3000</v>
      </c>
      <c r="L6">
        <f t="shared" si="2"/>
        <v>2000</v>
      </c>
      <c r="M6">
        <f t="shared" si="3"/>
        <v>4000</v>
      </c>
      <c r="N6">
        <f t="shared" si="4"/>
        <v>500</v>
      </c>
      <c r="O6">
        <f t="shared" si="5"/>
        <v>3000</v>
      </c>
      <c r="P6">
        <f t="shared" si="6"/>
        <v>3000</v>
      </c>
      <c r="Q6" s="125">
        <f t="shared" si="7"/>
        <v>8</v>
      </c>
      <c r="R6" s="121">
        <f t="shared" si="7"/>
        <v>12</v>
      </c>
      <c r="S6" s="121">
        <f t="shared" si="7"/>
        <v>8</v>
      </c>
      <c r="T6" s="121">
        <f t="shared" si="7"/>
        <v>16</v>
      </c>
      <c r="U6" s="121">
        <f t="shared" si="7"/>
        <v>2</v>
      </c>
      <c r="V6" s="124">
        <f t="shared" si="7"/>
        <v>12</v>
      </c>
    </row>
    <row r="7" spans="1:22" ht="15.6" thickTop="1" thickBot="1">
      <c r="A7" s="114" t="s">
        <v>663</v>
      </c>
      <c r="B7" s="126"/>
      <c r="C7" s="134">
        <v>42</v>
      </c>
      <c r="D7" s="134">
        <v>22</v>
      </c>
      <c r="E7" s="134">
        <v>12</v>
      </c>
      <c r="F7" s="134">
        <v>8</v>
      </c>
      <c r="G7" s="134">
        <v>1</v>
      </c>
      <c r="H7" s="134">
        <v>20</v>
      </c>
      <c r="I7" s="134">
        <v>15</v>
      </c>
      <c r="J7" s="133">
        <f t="shared" si="0"/>
        <v>4200</v>
      </c>
      <c r="K7" s="132">
        <f t="shared" si="1"/>
        <v>2200</v>
      </c>
      <c r="L7" s="132">
        <f t="shared" si="2"/>
        <v>1200</v>
      </c>
      <c r="M7" s="132">
        <f t="shared" si="3"/>
        <v>800</v>
      </c>
      <c r="N7" s="132">
        <f t="shared" si="4"/>
        <v>100</v>
      </c>
      <c r="O7" s="132">
        <f t="shared" si="5"/>
        <v>2000</v>
      </c>
      <c r="P7" s="131">
        <f t="shared" si="6"/>
        <v>1500</v>
      </c>
    </row>
    <row r="8" spans="1:22" ht="15" thickBot="1">
      <c r="A8" s="113" t="s">
        <v>543</v>
      </c>
      <c r="B8" s="126">
        <v>1000</v>
      </c>
      <c r="C8" s="126">
        <v>22</v>
      </c>
      <c r="D8" s="126">
        <v>15</v>
      </c>
      <c r="E8" s="126">
        <v>8</v>
      </c>
      <c r="F8" s="126">
        <v>6</v>
      </c>
      <c r="G8" s="126">
        <v>0</v>
      </c>
      <c r="H8" s="126">
        <v>5</v>
      </c>
      <c r="I8" s="126">
        <v>10</v>
      </c>
      <c r="J8">
        <f t="shared" si="0"/>
        <v>2200</v>
      </c>
      <c r="K8">
        <f t="shared" si="1"/>
        <v>1500</v>
      </c>
      <c r="L8">
        <f t="shared" si="2"/>
        <v>800</v>
      </c>
      <c r="M8">
        <f t="shared" si="3"/>
        <v>600</v>
      </c>
      <c r="N8">
        <f t="shared" si="4"/>
        <v>0</v>
      </c>
      <c r="O8">
        <f t="shared" si="5"/>
        <v>500</v>
      </c>
      <c r="P8">
        <f t="shared" si="6"/>
        <v>1000</v>
      </c>
      <c r="Q8" s="130">
        <f t="shared" ref="Q8:V9" si="8">J8/$B8</f>
        <v>2.2000000000000002</v>
      </c>
      <c r="R8" s="129">
        <f t="shared" si="8"/>
        <v>1.5</v>
      </c>
      <c r="S8" s="129">
        <f t="shared" si="8"/>
        <v>0.8</v>
      </c>
      <c r="T8" s="129">
        <f t="shared" si="8"/>
        <v>0.6</v>
      </c>
      <c r="U8" s="129">
        <f t="shared" si="8"/>
        <v>0</v>
      </c>
      <c r="V8" s="123">
        <f t="shared" si="8"/>
        <v>0.5</v>
      </c>
    </row>
    <row r="9" spans="1:22" ht="15" thickBot="1">
      <c r="A9" s="118" t="s">
        <v>662</v>
      </c>
      <c r="B9" s="138">
        <v>5000</v>
      </c>
      <c r="C9" s="138">
        <v>20</v>
      </c>
      <c r="D9" s="138">
        <v>7</v>
      </c>
      <c r="E9" s="138">
        <v>4</v>
      </c>
      <c r="F9" s="138">
        <v>2</v>
      </c>
      <c r="G9" s="138">
        <v>1</v>
      </c>
      <c r="H9" s="138">
        <v>15</v>
      </c>
      <c r="I9" s="138">
        <v>5</v>
      </c>
      <c r="J9">
        <f t="shared" si="0"/>
        <v>2000</v>
      </c>
      <c r="K9">
        <f t="shared" si="1"/>
        <v>700</v>
      </c>
      <c r="L9">
        <f t="shared" si="2"/>
        <v>400</v>
      </c>
      <c r="M9">
        <f t="shared" si="3"/>
        <v>200</v>
      </c>
      <c r="N9">
        <f t="shared" si="4"/>
        <v>100</v>
      </c>
      <c r="O9">
        <f t="shared" si="5"/>
        <v>1500</v>
      </c>
      <c r="P9">
        <f t="shared" si="6"/>
        <v>500</v>
      </c>
      <c r="Q9" s="125">
        <f t="shared" si="8"/>
        <v>0.4</v>
      </c>
      <c r="R9" s="121">
        <f t="shared" si="8"/>
        <v>0.14000000000000001</v>
      </c>
      <c r="S9" s="121">
        <f t="shared" si="8"/>
        <v>0.08</v>
      </c>
      <c r="T9" s="121">
        <f t="shared" si="8"/>
        <v>0.04</v>
      </c>
      <c r="U9" s="121">
        <f t="shared" si="8"/>
        <v>0.02</v>
      </c>
      <c r="V9" s="124">
        <f t="shared" si="8"/>
        <v>0.3</v>
      </c>
    </row>
    <row r="10" spans="1:22" ht="15.6" thickTop="1" thickBot="1">
      <c r="A10" s="117" t="s">
        <v>661</v>
      </c>
      <c r="B10" s="136"/>
      <c r="C10" s="137">
        <v>5</v>
      </c>
      <c r="D10" s="137">
        <v>10</v>
      </c>
      <c r="E10" s="137">
        <v>10</v>
      </c>
      <c r="F10" s="137">
        <v>20</v>
      </c>
      <c r="G10" s="137">
        <v>65</v>
      </c>
      <c r="H10" s="137">
        <v>20</v>
      </c>
      <c r="I10" s="137">
        <v>10</v>
      </c>
      <c r="J10" s="133">
        <f t="shared" si="0"/>
        <v>500</v>
      </c>
      <c r="K10" s="132">
        <f t="shared" si="1"/>
        <v>1000</v>
      </c>
      <c r="L10" s="132">
        <f t="shared" si="2"/>
        <v>1000</v>
      </c>
      <c r="M10" s="132">
        <f t="shared" si="3"/>
        <v>2000</v>
      </c>
      <c r="N10" s="132">
        <f t="shared" si="4"/>
        <v>6500</v>
      </c>
      <c r="O10" s="132">
        <f t="shared" si="5"/>
        <v>2000</v>
      </c>
      <c r="P10" s="131">
        <f t="shared" si="6"/>
        <v>1000</v>
      </c>
    </row>
    <row r="11" spans="1:22" ht="15" thickBot="1">
      <c r="A11" s="116" t="s">
        <v>660</v>
      </c>
      <c r="B11" s="136">
        <v>5</v>
      </c>
      <c r="C11" s="136">
        <v>1</v>
      </c>
      <c r="D11" s="136">
        <v>1</v>
      </c>
      <c r="E11" s="136">
        <v>2</v>
      </c>
      <c r="F11" s="136">
        <v>5</v>
      </c>
      <c r="G11" s="136">
        <v>15</v>
      </c>
      <c r="H11" s="136">
        <v>10</v>
      </c>
      <c r="I11" s="136">
        <v>1</v>
      </c>
      <c r="J11">
        <f t="shared" si="0"/>
        <v>100</v>
      </c>
      <c r="K11">
        <f t="shared" si="1"/>
        <v>100</v>
      </c>
      <c r="L11">
        <f t="shared" si="2"/>
        <v>200</v>
      </c>
      <c r="M11">
        <f t="shared" si="3"/>
        <v>500</v>
      </c>
      <c r="N11">
        <f t="shared" si="4"/>
        <v>1500</v>
      </c>
      <c r="O11">
        <f t="shared" si="5"/>
        <v>1000</v>
      </c>
      <c r="P11">
        <f t="shared" si="6"/>
        <v>100</v>
      </c>
      <c r="Q11" s="130">
        <f t="shared" ref="Q11:V14" si="9">J11/$B11</f>
        <v>20</v>
      </c>
      <c r="R11" s="129">
        <f t="shared" si="9"/>
        <v>20</v>
      </c>
      <c r="S11" s="129">
        <f t="shared" si="9"/>
        <v>40</v>
      </c>
      <c r="T11" s="129">
        <f t="shared" si="9"/>
        <v>100</v>
      </c>
      <c r="U11" s="129">
        <f t="shared" si="9"/>
        <v>300</v>
      </c>
      <c r="V11" s="123">
        <f t="shared" si="9"/>
        <v>200</v>
      </c>
    </row>
    <row r="12" spans="1:22" ht="15" thickBot="1">
      <c r="A12" s="116" t="s">
        <v>659</v>
      </c>
      <c r="B12" s="136">
        <v>5</v>
      </c>
      <c r="C12" s="136">
        <v>1</v>
      </c>
      <c r="D12" s="136">
        <v>2</v>
      </c>
      <c r="E12" s="136">
        <v>3</v>
      </c>
      <c r="F12" s="136">
        <v>2</v>
      </c>
      <c r="G12" s="136">
        <v>5</v>
      </c>
      <c r="H12" s="136">
        <v>3</v>
      </c>
      <c r="I12" s="136">
        <v>2</v>
      </c>
      <c r="J12">
        <f t="shared" si="0"/>
        <v>100</v>
      </c>
      <c r="K12">
        <f t="shared" si="1"/>
        <v>200</v>
      </c>
      <c r="L12">
        <f t="shared" si="2"/>
        <v>300</v>
      </c>
      <c r="M12">
        <f t="shared" si="3"/>
        <v>200</v>
      </c>
      <c r="N12">
        <f t="shared" si="4"/>
        <v>500</v>
      </c>
      <c r="O12">
        <f t="shared" si="5"/>
        <v>300</v>
      </c>
      <c r="P12">
        <f t="shared" si="6"/>
        <v>200</v>
      </c>
      <c r="Q12" s="128">
        <f t="shared" si="9"/>
        <v>20</v>
      </c>
      <c r="R12">
        <f t="shared" si="9"/>
        <v>40</v>
      </c>
      <c r="S12">
        <f t="shared" si="9"/>
        <v>60</v>
      </c>
      <c r="T12">
        <f t="shared" si="9"/>
        <v>40</v>
      </c>
      <c r="U12">
        <f t="shared" si="9"/>
        <v>100</v>
      </c>
      <c r="V12" s="127">
        <f t="shared" si="9"/>
        <v>60</v>
      </c>
    </row>
    <row r="13" spans="1:22" ht="15" thickBot="1">
      <c r="A13" s="116" t="s">
        <v>658</v>
      </c>
      <c r="B13" s="136">
        <v>10</v>
      </c>
      <c r="C13" s="136">
        <v>1</v>
      </c>
      <c r="D13" s="136">
        <v>4</v>
      </c>
      <c r="E13" s="136">
        <v>3</v>
      </c>
      <c r="F13" s="136">
        <v>8</v>
      </c>
      <c r="G13" s="136">
        <v>35</v>
      </c>
      <c r="H13" s="136">
        <v>2</v>
      </c>
      <c r="I13" s="136">
        <v>4</v>
      </c>
      <c r="J13">
        <f t="shared" si="0"/>
        <v>100</v>
      </c>
      <c r="K13">
        <f t="shared" si="1"/>
        <v>400</v>
      </c>
      <c r="L13">
        <f t="shared" si="2"/>
        <v>300</v>
      </c>
      <c r="M13">
        <f t="shared" si="3"/>
        <v>800</v>
      </c>
      <c r="N13">
        <f t="shared" si="4"/>
        <v>3500</v>
      </c>
      <c r="O13">
        <f t="shared" si="5"/>
        <v>200</v>
      </c>
      <c r="P13">
        <f t="shared" si="6"/>
        <v>400</v>
      </c>
      <c r="Q13" s="128">
        <f t="shared" si="9"/>
        <v>10</v>
      </c>
      <c r="R13">
        <f t="shared" si="9"/>
        <v>40</v>
      </c>
      <c r="S13">
        <f t="shared" si="9"/>
        <v>30</v>
      </c>
      <c r="T13">
        <f t="shared" si="9"/>
        <v>80</v>
      </c>
      <c r="U13">
        <f t="shared" si="9"/>
        <v>350</v>
      </c>
      <c r="V13" s="127">
        <f t="shared" si="9"/>
        <v>20</v>
      </c>
    </row>
    <row r="14" spans="1:22" ht="15" thickBot="1">
      <c r="A14" s="115" t="s">
        <v>657</v>
      </c>
      <c r="B14" s="135">
        <v>50</v>
      </c>
      <c r="C14" s="135">
        <v>2</v>
      </c>
      <c r="D14" s="135">
        <v>3</v>
      </c>
      <c r="E14" s="135">
        <v>2</v>
      </c>
      <c r="F14" s="135">
        <v>5</v>
      </c>
      <c r="G14" s="135">
        <v>10</v>
      </c>
      <c r="H14" s="135">
        <v>5</v>
      </c>
      <c r="I14" s="135">
        <v>3</v>
      </c>
      <c r="J14">
        <f t="shared" si="0"/>
        <v>200</v>
      </c>
      <c r="K14">
        <f t="shared" si="1"/>
        <v>300</v>
      </c>
      <c r="L14">
        <f t="shared" si="2"/>
        <v>200</v>
      </c>
      <c r="M14">
        <f t="shared" si="3"/>
        <v>500</v>
      </c>
      <c r="N14">
        <f t="shared" si="4"/>
        <v>1000</v>
      </c>
      <c r="O14">
        <f t="shared" si="5"/>
        <v>500</v>
      </c>
      <c r="P14">
        <f t="shared" si="6"/>
        <v>300</v>
      </c>
      <c r="Q14" s="125">
        <f t="shared" si="9"/>
        <v>4</v>
      </c>
      <c r="R14" s="121">
        <f t="shared" si="9"/>
        <v>6</v>
      </c>
      <c r="S14" s="121">
        <f t="shared" si="9"/>
        <v>4</v>
      </c>
      <c r="T14" s="121">
        <f t="shared" si="9"/>
        <v>10</v>
      </c>
      <c r="U14" s="121">
        <f t="shared" si="9"/>
        <v>20</v>
      </c>
      <c r="V14" s="124">
        <f t="shared" si="9"/>
        <v>10</v>
      </c>
    </row>
    <row r="15" spans="1:22" ht="15.6" thickTop="1" thickBot="1">
      <c r="A15" s="114" t="s">
        <v>656</v>
      </c>
      <c r="B15" s="126"/>
      <c r="C15" s="134">
        <v>5</v>
      </c>
      <c r="D15" s="134">
        <v>3</v>
      </c>
      <c r="E15" s="134">
        <v>8</v>
      </c>
      <c r="F15" s="134">
        <v>5</v>
      </c>
      <c r="G15" s="134">
        <v>3</v>
      </c>
      <c r="H15" s="134">
        <v>3</v>
      </c>
      <c r="I15" s="134">
        <v>5</v>
      </c>
      <c r="J15" s="133">
        <f t="shared" si="0"/>
        <v>500</v>
      </c>
      <c r="K15" s="132">
        <f t="shared" si="1"/>
        <v>300</v>
      </c>
      <c r="L15" s="132">
        <f t="shared" si="2"/>
        <v>800</v>
      </c>
      <c r="M15" s="132">
        <f t="shared" si="3"/>
        <v>500</v>
      </c>
      <c r="N15" s="132">
        <f t="shared" si="4"/>
        <v>300</v>
      </c>
      <c r="O15" s="132">
        <f t="shared" si="5"/>
        <v>300</v>
      </c>
      <c r="P15" s="131">
        <f t="shared" si="6"/>
        <v>500</v>
      </c>
    </row>
    <row r="16" spans="1:22" ht="15" thickBot="1">
      <c r="A16" s="113" t="s">
        <v>532</v>
      </c>
      <c r="B16" s="126">
        <v>5</v>
      </c>
      <c r="C16" s="126">
        <v>2</v>
      </c>
      <c r="D16" s="126">
        <v>1</v>
      </c>
      <c r="E16" s="126">
        <v>3</v>
      </c>
      <c r="F16" s="126">
        <v>1</v>
      </c>
      <c r="G16" s="126">
        <v>0</v>
      </c>
      <c r="H16" s="126">
        <v>1</v>
      </c>
      <c r="I16" s="126">
        <v>1</v>
      </c>
      <c r="J16">
        <f t="shared" si="0"/>
        <v>200</v>
      </c>
      <c r="K16">
        <f t="shared" si="1"/>
        <v>100</v>
      </c>
      <c r="L16">
        <f t="shared" si="2"/>
        <v>300</v>
      </c>
      <c r="M16">
        <f t="shared" si="3"/>
        <v>100</v>
      </c>
      <c r="N16">
        <f t="shared" si="4"/>
        <v>0</v>
      </c>
      <c r="O16">
        <f t="shared" si="5"/>
        <v>100</v>
      </c>
      <c r="P16">
        <f t="shared" si="6"/>
        <v>100</v>
      </c>
      <c r="Q16" s="130">
        <f t="shared" ref="Q16:V18" si="10">J16/$B16</f>
        <v>40</v>
      </c>
      <c r="R16" s="129">
        <f t="shared" si="10"/>
        <v>20</v>
      </c>
      <c r="S16" s="129">
        <f t="shared" si="10"/>
        <v>60</v>
      </c>
      <c r="T16" s="129">
        <f t="shared" si="10"/>
        <v>20</v>
      </c>
      <c r="U16" s="129">
        <f t="shared" si="10"/>
        <v>0</v>
      </c>
      <c r="V16" s="123">
        <f t="shared" si="10"/>
        <v>20</v>
      </c>
    </row>
    <row r="17" spans="1:22" ht="15" thickBot="1">
      <c r="A17" s="113" t="s">
        <v>531</v>
      </c>
      <c r="B17" s="126">
        <v>15</v>
      </c>
      <c r="C17" s="126">
        <v>2</v>
      </c>
      <c r="D17" s="126">
        <v>1</v>
      </c>
      <c r="E17" s="126">
        <v>3</v>
      </c>
      <c r="F17" s="126">
        <v>2</v>
      </c>
      <c r="G17" s="126">
        <v>1</v>
      </c>
      <c r="H17" s="126">
        <v>1</v>
      </c>
      <c r="I17" s="126">
        <v>3</v>
      </c>
      <c r="J17">
        <f t="shared" si="0"/>
        <v>200</v>
      </c>
      <c r="K17">
        <f t="shared" si="1"/>
        <v>100</v>
      </c>
      <c r="L17">
        <f t="shared" si="2"/>
        <v>300</v>
      </c>
      <c r="M17">
        <f t="shared" si="3"/>
        <v>200</v>
      </c>
      <c r="N17">
        <f t="shared" si="4"/>
        <v>100</v>
      </c>
      <c r="O17">
        <f t="shared" si="5"/>
        <v>100</v>
      </c>
      <c r="P17">
        <f t="shared" si="6"/>
        <v>300</v>
      </c>
      <c r="Q17" s="128">
        <f t="shared" si="10"/>
        <v>13.333333333333334</v>
      </c>
      <c r="R17">
        <f t="shared" si="10"/>
        <v>6.666666666666667</v>
      </c>
      <c r="S17">
        <f t="shared" si="10"/>
        <v>20</v>
      </c>
      <c r="T17">
        <f t="shared" si="10"/>
        <v>13.333333333333334</v>
      </c>
      <c r="U17">
        <f t="shared" si="10"/>
        <v>6.666666666666667</v>
      </c>
      <c r="V17" s="127">
        <f t="shared" si="10"/>
        <v>6.666666666666667</v>
      </c>
    </row>
    <row r="18" spans="1:22" ht="15" thickBot="1">
      <c r="A18" s="118" t="s">
        <v>530</v>
      </c>
      <c r="B18" s="138">
        <v>30</v>
      </c>
      <c r="C18" s="138">
        <v>1</v>
      </c>
      <c r="D18" s="138">
        <v>1</v>
      </c>
      <c r="E18" s="138">
        <v>2</v>
      </c>
      <c r="F18" s="138">
        <v>2</v>
      </c>
      <c r="G18" s="138">
        <v>1</v>
      </c>
      <c r="H18" s="138">
        <v>1</v>
      </c>
      <c r="I18" s="138">
        <v>1</v>
      </c>
      <c r="J18">
        <f t="shared" si="0"/>
        <v>100</v>
      </c>
      <c r="K18">
        <f t="shared" si="1"/>
        <v>100</v>
      </c>
      <c r="L18">
        <f t="shared" si="2"/>
        <v>200</v>
      </c>
      <c r="M18">
        <f t="shared" si="3"/>
        <v>200</v>
      </c>
      <c r="N18">
        <f t="shared" si="4"/>
        <v>100</v>
      </c>
      <c r="O18">
        <f t="shared" si="5"/>
        <v>100</v>
      </c>
      <c r="P18">
        <f t="shared" si="6"/>
        <v>100</v>
      </c>
      <c r="Q18" s="125">
        <f t="shared" si="10"/>
        <v>3.3333333333333335</v>
      </c>
      <c r="R18" s="121">
        <f t="shared" si="10"/>
        <v>3.3333333333333335</v>
      </c>
      <c r="S18" s="121">
        <f t="shared" si="10"/>
        <v>6.666666666666667</v>
      </c>
      <c r="T18" s="121">
        <f t="shared" si="10"/>
        <v>6.666666666666667</v>
      </c>
      <c r="U18" s="121">
        <f t="shared" si="10"/>
        <v>3.3333333333333335</v>
      </c>
      <c r="V18" s="124">
        <f t="shared" si="10"/>
        <v>3.3333333333333335</v>
      </c>
    </row>
    <row r="19" spans="1:22" ht="15.6" thickTop="1" thickBot="1">
      <c r="A19" s="117" t="s">
        <v>655</v>
      </c>
      <c r="B19" s="136"/>
      <c r="C19" s="137">
        <v>5</v>
      </c>
      <c r="D19" s="137">
        <v>3</v>
      </c>
      <c r="E19" s="137">
        <v>5</v>
      </c>
      <c r="F19" s="137">
        <v>5</v>
      </c>
      <c r="G19" s="137">
        <v>0</v>
      </c>
      <c r="H19" s="137">
        <v>10</v>
      </c>
      <c r="I19" s="137">
        <v>5</v>
      </c>
      <c r="J19" s="133">
        <f t="shared" si="0"/>
        <v>500</v>
      </c>
      <c r="K19" s="132">
        <f t="shared" si="1"/>
        <v>300</v>
      </c>
      <c r="L19" s="132">
        <f t="shared" si="2"/>
        <v>500</v>
      </c>
      <c r="M19" s="132">
        <f t="shared" si="3"/>
        <v>500</v>
      </c>
      <c r="N19" s="132">
        <f t="shared" si="4"/>
        <v>0</v>
      </c>
      <c r="O19" s="132">
        <f t="shared" si="5"/>
        <v>1000</v>
      </c>
      <c r="P19" s="131">
        <f t="shared" si="6"/>
        <v>500</v>
      </c>
    </row>
    <row r="20" spans="1:22" ht="15" thickBot="1">
      <c r="A20" s="116" t="s">
        <v>654</v>
      </c>
      <c r="B20" s="136">
        <v>1</v>
      </c>
      <c r="C20" s="136">
        <v>0</v>
      </c>
      <c r="D20" s="136">
        <v>0</v>
      </c>
      <c r="E20" s="136">
        <v>0</v>
      </c>
      <c r="F20" s="136">
        <v>1</v>
      </c>
      <c r="G20" s="136">
        <v>0</v>
      </c>
      <c r="H20" s="136">
        <v>2</v>
      </c>
      <c r="I20" s="136">
        <v>1</v>
      </c>
      <c r="J20">
        <f t="shared" si="0"/>
        <v>0</v>
      </c>
      <c r="K20">
        <f t="shared" si="1"/>
        <v>0</v>
      </c>
      <c r="L20">
        <f t="shared" si="2"/>
        <v>0</v>
      </c>
      <c r="M20">
        <f t="shared" si="3"/>
        <v>100</v>
      </c>
      <c r="N20">
        <f t="shared" si="4"/>
        <v>0</v>
      </c>
      <c r="O20">
        <f t="shared" si="5"/>
        <v>200</v>
      </c>
      <c r="P20">
        <f t="shared" si="6"/>
        <v>100</v>
      </c>
      <c r="Q20" s="130">
        <f t="shared" ref="Q20:V24" si="11">J20/$B20</f>
        <v>0</v>
      </c>
      <c r="R20" s="129">
        <f t="shared" si="11"/>
        <v>0</v>
      </c>
      <c r="S20" s="129">
        <f t="shared" si="11"/>
        <v>0</v>
      </c>
      <c r="T20" s="129">
        <f t="shared" si="11"/>
        <v>100</v>
      </c>
      <c r="U20" s="129">
        <f t="shared" si="11"/>
        <v>0</v>
      </c>
      <c r="V20" s="123">
        <f t="shared" si="11"/>
        <v>200</v>
      </c>
    </row>
    <row r="21" spans="1:22" ht="15" thickBot="1">
      <c r="A21" s="116" t="s">
        <v>529</v>
      </c>
      <c r="B21" s="136">
        <v>10</v>
      </c>
      <c r="C21" s="136">
        <v>1</v>
      </c>
      <c r="D21" s="136">
        <v>0</v>
      </c>
      <c r="E21" s="136">
        <v>1</v>
      </c>
      <c r="F21" s="136">
        <v>1</v>
      </c>
      <c r="G21" s="136">
        <v>0</v>
      </c>
      <c r="H21" s="136">
        <v>3</v>
      </c>
      <c r="I21" s="136">
        <v>1</v>
      </c>
      <c r="J21">
        <f t="shared" si="0"/>
        <v>100</v>
      </c>
      <c r="K21">
        <f t="shared" si="1"/>
        <v>0</v>
      </c>
      <c r="L21">
        <f t="shared" si="2"/>
        <v>100</v>
      </c>
      <c r="M21">
        <f t="shared" si="3"/>
        <v>100</v>
      </c>
      <c r="N21">
        <f t="shared" si="4"/>
        <v>0</v>
      </c>
      <c r="O21">
        <f t="shared" si="5"/>
        <v>300</v>
      </c>
      <c r="P21">
        <f t="shared" si="6"/>
        <v>100</v>
      </c>
      <c r="Q21" s="128">
        <f t="shared" si="11"/>
        <v>10</v>
      </c>
      <c r="R21">
        <f t="shared" si="11"/>
        <v>0</v>
      </c>
      <c r="S21">
        <f t="shared" si="11"/>
        <v>10</v>
      </c>
      <c r="T21">
        <f t="shared" si="11"/>
        <v>10</v>
      </c>
      <c r="U21">
        <f t="shared" si="11"/>
        <v>0</v>
      </c>
      <c r="V21" s="127">
        <f t="shared" si="11"/>
        <v>30</v>
      </c>
    </row>
    <row r="22" spans="1:22" ht="15" thickBot="1">
      <c r="A22" s="116" t="s">
        <v>528</v>
      </c>
      <c r="B22" s="136">
        <v>50</v>
      </c>
      <c r="C22" s="136">
        <v>1</v>
      </c>
      <c r="D22" s="136">
        <v>1</v>
      </c>
      <c r="E22" s="136">
        <v>2</v>
      </c>
      <c r="F22" s="136">
        <v>3</v>
      </c>
      <c r="G22" s="136">
        <v>0</v>
      </c>
      <c r="H22" s="136">
        <v>4</v>
      </c>
      <c r="I22" s="136">
        <v>1</v>
      </c>
      <c r="J22">
        <f t="shared" si="0"/>
        <v>100</v>
      </c>
      <c r="K22">
        <f t="shared" si="1"/>
        <v>100</v>
      </c>
      <c r="L22">
        <f t="shared" si="2"/>
        <v>200</v>
      </c>
      <c r="M22">
        <f t="shared" si="3"/>
        <v>300</v>
      </c>
      <c r="N22">
        <f t="shared" si="4"/>
        <v>0</v>
      </c>
      <c r="O22">
        <f t="shared" si="5"/>
        <v>400</v>
      </c>
      <c r="P22">
        <f t="shared" si="6"/>
        <v>100</v>
      </c>
      <c r="Q22" s="128">
        <f t="shared" si="11"/>
        <v>2</v>
      </c>
      <c r="R22">
        <f t="shared" si="11"/>
        <v>2</v>
      </c>
      <c r="S22">
        <f t="shared" si="11"/>
        <v>4</v>
      </c>
      <c r="T22">
        <f t="shared" si="11"/>
        <v>6</v>
      </c>
      <c r="U22">
        <f t="shared" si="11"/>
        <v>0</v>
      </c>
      <c r="V22" s="127">
        <f t="shared" si="11"/>
        <v>8</v>
      </c>
    </row>
    <row r="23" spans="1:22" ht="15" thickBot="1">
      <c r="A23" s="116" t="s">
        <v>527</v>
      </c>
      <c r="B23" s="136">
        <v>100</v>
      </c>
      <c r="C23" s="136">
        <v>2</v>
      </c>
      <c r="D23" s="136">
        <v>1</v>
      </c>
      <c r="E23" s="136">
        <v>1</v>
      </c>
      <c r="F23" s="136">
        <v>0</v>
      </c>
      <c r="G23" s="136">
        <v>0</v>
      </c>
      <c r="H23" s="136">
        <v>0</v>
      </c>
      <c r="I23" s="136">
        <v>1</v>
      </c>
      <c r="J23">
        <f t="shared" si="0"/>
        <v>200</v>
      </c>
      <c r="K23">
        <f t="shared" si="1"/>
        <v>100</v>
      </c>
      <c r="L23">
        <f t="shared" si="2"/>
        <v>100</v>
      </c>
      <c r="M23">
        <f t="shared" si="3"/>
        <v>0</v>
      </c>
      <c r="N23">
        <f t="shared" si="4"/>
        <v>0</v>
      </c>
      <c r="O23">
        <f t="shared" si="5"/>
        <v>0</v>
      </c>
      <c r="P23">
        <f t="shared" si="6"/>
        <v>100</v>
      </c>
      <c r="Q23" s="128">
        <f t="shared" si="11"/>
        <v>2</v>
      </c>
      <c r="R23">
        <f t="shared" si="11"/>
        <v>1</v>
      </c>
      <c r="S23">
        <f t="shared" si="11"/>
        <v>1</v>
      </c>
      <c r="T23">
        <f t="shared" si="11"/>
        <v>0</v>
      </c>
      <c r="U23">
        <f t="shared" si="11"/>
        <v>0</v>
      </c>
      <c r="V23" s="127">
        <f t="shared" si="11"/>
        <v>0</v>
      </c>
    </row>
    <row r="24" spans="1:22" ht="15" thickBot="1">
      <c r="A24" s="115" t="s">
        <v>526</v>
      </c>
      <c r="B24" s="135">
        <v>150</v>
      </c>
      <c r="C24" s="135">
        <v>1</v>
      </c>
      <c r="D24" s="135">
        <v>1</v>
      </c>
      <c r="E24" s="135">
        <v>1</v>
      </c>
      <c r="F24" s="135">
        <v>0</v>
      </c>
      <c r="G24" s="135">
        <v>0</v>
      </c>
      <c r="H24" s="135">
        <v>1</v>
      </c>
      <c r="I24" s="135">
        <v>1</v>
      </c>
      <c r="J24">
        <f t="shared" si="0"/>
        <v>100</v>
      </c>
      <c r="K24">
        <f t="shared" si="1"/>
        <v>100</v>
      </c>
      <c r="L24">
        <f t="shared" si="2"/>
        <v>100</v>
      </c>
      <c r="M24">
        <f t="shared" si="3"/>
        <v>0</v>
      </c>
      <c r="N24">
        <f t="shared" si="4"/>
        <v>0</v>
      </c>
      <c r="O24">
        <f t="shared" si="5"/>
        <v>100</v>
      </c>
      <c r="P24">
        <f t="shared" si="6"/>
        <v>100</v>
      </c>
      <c r="Q24" s="125">
        <f t="shared" si="11"/>
        <v>0.66666666666666663</v>
      </c>
      <c r="R24" s="121">
        <f t="shared" si="11"/>
        <v>0.66666666666666663</v>
      </c>
      <c r="S24" s="121">
        <f t="shared" si="11"/>
        <v>0.66666666666666663</v>
      </c>
      <c r="T24" s="121">
        <f t="shared" si="11"/>
        <v>0</v>
      </c>
      <c r="U24" s="121">
        <f t="shared" si="11"/>
        <v>0</v>
      </c>
      <c r="V24" s="124">
        <f t="shared" si="11"/>
        <v>0.66666666666666663</v>
      </c>
    </row>
    <row r="25" spans="1:22" ht="15.6" thickTop="1" thickBot="1">
      <c r="A25" s="114" t="s">
        <v>653</v>
      </c>
      <c r="B25" s="126"/>
      <c r="C25" s="134">
        <v>3</v>
      </c>
      <c r="D25" s="134">
        <v>2</v>
      </c>
      <c r="E25" s="134">
        <v>5</v>
      </c>
      <c r="F25" s="134">
        <v>2</v>
      </c>
      <c r="G25" s="134">
        <v>1</v>
      </c>
      <c r="H25" s="134">
        <v>5</v>
      </c>
      <c r="I25" s="134">
        <v>5</v>
      </c>
      <c r="J25" s="133">
        <f t="shared" si="0"/>
        <v>300</v>
      </c>
      <c r="K25" s="132">
        <f t="shared" si="1"/>
        <v>200</v>
      </c>
      <c r="L25" s="132">
        <f t="shared" si="2"/>
        <v>500</v>
      </c>
      <c r="M25" s="132">
        <f t="shared" si="3"/>
        <v>200</v>
      </c>
      <c r="N25" s="132">
        <f t="shared" si="4"/>
        <v>100</v>
      </c>
      <c r="O25" s="132">
        <f t="shared" si="5"/>
        <v>500</v>
      </c>
      <c r="P25" s="131">
        <f t="shared" si="6"/>
        <v>500</v>
      </c>
    </row>
    <row r="26" spans="1:22" ht="15" thickBot="1">
      <c r="A26" s="113" t="s">
        <v>652</v>
      </c>
      <c r="B26" s="126">
        <v>5</v>
      </c>
      <c r="C26" s="126">
        <v>1</v>
      </c>
      <c r="D26" s="126">
        <v>1</v>
      </c>
      <c r="E26" s="126">
        <v>1</v>
      </c>
      <c r="F26" s="126">
        <v>1</v>
      </c>
      <c r="G26" s="126">
        <v>0</v>
      </c>
      <c r="H26" s="126">
        <v>1</v>
      </c>
      <c r="I26" s="126">
        <v>3</v>
      </c>
      <c r="J26">
        <f t="shared" si="0"/>
        <v>100</v>
      </c>
      <c r="K26">
        <f t="shared" si="1"/>
        <v>100</v>
      </c>
      <c r="L26">
        <f t="shared" si="2"/>
        <v>100</v>
      </c>
      <c r="M26">
        <f t="shared" si="3"/>
        <v>100</v>
      </c>
      <c r="N26">
        <f t="shared" si="4"/>
        <v>0</v>
      </c>
      <c r="O26">
        <f t="shared" si="5"/>
        <v>100</v>
      </c>
      <c r="P26">
        <f t="shared" si="6"/>
        <v>300</v>
      </c>
      <c r="Q26" s="130">
        <f t="shared" ref="Q26:V28" si="12">J26/$B26</f>
        <v>20</v>
      </c>
      <c r="R26" s="129">
        <f t="shared" si="12"/>
        <v>20</v>
      </c>
      <c r="S26" s="129">
        <f t="shared" si="12"/>
        <v>20</v>
      </c>
      <c r="T26" s="129">
        <f t="shared" si="12"/>
        <v>20</v>
      </c>
      <c r="U26" s="129">
        <f t="shared" si="12"/>
        <v>0</v>
      </c>
      <c r="V26" s="123">
        <f t="shared" si="12"/>
        <v>20</v>
      </c>
    </row>
    <row r="27" spans="1:22" ht="15" thickBot="1">
      <c r="A27" s="113" t="s">
        <v>651</v>
      </c>
      <c r="B27" s="126">
        <v>10</v>
      </c>
      <c r="C27" s="126">
        <v>1</v>
      </c>
      <c r="D27" s="126">
        <v>1</v>
      </c>
      <c r="E27" s="126">
        <v>1</v>
      </c>
      <c r="F27" s="126">
        <v>1</v>
      </c>
      <c r="G27" s="126">
        <v>0</v>
      </c>
      <c r="H27" s="126">
        <v>1</v>
      </c>
      <c r="I27" s="126">
        <v>1</v>
      </c>
      <c r="J27">
        <f t="shared" si="0"/>
        <v>100</v>
      </c>
      <c r="K27">
        <f t="shared" si="1"/>
        <v>100</v>
      </c>
      <c r="L27">
        <f t="shared" si="2"/>
        <v>100</v>
      </c>
      <c r="M27">
        <f t="shared" si="3"/>
        <v>100</v>
      </c>
      <c r="N27">
        <f t="shared" si="4"/>
        <v>0</v>
      </c>
      <c r="O27">
        <f t="shared" si="5"/>
        <v>100</v>
      </c>
      <c r="P27">
        <f t="shared" si="6"/>
        <v>100</v>
      </c>
      <c r="Q27" s="128">
        <f t="shared" si="12"/>
        <v>10</v>
      </c>
      <c r="R27">
        <f t="shared" si="12"/>
        <v>10</v>
      </c>
      <c r="S27">
        <f t="shared" si="12"/>
        <v>10</v>
      </c>
      <c r="T27">
        <f t="shared" si="12"/>
        <v>10</v>
      </c>
      <c r="U27">
        <f t="shared" si="12"/>
        <v>0</v>
      </c>
      <c r="V27" s="127">
        <f t="shared" si="12"/>
        <v>10</v>
      </c>
    </row>
    <row r="28" spans="1:22" ht="15" thickBot="1">
      <c r="A28" s="113" t="s">
        <v>650</v>
      </c>
      <c r="B28" s="126">
        <v>5</v>
      </c>
      <c r="C28" s="126">
        <v>1</v>
      </c>
      <c r="D28" s="126">
        <v>0</v>
      </c>
      <c r="E28" s="126">
        <v>3</v>
      </c>
      <c r="F28" s="126">
        <v>0</v>
      </c>
      <c r="G28" s="126">
        <v>1</v>
      </c>
      <c r="H28" s="126">
        <v>3</v>
      </c>
      <c r="I28" s="126">
        <v>1</v>
      </c>
      <c r="J28">
        <f t="shared" si="0"/>
        <v>100</v>
      </c>
      <c r="K28">
        <f t="shared" si="1"/>
        <v>0</v>
      </c>
      <c r="L28">
        <f t="shared" si="2"/>
        <v>300</v>
      </c>
      <c r="M28">
        <f t="shared" si="3"/>
        <v>0</v>
      </c>
      <c r="N28">
        <f t="shared" si="4"/>
        <v>100</v>
      </c>
      <c r="O28">
        <f t="shared" si="5"/>
        <v>300</v>
      </c>
      <c r="P28">
        <f t="shared" si="6"/>
        <v>100</v>
      </c>
      <c r="Q28" s="125">
        <f t="shared" si="12"/>
        <v>20</v>
      </c>
      <c r="R28" s="121">
        <f t="shared" si="12"/>
        <v>0</v>
      </c>
      <c r="S28" s="121">
        <f t="shared" si="12"/>
        <v>60</v>
      </c>
      <c r="T28" s="121">
        <f t="shared" si="12"/>
        <v>0</v>
      </c>
      <c r="U28" s="121">
        <f t="shared" si="12"/>
        <v>20</v>
      </c>
      <c r="V28" s="124">
        <f t="shared" si="12"/>
        <v>60</v>
      </c>
    </row>
  </sheetData>
  <mergeCells count="3">
    <mergeCell ref="A1:A2"/>
    <mergeCell ref="B1:B2"/>
    <mergeCell ref="I1:I2"/>
  </mergeCells>
  <pageMargins left="0.7" right="0.7" top="0.75" bottom="0.75" header="0.3" footer="0.3"/>
  <pageSetup paperSize="9" orientation="portrait" horizontalDpi="300" verticalDpi="300" r:id="rId1"/>
  <headerFooter>
    <oddFooter>&amp;C_x000D_&amp;1#&amp;"Arial"&amp;9&amp;K000000 Internal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3"/>
  <sheetViews>
    <sheetView topLeftCell="A52" workbookViewId="0">
      <selection activeCell="A41" sqref="A41:L82"/>
    </sheetView>
  </sheetViews>
  <sheetFormatPr baseColWidth="10" defaultColWidth="9.109375" defaultRowHeight="14.25" customHeight="1"/>
  <cols>
    <col min="1" max="1" width="11.6640625" customWidth="1"/>
    <col min="2" max="2" width="6.44140625" style="110" bestFit="1" customWidth="1"/>
    <col min="3" max="3" width="5.77734375" style="110" customWidth="1"/>
    <col min="4" max="4" width="7.6640625" style="110" bestFit="1" customWidth="1"/>
    <col min="5" max="5" width="5.6640625" style="110" customWidth="1"/>
    <col min="6" max="6" width="5.6640625" style="110" bestFit="1" customWidth="1"/>
    <col min="7" max="7" width="6.109375" style="110" customWidth="1"/>
    <col min="8" max="8" width="4.77734375" style="110" bestFit="1" customWidth="1"/>
    <col min="9" max="9" width="6.5546875" style="110" customWidth="1"/>
    <col min="10" max="10" width="6.6640625" style="110" bestFit="1" customWidth="1"/>
    <col min="11" max="11" width="6.33203125" style="110" customWidth="1"/>
    <col min="12" max="12" width="6.44140625" bestFit="1" customWidth="1"/>
  </cols>
  <sheetData>
    <row r="1" spans="1:4" ht="11.25" hidden="1" customHeight="1">
      <c r="A1">
        <v>1</v>
      </c>
      <c r="B1" s="111" t="s">
        <v>561</v>
      </c>
      <c r="C1" s="111"/>
      <c r="D1" s="110" t="s">
        <v>5247</v>
      </c>
    </row>
    <row r="2" spans="1:4" ht="11.25" hidden="1" customHeight="1">
      <c r="A2">
        <v>5</v>
      </c>
      <c r="B2" s="111" t="s">
        <v>561</v>
      </c>
      <c r="C2" s="111"/>
      <c r="D2" s="110" t="s">
        <v>5247</v>
      </c>
    </row>
    <row r="3" spans="1:4" ht="11.25" hidden="1" customHeight="1">
      <c r="A3">
        <v>9</v>
      </c>
      <c r="B3" s="111" t="s">
        <v>561</v>
      </c>
      <c r="C3" s="111"/>
      <c r="D3" s="110" t="s">
        <v>5247</v>
      </c>
    </row>
    <row r="4" spans="1:4" ht="11.25" hidden="1" customHeight="1">
      <c r="A4">
        <v>13</v>
      </c>
      <c r="B4" s="111" t="s">
        <v>561</v>
      </c>
      <c r="C4" s="111"/>
      <c r="D4" s="110" t="s">
        <v>5247</v>
      </c>
    </row>
    <row r="5" spans="1:4" ht="11.25" hidden="1" customHeight="1">
      <c r="A5">
        <v>17</v>
      </c>
      <c r="B5" s="111" t="s">
        <v>561</v>
      </c>
      <c r="C5" s="111"/>
      <c r="D5" s="110" t="s">
        <v>5247</v>
      </c>
    </row>
    <row r="6" spans="1:4" ht="11.25" hidden="1" customHeight="1">
      <c r="A6">
        <v>21</v>
      </c>
      <c r="B6" s="111" t="s">
        <v>561</v>
      </c>
      <c r="C6" s="111"/>
      <c r="D6" s="110" t="s">
        <v>5246</v>
      </c>
    </row>
    <row r="7" spans="1:4" ht="11.25" hidden="1" customHeight="1">
      <c r="A7">
        <v>25</v>
      </c>
      <c r="B7" s="111" t="s">
        <v>561</v>
      </c>
      <c r="C7" s="111"/>
      <c r="D7" s="110" t="s">
        <v>5246</v>
      </c>
    </row>
    <row r="8" spans="1:4" ht="11.25" hidden="1" customHeight="1">
      <c r="A8">
        <v>29</v>
      </c>
      <c r="B8" s="111" t="s">
        <v>561</v>
      </c>
      <c r="C8" s="111"/>
      <c r="D8" s="110" t="s">
        <v>5246</v>
      </c>
    </row>
    <row r="9" spans="1:4" ht="11.25" hidden="1" customHeight="1">
      <c r="A9">
        <v>33</v>
      </c>
      <c r="B9" s="111" t="s">
        <v>561</v>
      </c>
      <c r="C9" s="111"/>
      <c r="D9" s="110" t="s">
        <v>5246</v>
      </c>
    </row>
    <row r="10" spans="1:4" ht="11.25" hidden="1" customHeight="1">
      <c r="A10">
        <v>37</v>
      </c>
      <c r="B10" s="111" t="s">
        <v>561</v>
      </c>
      <c r="C10" s="111"/>
      <c r="D10" s="110" t="s">
        <v>5246</v>
      </c>
    </row>
    <row r="11" spans="1:4" ht="11.25" hidden="1" customHeight="1">
      <c r="A11">
        <v>40</v>
      </c>
      <c r="B11" s="111" t="s">
        <v>561</v>
      </c>
      <c r="C11" s="111"/>
      <c r="D11" s="110" t="s">
        <v>5247</v>
      </c>
    </row>
    <row r="12" spans="1:4" ht="11.25" hidden="1" customHeight="1">
      <c r="A12">
        <v>43</v>
      </c>
      <c r="B12" s="111" t="s">
        <v>561</v>
      </c>
      <c r="C12" s="111"/>
      <c r="D12" s="110" t="s">
        <v>5247</v>
      </c>
    </row>
    <row r="13" spans="1:4" ht="11.25" hidden="1" customHeight="1">
      <c r="A13">
        <v>46</v>
      </c>
      <c r="B13" s="111" t="s">
        <v>561</v>
      </c>
      <c r="C13" s="111"/>
      <c r="D13" s="110" t="s">
        <v>5247</v>
      </c>
    </row>
    <row r="14" spans="1:4" ht="11.25" hidden="1" customHeight="1">
      <c r="A14">
        <v>49</v>
      </c>
      <c r="B14" s="111" t="s">
        <v>561</v>
      </c>
      <c r="C14" s="111"/>
      <c r="D14" s="110" t="s">
        <v>5247</v>
      </c>
    </row>
    <row r="15" spans="1:4" ht="11.25" hidden="1" customHeight="1">
      <c r="A15">
        <v>52</v>
      </c>
      <c r="B15" s="111" t="s">
        <v>561</v>
      </c>
      <c r="C15" s="111"/>
      <c r="D15" s="110" t="s">
        <v>5247</v>
      </c>
    </row>
    <row r="16" spans="1:4" ht="11.25" hidden="1" customHeight="1">
      <c r="A16">
        <v>55</v>
      </c>
      <c r="B16" s="111" t="s">
        <v>561</v>
      </c>
      <c r="C16" s="111"/>
      <c r="D16" s="110" t="s">
        <v>5246</v>
      </c>
    </row>
    <row r="17" spans="1:4" ht="11.25" hidden="1" customHeight="1">
      <c r="A17">
        <v>58</v>
      </c>
      <c r="B17" s="111" t="s">
        <v>561</v>
      </c>
      <c r="C17" s="111"/>
      <c r="D17" s="110" t="s">
        <v>5246</v>
      </c>
    </row>
    <row r="18" spans="1:4" ht="11.25" hidden="1" customHeight="1">
      <c r="A18">
        <v>61</v>
      </c>
      <c r="B18" s="111" t="s">
        <v>561</v>
      </c>
      <c r="C18" s="111"/>
      <c r="D18" s="110" t="s">
        <v>5246</v>
      </c>
    </row>
    <row r="19" spans="1:4" ht="11.25" hidden="1" customHeight="1">
      <c r="A19">
        <v>64</v>
      </c>
      <c r="B19" s="111" t="s">
        <v>561</v>
      </c>
      <c r="C19" s="111"/>
      <c r="D19" s="110" t="s">
        <v>5246</v>
      </c>
    </row>
    <row r="20" spans="1:4" ht="11.25" hidden="1" customHeight="1">
      <c r="A20">
        <v>67</v>
      </c>
      <c r="B20" s="111" t="s">
        <v>561</v>
      </c>
      <c r="C20" s="111"/>
      <c r="D20" s="110" t="s">
        <v>5246</v>
      </c>
    </row>
    <row r="21" spans="1:4" ht="11.25" hidden="1" customHeight="1">
      <c r="A21">
        <v>70</v>
      </c>
      <c r="B21" s="1151" t="s">
        <v>137</v>
      </c>
      <c r="C21" s="111"/>
      <c r="D21" s="110" t="s">
        <v>5247</v>
      </c>
    </row>
    <row r="22" spans="1:4" ht="11.25" hidden="1" customHeight="1">
      <c r="A22">
        <v>72</v>
      </c>
      <c r="B22" s="1151" t="s">
        <v>137</v>
      </c>
      <c r="C22" s="111"/>
      <c r="D22" s="110" t="s">
        <v>5247</v>
      </c>
    </row>
    <row r="23" spans="1:4" ht="11.25" hidden="1" customHeight="1">
      <c r="A23">
        <v>74</v>
      </c>
      <c r="B23" s="1151" t="s">
        <v>137</v>
      </c>
      <c r="C23" s="111"/>
      <c r="D23" s="110" t="s">
        <v>5247</v>
      </c>
    </row>
    <row r="24" spans="1:4" ht="11.25" hidden="1" customHeight="1">
      <c r="A24">
        <v>76</v>
      </c>
      <c r="B24" s="1151" t="s">
        <v>137</v>
      </c>
      <c r="C24" s="111"/>
      <c r="D24" s="110" t="s">
        <v>5247</v>
      </c>
    </row>
    <row r="25" spans="1:4" ht="11.25" hidden="1" customHeight="1">
      <c r="A25">
        <v>78</v>
      </c>
      <c r="B25" s="1151" t="s">
        <v>137</v>
      </c>
      <c r="C25" s="111"/>
      <c r="D25" s="110" t="s">
        <v>5247</v>
      </c>
    </row>
    <row r="26" spans="1:4" ht="11.25" hidden="1" customHeight="1">
      <c r="A26">
        <v>80</v>
      </c>
      <c r="B26" s="1151" t="s">
        <v>166</v>
      </c>
      <c r="C26" s="111"/>
      <c r="D26" s="110" t="s">
        <v>5246</v>
      </c>
    </row>
    <row r="27" spans="1:4" ht="11.25" hidden="1" customHeight="1">
      <c r="A27">
        <v>82</v>
      </c>
      <c r="B27" s="1151" t="s">
        <v>166</v>
      </c>
      <c r="C27" s="111"/>
      <c r="D27" s="110" t="s">
        <v>5246</v>
      </c>
    </row>
    <row r="28" spans="1:4" ht="11.25" hidden="1" customHeight="1">
      <c r="A28">
        <v>84</v>
      </c>
      <c r="B28" s="1151" t="s">
        <v>166</v>
      </c>
      <c r="C28" s="111"/>
      <c r="D28" s="110" t="s">
        <v>5246</v>
      </c>
    </row>
    <row r="29" spans="1:4" ht="11.25" hidden="1" customHeight="1">
      <c r="A29">
        <v>86</v>
      </c>
      <c r="B29" s="1151" t="s">
        <v>166</v>
      </c>
      <c r="C29" s="111"/>
      <c r="D29" s="110" t="s">
        <v>5246</v>
      </c>
    </row>
    <row r="30" spans="1:4" ht="11.25" hidden="1" customHeight="1">
      <c r="A30">
        <v>88</v>
      </c>
      <c r="B30" s="1151" t="s">
        <v>166</v>
      </c>
      <c r="C30" s="111"/>
      <c r="D30" s="110" t="s">
        <v>5246</v>
      </c>
    </row>
    <row r="31" spans="1:4" ht="11.25" hidden="1" customHeight="1">
      <c r="A31">
        <v>90</v>
      </c>
      <c r="B31" s="1151" t="s">
        <v>130</v>
      </c>
      <c r="C31" s="111"/>
      <c r="D31" s="110" t="s">
        <v>189</v>
      </c>
    </row>
    <row r="32" spans="1:4" ht="11.25" hidden="1" customHeight="1">
      <c r="A32">
        <v>91</v>
      </c>
      <c r="B32" s="1151" t="s">
        <v>130</v>
      </c>
      <c r="C32" s="111"/>
      <c r="D32" s="110" t="s">
        <v>189</v>
      </c>
    </row>
    <row r="33" spans="1:12" ht="11.25" hidden="1" customHeight="1">
      <c r="A33">
        <v>92</v>
      </c>
      <c r="B33" s="1151" t="s">
        <v>130</v>
      </c>
      <c r="C33" s="111"/>
      <c r="D33" s="110" t="s">
        <v>189</v>
      </c>
    </row>
    <row r="34" spans="1:12" ht="11.25" hidden="1" customHeight="1">
      <c r="A34">
        <v>93</v>
      </c>
      <c r="B34" s="1151" t="s">
        <v>130</v>
      </c>
      <c r="C34" s="111"/>
      <c r="D34" s="110" t="s">
        <v>189</v>
      </c>
    </row>
    <row r="35" spans="1:12" ht="11.25" hidden="1" customHeight="1">
      <c r="A35">
        <v>94</v>
      </c>
      <c r="B35" s="1151" t="s">
        <v>173</v>
      </c>
      <c r="C35" s="111"/>
      <c r="D35" s="110" t="s">
        <v>5245</v>
      </c>
    </row>
    <row r="36" spans="1:12" ht="11.25" hidden="1" customHeight="1">
      <c r="A36">
        <v>95</v>
      </c>
      <c r="B36" s="1151" t="s">
        <v>173</v>
      </c>
      <c r="C36" s="111"/>
      <c r="D36" s="110" t="s">
        <v>5245</v>
      </c>
    </row>
    <row r="37" spans="1:12" ht="11.25" hidden="1" customHeight="1">
      <c r="A37">
        <v>96</v>
      </c>
      <c r="B37" s="1151" t="s">
        <v>173</v>
      </c>
      <c r="C37" s="111"/>
      <c r="D37" s="110" t="s">
        <v>5245</v>
      </c>
    </row>
    <row r="38" spans="1:12" ht="11.25" hidden="1" customHeight="1">
      <c r="A38">
        <v>97</v>
      </c>
      <c r="B38" s="1151" t="s">
        <v>173</v>
      </c>
      <c r="C38" s="111"/>
      <c r="D38" s="110" t="s">
        <v>5245</v>
      </c>
    </row>
    <row r="39" spans="1:12" ht="11.25" hidden="1" customHeight="1">
      <c r="A39">
        <v>98</v>
      </c>
      <c r="B39" s="1151" t="s">
        <v>571</v>
      </c>
      <c r="C39" s="111"/>
      <c r="D39" s="110" t="s">
        <v>968</v>
      </c>
    </row>
    <row r="40" spans="1:12" ht="11.25" hidden="1" customHeight="1">
      <c r="A40">
        <v>99</v>
      </c>
      <c r="B40" s="1151" t="s">
        <v>648</v>
      </c>
      <c r="C40" s="111"/>
      <c r="D40" s="110" t="s">
        <v>773</v>
      </c>
    </row>
    <row r="41" spans="1:12" ht="12" customHeight="1">
      <c r="A41" s="1152"/>
      <c r="B41" s="1153" t="s">
        <v>211</v>
      </c>
      <c r="C41" s="1153"/>
      <c r="D41" s="1153" t="s">
        <v>5249</v>
      </c>
      <c r="E41" s="1153"/>
      <c r="F41" s="1153" t="s">
        <v>5248</v>
      </c>
      <c r="G41" s="1153"/>
      <c r="H41" s="1153" t="s">
        <v>2137</v>
      </c>
      <c r="I41" s="1153"/>
      <c r="J41" s="1153" t="s">
        <v>548</v>
      </c>
      <c r="K41" s="1153"/>
      <c r="L41" s="1153" t="s">
        <v>649</v>
      </c>
    </row>
    <row r="42" spans="1:12" ht="12" customHeight="1" thickBot="1">
      <c r="A42" s="1152" t="str">
        <f ca="1">LOOKUP(RANDBETWEEN(1,100),DEvenement,lieu)</f>
        <v>bandits</v>
      </c>
      <c r="B42" s="1154" t="str">
        <f t="shared" ref="B42:L60" ca="1" si="0">LOOKUP(RANDBETWEEN(1,100),d100s,plusmoins)</f>
        <v>+</v>
      </c>
      <c r="C42" s="1154" t="str">
        <f ca="1">IF(B42&lt;&gt;" ",LOOKUP(RANDBETWEEN(1,100),d100s,freq),"")</f>
        <v>régulier</v>
      </c>
      <c r="D42" s="1154" t="str">
        <f t="shared" ca="1" si="0"/>
        <v>-</v>
      </c>
      <c r="E42" s="1154" t="str">
        <f ca="1">IF(D42&lt;&gt;" ",LOOKUP(RANDBETWEEN(1,100),d100s,freq),"")</f>
        <v>peu</v>
      </c>
      <c r="F42" s="1154" t="str">
        <f t="shared" ca="1" si="0"/>
        <v>+</v>
      </c>
      <c r="G42" s="1154" t="str">
        <f ca="1">IF(F42&lt;&gt;" ",LOOKUP(RANDBETWEEN(1,100),d100s,freq),"")</f>
        <v>peu</v>
      </c>
      <c r="H42" s="1154" t="str">
        <f t="shared" ca="1" si="0"/>
        <v xml:space="preserve"> </v>
      </c>
      <c r="I42" s="1154" t="str">
        <f ca="1">IF(H42&lt;&gt;" ",LOOKUP(RANDBETWEEN(1,100),d100s,freq),"")</f>
        <v/>
      </c>
      <c r="J42" s="1154" t="str">
        <f t="shared" ca="1" si="0"/>
        <v xml:space="preserve"> </v>
      </c>
      <c r="K42" s="1154" t="str">
        <f ca="1">IF(J42&lt;&gt;" ",LOOKUP(RANDBETWEEN(1,100),d100s,freq),"")</f>
        <v/>
      </c>
      <c r="L42" s="1154" t="str">
        <f t="shared" ca="1" si="0"/>
        <v xml:space="preserve"> </v>
      </c>
    </row>
    <row r="43" spans="1:12" ht="12" customHeight="1" thickBot="1">
      <c r="A43" s="1710"/>
      <c r="B43" s="1711"/>
      <c r="C43" s="1711"/>
      <c r="D43" s="1711"/>
      <c r="E43" s="1711"/>
      <c r="F43" s="1711"/>
      <c r="G43" s="1711"/>
      <c r="H43" s="1711"/>
      <c r="I43" s="1711"/>
      <c r="J43" s="1711"/>
      <c r="K43" s="1711"/>
      <c r="L43" s="1712"/>
    </row>
    <row r="44" spans="1:12" ht="12" customHeight="1" thickBot="1">
      <c r="A44" s="1152" t="str">
        <f ca="1">LOOKUP(RANDBETWEEN(1,100),DEvenement,lieu)</f>
        <v>intrigue locale</v>
      </c>
      <c r="B44" s="1155" t="str">
        <f t="shared" ca="1" si="0"/>
        <v xml:space="preserve"> </v>
      </c>
      <c r="C44" s="1155" t="str">
        <f ca="1">IF(B44&lt;&gt;" ",LOOKUP(RANDBETWEEN(1,100),d100s,freq),"")</f>
        <v/>
      </c>
      <c r="D44" s="1155" t="str">
        <f t="shared" ca="1" si="0"/>
        <v xml:space="preserve"> </v>
      </c>
      <c r="E44" s="1155" t="str">
        <f ca="1">IF(D44&lt;&gt;" ",LOOKUP(RANDBETWEEN(1,100),d100s,freq),"")</f>
        <v/>
      </c>
      <c r="F44" s="1155" t="str">
        <f t="shared" ca="1" si="0"/>
        <v xml:space="preserve"> </v>
      </c>
      <c r="G44" s="1155" t="str">
        <f ca="1">IF(F44&lt;&gt;" ",LOOKUP(RANDBETWEEN(1,100),d100s,freq),"")</f>
        <v/>
      </c>
      <c r="H44" s="1155" t="str">
        <f t="shared" ca="1" si="0"/>
        <v xml:space="preserve"> </v>
      </c>
      <c r="I44" s="1155" t="str">
        <f ca="1">IF(H44&lt;&gt;" ",LOOKUP(RANDBETWEEN(1,100),d100s,freq),"")</f>
        <v/>
      </c>
      <c r="J44" s="1155" t="str">
        <f t="shared" ca="1" si="0"/>
        <v xml:space="preserve"> </v>
      </c>
      <c r="K44" s="1155" t="str">
        <f ca="1">IF(J44&lt;&gt;" ",LOOKUP(RANDBETWEEN(1,100),d100s,freq),"")</f>
        <v/>
      </c>
      <c r="L44" s="1155" t="str">
        <f t="shared" ca="1" si="0"/>
        <v xml:space="preserve"> </v>
      </c>
    </row>
    <row r="45" spans="1:12" ht="12" customHeight="1" thickBot="1">
      <c r="A45" s="1710"/>
      <c r="B45" s="1711"/>
      <c r="C45" s="1711"/>
      <c r="D45" s="1711"/>
      <c r="E45" s="1711"/>
      <c r="F45" s="1711"/>
      <c r="G45" s="1711"/>
      <c r="H45" s="1711"/>
      <c r="I45" s="1711"/>
      <c r="J45" s="1711"/>
      <c r="K45" s="1711"/>
      <c r="L45" s="1712"/>
    </row>
    <row r="46" spans="1:12" ht="12" customHeight="1" thickBot="1">
      <c r="A46" s="1152" t="str">
        <f ca="1">LOOKUP(RANDBETWEEN(1,100),DEvenement,lieu)</f>
        <v>Triple³</v>
      </c>
      <c r="B46" s="1155" t="str">
        <f t="shared" ca="1" si="0"/>
        <v>+</v>
      </c>
      <c r="C46" s="1155" t="str">
        <f ca="1">IF(B46&lt;&gt;" ",LOOKUP(RANDBETWEEN(1,100),d100s,freq),"")</f>
        <v>peu</v>
      </c>
      <c r="D46" s="1155" t="str">
        <f t="shared" ca="1" si="0"/>
        <v xml:space="preserve"> </v>
      </c>
      <c r="E46" s="1155" t="str">
        <f ca="1">IF(D46&lt;&gt;" ",LOOKUP(RANDBETWEEN(1,100),d100s,freq),"")</f>
        <v/>
      </c>
      <c r="F46" s="1155" t="str">
        <f t="shared" ca="1" si="0"/>
        <v xml:space="preserve"> </v>
      </c>
      <c r="G46" s="1155" t="str">
        <f ca="1">IF(F46&lt;&gt;" ",LOOKUP(RANDBETWEEN(1,100),d100s,freq),"")</f>
        <v/>
      </c>
      <c r="H46" s="1155" t="str">
        <f t="shared" ca="1" si="0"/>
        <v xml:space="preserve"> </v>
      </c>
      <c r="I46" s="1155" t="str">
        <f ca="1">IF(H46&lt;&gt;" ",LOOKUP(RANDBETWEEN(1,100),d100s,freq),"")</f>
        <v/>
      </c>
      <c r="J46" s="1155" t="str">
        <f t="shared" ca="1" si="0"/>
        <v>-</v>
      </c>
      <c r="K46" s="1155" t="str">
        <f ca="1">IF(J46&lt;&gt;" ",LOOKUP(RANDBETWEEN(1,100),d100s,freq),"")</f>
        <v>rare</v>
      </c>
      <c r="L46" s="1155" t="str">
        <f t="shared" ca="1" si="0"/>
        <v>- - -</v>
      </c>
    </row>
    <row r="47" spans="1:12" ht="12" customHeight="1" thickBot="1">
      <c r="A47" s="1710"/>
      <c r="B47" s="1711"/>
      <c r="C47" s="1711"/>
      <c r="D47" s="1711"/>
      <c r="E47" s="1711"/>
      <c r="F47" s="1711"/>
      <c r="G47" s="1711"/>
      <c r="H47" s="1711"/>
      <c r="I47" s="1711"/>
      <c r="J47" s="1711"/>
      <c r="K47" s="1711"/>
      <c r="L47" s="1712"/>
    </row>
    <row r="48" spans="1:12" ht="12" customHeight="1" thickBot="1">
      <c r="A48" s="1152" t="str">
        <f ca="1">LOOKUP(RANDBETWEEN(1,100),DEvenement,lieu)</f>
        <v>feu majeur</v>
      </c>
      <c r="B48" s="1155" t="str">
        <f t="shared" ca="1" si="0"/>
        <v xml:space="preserve"> </v>
      </c>
      <c r="C48" s="1155" t="str">
        <f ca="1">IF(B48&lt;&gt;" ",LOOKUP(RANDBETWEEN(1,100),d100s,freq),"")</f>
        <v/>
      </c>
      <c r="D48" s="1155" t="str">
        <f t="shared" ca="1" si="0"/>
        <v xml:space="preserve"> </v>
      </c>
      <c r="E48" s="1155" t="str">
        <f ca="1">IF(D48&lt;&gt;" ",LOOKUP(RANDBETWEEN(1,100),d100s,freq),"")</f>
        <v/>
      </c>
      <c r="F48" s="1155" t="str">
        <f t="shared" ca="1" si="0"/>
        <v xml:space="preserve"> </v>
      </c>
      <c r="G48" s="1155" t="str">
        <f ca="1">IF(F48&lt;&gt;" ",LOOKUP(RANDBETWEEN(1,100),d100s,freq),"")</f>
        <v/>
      </c>
      <c r="H48" s="1155" t="str">
        <f t="shared" ca="1" si="0"/>
        <v xml:space="preserve"> </v>
      </c>
      <c r="I48" s="1155" t="str">
        <f ca="1">IF(H48&lt;&gt;" ",LOOKUP(RANDBETWEEN(1,100),d100s,freq),"")</f>
        <v/>
      </c>
      <c r="J48" s="1155" t="str">
        <f t="shared" ca="1" si="0"/>
        <v xml:space="preserve"> </v>
      </c>
      <c r="K48" s="1155" t="str">
        <f ca="1">IF(J48&lt;&gt;" ",LOOKUP(RANDBETWEEN(1,100),d100s,freq),"")</f>
        <v/>
      </c>
      <c r="L48" s="1155" t="str">
        <f t="shared" ca="1" si="0"/>
        <v>-</v>
      </c>
    </row>
    <row r="49" spans="1:12" ht="12" customHeight="1" thickBot="1">
      <c r="A49" s="1710"/>
      <c r="B49" s="1711"/>
      <c r="C49" s="1711"/>
      <c r="D49" s="1711"/>
      <c r="E49" s="1711"/>
      <c r="F49" s="1711"/>
      <c r="G49" s="1711"/>
      <c r="H49" s="1711"/>
      <c r="I49" s="1711"/>
      <c r="J49" s="1711"/>
      <c r="K49" s="1711"/>
      <c r="L49" s="1712"/>
    </row>
    <row r="50" spans="1:12" ht="12" customHeight="1" thickBot="1">
      <c r="A50" s="1152" t="str">
        <f ca="1">LOOKUP(RANDBETWEEN(1,100),DEvenement,lieu)</f>
        <v>Récolte</v>
      </c>
      <c r="B50" s="1155" t="str">
        <f t="shared" ca="1" si="0"/>
        <v xml:space="preserve"> </v>
      </c>
      <c r="C50" s="1155" t="str">
        <f ca="1">IF(B50&lt;&gt;" ",LOOKUP(RANDBETWEEN(1,100),d100s,freq),"")</f>
        <v/>
      </c>
      <c r="D50" s="1155" t="str">
        <f t="shared" ca="1" si="0"/>
        <v xml:space="preserve"> </v>
      </c>
      <c r="E50" s="1155" t="str">
        <f ca="1">IF(D50&lt;&gt;" ",LOOKUP(RANDBETWEEN(1,100),d100s,freq),"")</f>
        <v/>
      </c>
      <c r="F50" s="1155" t="str">
        <f t="shared" ca="1" si="0"/>
        <v>-</v>
      </c>
      <c r="G50" s="1155" t="str">
        <f ca="1">IF(F50&lt;&gt;" ",LOOKUP(RANDBETWEEN(1,100),d100s,freq),"")</f>
        <v>régulier</v>
      </c>
      <c r="H50" s="1155" t="str">
        <f t="shared" ca="1" si="0"/>
        <v xml:space="preserve"> </v>
      </c>
      <c r="I50" s="1155" t="str">
        <f ca="1">IF(H50&lt;&gt;" ",LOOKUP(RANDBETWEEN(1,100),d100s,freq),"")</f>
        <v/>
      </c>
      <c r="J50" s="1155" t="str">
        <f t="shared" ca="1" si="0"/>
        <v xml:space="preserve"> </v>
      </c>
      <c r="K50" s="1155" t="str">
        <f ca="1">IF(J50&lt;&gt;" ",LOOKUP(RANDBETWEEN(1,100),d100s,freq),"")</f>
        <v/>
      </c>
      <c r="L50" s="1155" t="str">
        <f t="shared" ca="1" si="0"/>
        <v xml:space="preserve"> </v>
      </c>
    </row>
    <row r="51" spans="1:12" ht="12" customHeight="1" thickBot="1">
      <c r="A51" s="1710"/>
      <c r="B51" s="1711"/>
      <c r="C51" s="1711"/>
      <c r="D51" s="1711"/>
      <c r="E51" s="1711"/>
      <c r="F51" s="1711"/>
      <c r="G51" s="1711"/>
      <c r="H51" s="1711"/>
      <c r="I51" s="1711"/>
      <c r="J51" s="1711"/>
      <c r="K51" s="1711"/>
      <c r="L51" s="1712"/>
    </row>
    <row r="52" spans="1:12" ht="12" customHeight="1" thickBot="1">
      <c r="A52" s="1152" t="str">
        <f ca="1">LOOKUP(RANDBETWEEN(1,100),DEvenement,lieu)</f>
        <v>feu mineur</v>
      </c>
      <c r="B52" s="1155" t="str">
        <f t="shared" ca="1" si="0"/>
        <v xml:space="preserve"> </v>
      </c>
      <c r="C52" s="1155" t="str">
        <f ca="1">IF(B52&lt;&gt;" ",LOOKUP(RANDBETWEEN(1,100),d100s,freq),"")</f>
        <v/>
      </c>
      <c r="D52" s="1155" t="str">
        <f t="shared" ca="1" si="0"/>
        <v>+++</v>
      </c>
      <c r="E52" s="1155" t="str">
        <f ca="1">IF(D52&lt;&gt;" ",LOOKUP(RANDBETWEEN(1,100),d100s,freq),"")</f>
        <v>peu</v>
      </c>
      <c r="F52" s="1155" t="str">
        <f t="shared" ca="1" si="0"/>
        <v xml:space="preserve"> </v>
      </c>
      <c r="G52" s="1155" t="str">
        <f ca="1">IF(F52&lt;&gt;" ",LOOKUP(RANDBETWEEN(1,100),d100s,freq),"")</f>
        <v/>
      </c>
      <c r="H52" s="1155" t="str">
        <f t="shared" ca="1" si="0"/>
        <v>-</v>
      </c>
      <c r="I52" s="1155" t="str">
        <f ca="1">IF(H52&lt;&gt;" ",LOOKUP(RANDBETWEEN(1,100),d100s,freq),"")</f>
        <v>peu</v>
      </c>
      <c r="J52" s="1155" t="str">
        <f t="shared" ca="1" si="0"/>
        <v xml:space="preserve"> </v>
      </c>
      <c r="K52" s="1155" t="str">
        <f ca="1">IF(J52&lt;&gt;" ",LOOKUP(RANDBETWEEN(1,100),d100s,freq),"")</f>
        <v/>
      </c>
      <c r="L52" s="1155" t="str">
        <f t="shared" ca="1" si="0"/>
        <v xml:space="preserve"> </v>
      </c>
    </row>
    <row r="53" spans="1:12" ht="12" customHeight="1" thickBot="1">
      <c r="A53" s="1710"/>
      <c r="B53" s="1711"/>
      <c r="C53" s="1711"/>
      <c r="D53" s="1711"/>
      <c r="E53" s="1711"/>
      <c r="F53" s="1711"/>
      <c r="G53" s="1711"/>
      <c r="H53" s="1711"/>
      <c r="I53" s="1711"/>
      <c r="J53" s="1711"/>
      <c r="K53" s="1711"/>
      <c r="L53" s="1712"/>
    </row>
    <row r="54" spans="1:12" ht="12" customHeight="1" thickBot="1">
      <c r="A54" s="1152" t="str">
        <f ca="1">LOOKUP(RANDBETWEEN(1,100),DEvenement,lieu)</f>
        <v>recrutement</v>
      </c>
      <c r="B54" s="1155" t="str">
        <f t="shared" ca="1" si="0"/>
        <v xml:space="preserve"> </v>
      </c>
      <c r="C54" s="1155" t="str">
        <f ca="1">IF(B54&lt;&gt;" ",LOOKUP(RANDBETWEEN(1,100),d100s,freq),"")</f>
        <v/>
      </c>
      <c r="D54" s="1155" t="str">
        <f t="shared" ca="1" si="0"/>
        <v>- -</v>
      </c>
      <c r="E54" s="1155" t="str">
        <f ca="1">IF(D54&lt;&gt;" ",LOOKUP(RANDBETWEEN(1,100),d100s,freq),"")</f>
        <v>régulier</v>
      </c>
      <c r="F54" s="1155" t="str">
        <f t="shared" ca="1" si="0"/>
        <v>-</v>
      </c>
      <c r="G54" s="1155" t="str">
        <f ca="1">IF(F54&lt;&gt;" ",LOOKUP(RANDBETWEEN(1,100),d100s,freq),"")</f>
        <v>peu</v>
      </c>
      <c r="H54" s="1155" t="str">
        <f t="shared" ca="1" si="0"/>
        <v xml:space="preserve"> </v>
      </c>
      <c r="I54" s="1155" t="str">
        <f ca="1">IF(H54&lt;&gt;" ",LOOKUP(RANDBETWEEN(1,100),d100s,freq),"")</f>
        <v/>
      </c>
      <c r="J54" s="1155" t="str">
        <f t="shared" ca="1" si="0"/>
        <v xml:space="preserve"> </v>
      </c>
      <c r="K54" s="1155" t="str">
        <f ca="1">IF(J54&lt;&gt;" ",LOOKUP(RANDBETWEEN(1,100),d100s,freq),"")</f>
        <v/>
      </c>
      <c r="L54" s="1155" t="str">
        <f t="shared" ca="1" si="0"/>
        <v xml:space="preserve"> </v>
      </c>
    </row>
    <row r="55" spans="1:12" ht="12" customHeight="1" thickBot="1">
      <c r="A55" s="1710"/>
      <c r="B55" s="1711"/>
      <c r="C55" s="1711"/>
      <c r="D55" s="1711"/>
      <c r="E55" s="1711"/>
      <c r="F55" s="1711"/>
      <c r="G55" s="1711"/>
      <c r="H55" s="1711"/>
      <c r="I55" s="1711"/>
      <c r="J55" s="1711"/>
      <c r="K55" s="1711"/>
      <c r="L55" s="1712"/>
    </row>
    <row r="56" spans="1:12" ht="12" customHeight="1" thickBot="1">
      <c r="A56" s="1152" t="str">
        <f ca="1">LOOKUP(RANDBETWEEN(1,100),DEvenement,lieu)</f>
        <v>Double²</v>
      </c>
      <c r="B56" s="1155" t="str">
        <f t="shared" ca="1" si="0"/>
        <v xml:space="preserve"> </v>
      </c>
      <c r="C56" s="1155" t="str">
        <f ca="1">IF(B56&lt;&gt;" ",LOOKUP(RANDBETWEEN(1,100),d100s,freq),"")</f>
        <v/>
      </c>
      <c r="D56" s="1155" t="str">
        <f t="shared" ca="1" si="0"/>
        <v>-</v>
      </c>
      <c r="E56" s="1155" t="str">
        <f ca="1">IF(D56&lt;&gt;" ",LOOKUP(RANDBETWEEN(1,100),d100s,freq),"")</f>
        <v>régulier</v>
      </c>
      <c r="F56" s="1155" t="str">
        <f t="shared" ca="1" si="0"/>
        <v xml:space="preserve"> </v>
      </c>
      <c r="G56" s="1155" t="str">
        <f ca="1">IF(F56&lt;&gt;" ",LOOKUP(RANDBETWEEN(1,100),d100s,freq),"")</f>
        <v/>
      </c>
      <c r="H56" s="1155" t="str">
        <f t="shared" ca="1" si="0"/>
        <v>+</v>
      </c>
      <c r="I56" s="1155" t="str">
        <f ca="1">IF(H56&lt;&gt;" ",LOOKUP(RANDBETWEEN(1,100),d100s,freq),"")</f>
        <v>peu</v>
      </c>
      <c r="J56" s="1155" t="str">
        <f t="shared" ca="1" si="0"/>
        <v xml:space="preserve"> </v>
      </c>
      <c r="K56" s="1155" t="str">
        <f ca="1">IF(J56&lt;&gt;" ",LOOKUP(RANDBETWEEN(1,100),d100s,freq),"")</f>
        <v/>
      </c>
      <c r="L56" s="1155" t="str">
        <f t="shared" ca="1" si="0"/>
        <v xml:space="preserve"> </v>
      </c>
    </row>
    <row r="57" spans="1:12" ht="12" customHeight="1" thickBot="1">
      <c r="A57" s="1710"/>
      <c r="B57" s="1711"/>
      <c r="C57" s="1711"/>
      <c r="D57" s="1711"/>
      <c r="E57" s="1711"/>
      <c r="F57" s="1711"/>
      <c r="G57" s="1711"/>
      <c r="H57" s="1711"/>
      <c r="I57" s="1711"/>
      <c r="J57" s="1711"/>
      <c r="K57" s="1711"/>
      <c r="L57" s="1712"/>
    </row>
    <row r="58" spans="1:12" ht="12" customHeight="1" thickBot="1">
      <c r="A58" s="1152" t="str">
        <f ca="1">LOOKUP(RANDBETWEEN(1,100),DEvenement,lieu)</f>
        <v>inflation</v>
      </c>
      <c r="B58" s="1155" t="str">
        <f t="shared" ca="1" si="0"/>
        <v xml:space="preserve"> </v>
      </c>
      <c r="C58" s="1155" t="str">
        <f ca="1">IF(B58&lt;&gt;" ",LOOKUP(RANDBETWEEN(1,100),d100s,freq),"")</f>
        <v/>
      </c>
      <c r="D58" s="1155" t="str">
        <f t="shared" ca="1" si="0"/>
        <v xml:space="preserve"> </v>
      </c>
      <c r="E58" s="1155" t="str">
        <f ca="1">IF(D58&lt;&gt;" ",LOOKUP(RANDBETWEEN(1,100),d100s,freq),"")</f>
        <v/>
      </c>
      <c r="F58" s="1155" t="str">
        <f t="shared" ca="1" si="0"/>
        <v xml:space="preserve"> </v>
      </c>
      <c r="G58" s="1155" t="str">
        <f ca="1">IF(F58&lt;&gt;" ",LOOKUP(RANDBETWEEN(1,100),d100s,freq),"")</f>
        <v/>
      </c>
      <c r="H58" s="1155" t="str">
        <f t="shared" ca="1" si="0"/>
        <v xml:space="preserve"> </v>
      </c>
      <c r="I58" s="1155" t="str">
        <f ca="1">IF(H58&lt;&gt;" ",LOOKUP(RANDBETWEEN(1,100),d100s,freq),"")</f>
        <v/>
      </c>
      <c r="J58" s="1155" t="str">
        <f t="shared" ca="1" si="0"/>
        <v xml:space="preserve"> </v>
      </c>
      <c r="K58" s="1155" t="str">
        <f ca="1">IF(J58&lt;&gt;" ",LOOKUP(RANDBETWEEN(1,100),d100s,freq),"")</f>
        <v/>
      </c>
      <c r="L58" s="1155" t="str">
        <f t="shared" ca="1" si="0"/>
        <v xml:space="preserve"> </v>
      </c>
    </row>
    <row r="59" spans="1:12" ht="12" customHeight="1" thickBot="1">
      <c r="A59" s="1710"/>
      <c r="B59" s="1711"/>
      <c r="C59" s="1711"/>
      <c r="D59" s="1711"/>
      <c r="E59" s="1711"/>
      <c r="F59" s="1711"/>
      <c r="G59" s="1711"/>
      <c r="H59" s="1711"/>
      <c r="I59" s="1711"/>
      <c r="J59" s="1711"/>
      <c r="K59" s="1711"/>
      <c r="L59" s="1712"/>
    </row>
    <row r="60" spans="1:12" ht="12" customHeight="1" thickBot="1">
      <c r="A60" s="1152" t="str">
        <f ca="1">LOOKUP(RANDBETWEEN(1,100),DEvenement,lieu)</f>
        <v>trahison</v>
      </c>
      <c r="B60" s="1155" t="str">
        <f t="shared" ca="1" si="0"/>
        <v xml:space="preserve"> </v>
      </c>
      <c r="C60" s="1155" t="str">
        <f ca="1">IF(B60&lt;&gt;" ",LOOKUP(RANDBETWEEN(1,100),d100s,freq),"")</f>
        <v/>
      </c>
      <c r="D60" s="1155" t="str">
        <f t="shared" ca="1" si="0"/>
        <v>+</v>
      </c>
      <c r="E60" s="1155" t="str">
        <f ca="1">IF(D60&lt;&gt;" ",LOOKUP(RANDBETWEEN(1,100),d100s,freq),"")</f>
        <v>peu</v>
      </c>
      <c r="F60" s="1155" t="str">
        <f t="shared" ca="1" si="0"/>
        <v>+</v>
      </c>
      <c r="G60" s="1155" t="str">
        <f ca="1">IF(F60&lt;&gt;" ",LOOKUP(RANDBETWEEN(1,100),d100s,freq),"")</f>
        <v>régulier</v>
      </c>
      <c r="H60" s="1155" t="str">
        <f t="shared" ca="1" si="0"/>
        <v xml:space="preserve"> </v>
      </c>
      <c r="I60" s="1155" t="str">
        <f ca="1">IF(H60&lt;&gt;" ",LOOKUP(RANDBETWEEN(1,100),d100s,freq),"")</f>
        <v/>
      </c>
      <c r="J60" s="1155" t="str">
        <f t="shared" ca="1" si="0"/>
        <v xml:space="preserve"> </v>
      </c>
      <c r="K60" s="1155" t="str">
        <f ca="1">IF(J60&lt;&gt;" ",LOOKUP(RANDBETWEEN(1,100),d100s,freq),"")</f>
        <v/>
      </c>
      <c r="L60" s="1155" t="str">
        <f t="shared" ca="1" si="0"/>
        <v>- - -</v>
      </c>
    </row>
    <row r="61" spans="1:12" ht="12" customHeight="1" thickBot="1">
      <c r="A61" s="1710"/>
      <c r="B61" s="1711"/>
      <c r="C61" s="1711"/>
      <c r="D61" s="1711"/>
      <c r="E61" s="1711"/>
      <c r="F61" s="1711"/>
      <c r="G61" s="1711"/>
      <c r="H61" s="1711"/>
      <c r="I61" s="1711"/>
      <c r="J61" s="1711"/>
      <c r="K61" s="1711"/>
      <c r="L61" s="1712"/>
    </row>
    <row r="62" spans="1:12" ht="12" customHeight="1" thickBot="1">
      <c r="A62" s="1152" t="str">
        <f ca="1">LOOKUP(RANDBETWEEN(1,100),DEvenement,lieu)</f>
        <v>mercenaires rôdant</v>
      </c>
      <c r="B62" s="1155" t="str">
        <f t="shared" ref="B62:L80" ca="1" si="1">LOOKUP(RANDBETWEEN(1,100),d100s,plusmoins)</f>
        <v xml:space="preserve"> </v>
      </c>
      <c r="C62" s="1155" t="str">
        <f ca="1">IF(B62&lt;&gt;" ",LOOKUP(RANDBETWEEN(1,100),d100s,freq),"")</f>
        <v/>
      </c>
      <c r="D62" s="1155" t="str">
        <f t="shared" ca="1" si="1"/>
        <v xml:space="preserve"> </v>
      </c>
      <c r="E62" s="1155" t="str">
        <f ca="1">IF(D62&lt;&gt;" ",LOOKUP(RANDBETWEEN(1,100),d100s,freq),"")</f>
        <v/>
      </c>
      <c r="F62" s="1155" t="str">
        <f t="shared" ca="1" si="1"/>
        <v>+</v>
      </c>
      <c r="G62" s="1155" t="str">
        <f ca="1">IF(F62&lt;&gt;" ",LOOKUP(RANDBETWEEN(1,100),d100s,freq),"")</f>
        <v>régulier</v>
      </c>
      <c r="H62" s="1155" t="str">
        <f t="shared" ca="1" si="1"/>
        <v xml:space="preserve"> </v>
      </c>
      <c r="I62" s="1155" t="str">
        <f ca="1">IF(H62&lt;&gt;" ",LOOKUP(RANDBETWEEN(1,100),d100s,freq),"")</f>
        <v/>
      </c>
      <c r="J62" s="1155" t="str">
        <f t="shared" ca="1" si="1"/>
        <v xml:space="preserve"> </v>
      </c>
      <c r="K62" s="1155" t="str">
        <f ca="1">IF(J62&lt;&gt;" ",LOOKUP(RANDBETWEEN(1,100),d100s,freq),"")</f>
        <v/>
      </c>
      <c r="L62" s="1155" t="str">
        <f t="shared" ca="1" si="1"/>
        <v>++</v>
      </c>
    </row>
    <row r="63" spans="1:12" ht="12" customHeight="1" thickBot="1">
      <c r="A63" s="1710"/>
      <c r="B63" s="1711"/>
      <c r="C63" s="1711"/>
      <c r="D63" s="1711"/>
      <c r="E63" s="1711"/>
      <c r="F63" s="1711"/>
      <c r="G63" s="1711"/>
      <c r="H63" s="1711"/>
      <c r="I63" s="1711"/>
      <c r="J63" s="1711"/>
      <c r="K63" s="1711"/>
      <c r="L63" s="1712"/>
    </row>
    <row r="64" spans="1:12" ht="12" customHeight="1" thickBot="1">
      <c r="A64" s="1152" t="str">
        <f ca="1">LOOKUP(RANDBETWEEN(1,100),DEvenement,lieu)</f>
        <v>visite importante</v>
      </c>
      <c r="B64" s="1155" t="str">
        <f t="shared" ca="1" si="1"/>
        <v xml:space="preserve"> </v>
      </c>
      <c r="C64" s="1155" t="str">
        <f ca="1">IF(B64&lt;&gt;" ",LOOKUP(RANDBETWEEN(1,100),d100s,freq),"")</f>
        <v/>
      </c>
      <c r="D64" s="1155" t="str">
        <f t="shared" ca="1" si="1"/>
        <v xml:space="preserve"> </v>
      </c>
      <c r="E64" s="1155" t="str">
        <f ca="1">IF(D64&lt;&gt;" ",LOOKUP(RANDBETWEEN(1,100),d100s,freq),"")</f>
        <v/>
      </c>
      <c r="F64" s="1155" t="str">
        <f t="shared" ca="1" si="1"/>
        <v xml:space="preserve"> </v>
      </c>
      <c r="G64" s="1155" t="str">
        <f ca="1">IF(F64&lt;&gt;" ",LOOKUP(RANDBETWEEN(1,100),d100s,freq),"")</f>
        <v/>
      </c>
      <c r="H64" s="1155" t="str">
        <f t="shared" ca="1" si="1"/>
        <v xml:space="preserve"> </v>
      </c>
      <c r="I64" s="1155" t="str">
        <f ca="1">IF(H64&lt;&gt;" ",LOOKUP(RANDBETWEEN(1,100),d100s,freq),"")</f>
        <v/>
      </c>
      <c r="J64" s="1155" t="str">
        <f t="shared" ca="1" si="1"/>
        <v>-</v>
      </c>
      <c r="K64" s="1155" t="str">
        <f ca="1">IF(J64&lt;&gt;" ",LOOKUP(RANDBETWEEN(1,100),d100s,freq),"")</f>
        <v>peu</v>
      </c>
      <c r="L64" s="1155" t="str">
        <f t="shared" ca="1" si="1"/>
        <v xml:space="preserve"> </v>
      </c>
    </row>
    <row r="65" spans="1:12" ht="12" customHeight="1" thickBot="1">
      <c r="A65" s="1710"/>
      <c r="B65" s="1711"/>
      <c r="C65" s="1711"/>
      <c r="D65" s="1711"/>
      <c r="E65" s="1711"/>
      <c r="F65" s="1711"/>
      <c r="G65" s="1711"/>
      <c r="H65" s="1711"/>
      <c r="I65" s="1711"/>
      <c r="J65" s="1711"/>
      <c r="K65" s="1711"/>
      <c r="L65" s="1712"/>
    </row>
    <row r="66" spans="1:12" ht="12" customHeight="1" thickBot="1">
      <c r="A66" s="1152" t="str">
        <f ca="1">LOOKUP(RANDBETWEEN(1,100),DEvenement,lieu)</f>
        <v>bandits</v>
      </c>
      <c r="B66" s="1155" t="str">
        <f t="shared" ca="1" si="1"/>
        <v xml:space="preserve"> </v>
      </c>
      <c r="C66" s="1155" t="str">
        <f ca="1">IF(B66&lt;&gt;" ",LOOKUP(RANDBETWEEN(1,100),d100s,freq),"")</f>
        <v/>
      </c>
      <c r="D66" s="1155" t="str">
        <f t="shared" ca="1" si="1"/>
        <v xml:space="preserve"> </v>
      </c>
      <c r="E66" s="1155" t="str">
        <f ca="1">IF(D66&lt;&gt;" ",LOOKUP(RANDBETWEEN(1,100),d100s,freq),"")</f>
        <v/>
      </c>
      <c r="F66" s="1155" t="str">
        <f t="shared" ca="1" si="1"/>
        <v>-</v>
      </c>
      <c r="G66" s="1155" t="str">
        <f ca="1">IF(F66&lt;&gt;" ",LOOKUP(RANDBETWEEN(1,100),d100s,freq),"")</f>
        <v>peu</v>
      </c>
      <c r="H66" s="1155" t="str">
        <f t="shared" ca="1" si="1"/>
        <v xml:space="preserve"> </v>
      </c>
      <c r="I66" s="1155" t="str">
        <f ca="1">IF(H66&lt;&gt;" ",LOOKUP(RANDBETWEEN(1,100),d100s,freq),"")</f>
        <v/>
      </c>
      <c r="J66" s="1155" t="str">
        <f t="shared" ca="1" si="1"/>
        <v xml:space="preserve"> </v>
      </c>
      <c r="K66" s="1155" t="str">
        <f ca="1">IF(J66&lt;&gt;" ",LOOKUP(RANDBETWEEN(1,100),d100s,freq),"")</f>
        <v/>
      </c>
      <c r="L66" s="1155" t="str">
        <f t="shared" ca="1" si="1"/>
        <v xml:space="preserve"> </v>
      </c>
    </row>
    <row r="67" spans="1:12" ht="12" customHeight="1" thickBot="1">
      <c r="A67" s="1710"/>
      <c r="B67" s="1711"/>
      <c r="C67" s="1711"/>
      <c r="D67" s="1711"/>
      <c r="E67" s="1711"/>
      <c r="F67" s="1711"/>
      <c r="G67" s="1711"/>
      <c r="H67" s="1711"/>
      <c r="I67" s="1711"/>
      <c r="J67" s="1711"/>
      <c r="K67" s="1711"/>
      <c r="L67" s="1712"/>
    </row>
    <row r="68" spans="1:12" ht="12" customHeight="1" thickBot="1">
      <c r="A68" s="1152" t="str">
        <f ca="1">LOOKUP(RANDBETWEEN(1,100),DEvenement,lieu)</f>
        <v>Double²</v>
      </c>
      <c r="B68" s="1155" t="str">
        <f t="shared" ca="1" si="1"/>
        <v xml:space="preserve"> </v>
      </c>
      <c r="C68" s="1155" t="str">
        <f ca="1">IF(B68&lt;&gt;" ",LOOKUP(RANDBETWEEN(1,100),d100s,freq),"")</f>
        <v/>
      </c>
      <c r="D68" s="1155" t="str">
        <f t="shared" ca="1" si="1"/>
        <v xml:space="preserve"> </v>
      </c>
      <c r="E68" s="1155" t="str">
        <f ca="1">IF(D68&lt;&gt;" ",LOOKUP(RANDBETWEEN(1,100),d100s,freq),"")</f>
        <v/>
      </c>
      <c r="F68" s="1155" t="str">
        <f t="shared" ca="1" si="1"/>
        <v xml:space="preserve"> </v>
      </c>
      <c r="G68" s="1155" t="str">
        <f ca="1">IF(F68&lt;&gt;" ",LOOKUP(RANDBETWEEN(1,100),d100s,freq),"")</f>
        <v/>
      </c>
      <c r="H68" s="1155" t="str">
        <f t="shared" ca="1" si="1"/>
        <v xml:space="preserve"> </v>
      </c>
      <c r="I68" s="1155" t="str">
        <f ca="1">IF(H68&lt;&gt;" ",LOOKUP(RANDBETWEEN(1,100),d100s,freq),"")</f>
        <v/>
      </c>
      <c r="J68" s="1155" t="str">
        <f t="shared" ca="1" si="1"/>
        <v>++</v>
      </c>
      <c r="K68" s="1155" t="str">
        <f ca="1">IF(J68&lt;&gt;" ",LOOKUP(RANDBETWEEN(1,100),d100s,freq),"")</f>
        <v>régulier</v>
      </c>
      <c r="L68" s="1155" t="str">
        <f t="shared" ca="1" si="1"/>
        <v xml:space="preserve"> </v>
      </c>
    </row>
    <row r="69" spans="1:12" ht="12" customHeight="1" thickBot="1">
      <c r="A69" s="1710"/>
      <c r="B69" s="1711"/>
      <c r="C69" s="1711"/>
      <c r="D69" s="1711"/>
      <c r="E69" s="1711"/>
      <c r="F69" s="1711"/>
      <c r="G69" s="1711"/>
      <c r="H69" s="1711"/>
      <c r="I69" s="1711"/>
      <c r="J69" s="1711"/>
      <c r="K69" s="1711"/>
      <c r="L69" s="1712"/>
    </row>
    <row r="70" spans="1:12" ht="12" customHeight="1" thickBot="1">
      <c r="A70" s="1152" t="str">
        <f ca="1">LOOKUP(RANDBETWEEN(1,100),DEvenement,lieu)</f>
        <v>mort</v>
      </c>
      <c r="B70" s="1155" t="str">
        <f t="shared" ca="1" si="1"/>
        <v xml:space="preserve"> </v>
      </c>
      <c r="C70" s="1155" t="str">
        <f ca="1">IF(B70&lt;&gt;" ",LOOKUP(RANDBETWEEN(1,100),d100s,freq),"")</f>
        <v/>
      </c>
      <c r="D70" s="1155" t="str">
        <f t="shared" ca="1" si="1"/>
        <v xml:space="preserve"> </v>
      </c>
      <c r="E70" s="1155" t="str">
        <f ca="1">IF(D70&lt;&gt;" ",LOOKUP(RANDBETWEEN(1,100),d100s,freq),"")</f>
        <v/>
      </c>
      <c r="F70" s="1155" t="str">
        <f t="shared" ca="1" si="1"/>
        <v xml:space="preserve"> </v>
      </c>
      <c r="G70" s="1155" t="str">
        <f ca="1">IF(F70&lt;&gt;" ",LOOKUP(RANDBETWEEN(1,100),d100s,freq),"")</f>
        <v/>
      </c>
      <c r="H70" s="1155" t="str">
        <f t="shared" ca="1" si="1"/>
        <v xml:space="preserve"> </v>
      </c>
      <c r="I70" s="1155" t="str">
        <f ca="1">IF(H70&lt;&gt;" ",LOOKUP(RANDBETWEEN(1,100),d100s,freq),"")</f>
        <v/>
      </c>
      <c r="J70" s="1155" t="str">
        <f t="shared" ca="1" si="1"/>
        <v xml:space="preserve"> </v>
      </c>
      <c r="K70" s="1155" t="str">
        <f ca="1">IF(J70&lt;&gt;" ",LOOKUP(RANDBETWEEN(1,100),d100s,freq),"")</f>
        <v/>
      </c>
      <c r="L70" s="1155" t="str">
        <f t="shared" ca="1" si="1"/>
        <v xml:space="preserve"> </v>
      </c>
    </row>
    <row r="71" spans="1:12" ht="12" customHeight="1" thickBot="1">
      <c r="A71" s="1710"/>
      <c r="B71" s="1711"/>
      <c r="C71" s="1711"/>
      <c r="D71" s="1711"/>
      <c r="E71" s="1711"/>
      <c r="F71" s="1711"/>
      <c r="G71" s="1711"/>
      <c r="H71" s="1711"/>
      <c r="I71" s="1711"/>
      <c r="J71" s="1711"/>
      <c r="K71" s="1711"/>
      <c r="L71" s="1712"/>
    </row>
    <row r="72" spans="1:12" ht="12" customHeight="1" thickBot="1">
      <c r="A72" s="1152" t="str">
        <f ca="1">LOOKUP(RANDBETWEEN(1,100),DEvenement,lieu)</f>
        <v>feu mineur</v>
      </c>
      <c r="B72" s="1155" t="str">
        <f t="shared" ca="1" si="1"/>
        <v xml:space="preserve"> </v>
      </c>
      <c r="C72" s="1155" t="str">
        <f ca="1">IF(B72&lt;&gt;" ",LOOKUP(RANDBETWEEN(1,100),d100s,freq),"")</f>
        <v/>
      </c>
      <c r="D72" s="1155" t="str">
        <f t="shared" ca="1" si="1"/>
        <v xml:space="preserve"> </v>
      </c>
      <c r="E72" s="1155" t="str">
        <f ca="1">IF(D72&lt;&gt;" ",LOOKUP(RANDBETWEEN(1,100),d100s,freq),"")</f>
        <v/>
      </c>
      <c r="F72" s="1155" t="str">
        <f t="shared" ca="1" si="1"/>
        <v>+</v>
      </c>
      <c r="G72" s="1155" t="str">
        <f ca="1">IF(F72&lt;&gt;" ",LOOKUP(RANDBETWEEN(1,100),d100s,freq),"")</f>
        <v>régulier</v>
      </c>
      <c r="H72" s="1155" t="str">
        <f t="shared" ca="1" si="1"/>
        <v>+</v>
      </c>
      <c r="I72" s="1155" t="str">
        <f ca="1">IF(H72&lt;&gt;" ",LOOKUP(RANDBETWEEN(1,100),d100s,freq),"")</f>
        <v>peu</v>
      </c>
      <c r="J72" s="1155" t="str">
        <f t="shared" ca="1" si="1"/>
        <v xml:space="preserve"> </v>
      </c>
      <c r="K72" s="1155" t="str">
        <f ca="1">IF(J72&lt;&gt;" ",LOOKUP(RANDBETWEEN(1,100),d100s,freq),"")</f>
        <v/>
      </c>
      <c r="L72" s="1155" t="str">
        <f t="shared" ca="1" si="1"/>
        <v xml:space="preserve"> </v>
      </c>
    </row>
    <row r="73" spans="1:12" ht="12" customHeight="1" thickBot="1">
      <c r="A73" s="1710"/>
      <c r="B73" s="1711"/>
      <c r="C73" s="1711"/>
      <c r="D73" s="1711"/>
      <c r="E73" s="1711"/>
      <c r="F73" s="1711"/>
      <c r="G73" s="1711"/>
      <c r="H73" s="1711"/>
      <c r="I73" s="1711"/>
      <c r="J73" s="1711"/>
      <c r="K73" s="1711"/>
      <c r="L73" s="1712"/>
    </row>
    <row r="74" spans="1:12" ht="12" customHeight="1" thickBot="1">
      <c r="A74" s="1152" t="str">
        <f ca="1">LOOKUP(RANDBETWEEN(1,100),DEvenement,lieu)</f>
        <v>feu de forêt</v>
      </c>
      <c r="B74" s="1155" t="str">
        <f t="shared" ca="1" si="1"/>
        <v xml:space="preserve"> </v>
      </c>
      <c r="C74" s="1155" t="str">
        <f ca="1">IF(B74&lt;&gt;" ",LOOKUP(RANDBETWEEN(1,100),d100s,freq),"")</f>
        <v/>
      </c>
      <c r="D74" s="1155" t="str">
        <f t="shared" ca="1" si="1"/>
        <v xml:space="preserve"> </v>
      </c>
      <c r="E74" s="1155" t="str">
        <f ca="1">IF(D74&lt;&gt;" ",LOOKUP(RANDBETWEEN(1,100),d100s,freq),"")</f>
        <v/>
      </c>
      <c r="F74" s="1155" t="str">
        <f t="shared" ca="1" si="1"/>
        <v>+</v>
      </c>
      <c r="G74" s="1155" t="str">
        <f ca="1">IF(F74&lt;&gt;" ",LOOKUP(RANDBETWEEN(1,100),d100s,freq),"")</f>
        <v>peu</v>
      </c>
      <c r="H74" s="1155" t="str">
        <f t="shared" ca="1" si="1"/>
        <v>+++</v>
      </c>
      <c r="I74" s="1155" t="str">
        <f ca="1">IF(H74&lt;&gt;" ",LOOKUP(RANDBETWEEN(1,100),d100s,freq),"")</f>
        <v>peu</v>
      </c>
      <c r="J74" s="1155" t="str">
        <f t="shared" ca="1" si="1"/>
        <v>-</v>
      </c>
      <c r="K74" s="1155" t="str">
        <f ca="1">IF(J74&lt;&gt;" ",LOOKUP(RANDBETWEEN(1,100),d100s,freq),"")</f>
        <v>peu</v>
      </c>
      <c r="L74" s="1155" t="str">
        <f t="shared" ca="1" si="1"/>
        <v xml:space="preserve"> </v>
      </c>
    </row>
    <row r="75" spans="1:12" ht="12" customHeight="1" thickBot="1">
      <c r="A75" s="1710"/>
      <c r="B75" s="1711"/>
      <c r="C75" s="1711"/>
      <c r="D75" s="1711"/>
      <c r="E75" s="1711"/>
      <c r="F75" s="1711"/>
      <c r="G75" s="1711"/>
      <c r="H75" s="1711"/>
      <c r="I75" s="1711"/>
      <c r="J75" s="1711"/>
      <c r="K75" s="1711"/>
      <c r="L75" s="1712"/>
    </row>
    <row r="76" spans="1:12" ht="12" customHeight="1" thickBot="1">
      <c r="A76" s="1152" t="str">
        <f ca="1">LOOKUP(RANDBETWEEN(1,100),DEvenement,lieu)</f>
        <v>mariage</v>
      </c>
      <c r="B76" s="1155" t="str">
        <f t="shared" ca="1" si="1"/>
        <v>- -</v>
      </c>
      <c r="C76" s="1155" t="str">
        <f ca="1">IF(B76&lt;&gt;" ",LOOKUP(RANDBETWEEN(1,100),d100s,freq),"")</f>
        <v>peu</v>
      </c>
      <c r="D76" s="1155" t="str">
        <f t="shared" ca="1" si="1"/>
        <v xml:space="preserve"> </v>
      </c>
      <c r="E76" s="1155" t="str">
        <f ca="1">IF(D76&lt;&gt;" ",LOOKUP(RANDBETWEEN(1,100),d100s,freq),"")</f>
        <v/>
      </c>
      <c r="F76" s="1155" t="str">
        <f t="shared" ca="1" si="1"/>
        <v>-</v>
      </c>
      <c r="G76" s="1155" t="str">
        <f ca="1">IF(F76&lt;&gt;" ",LOOKUP(RANDBETWEEN(1,100),d100s,freq),"")</f>
        <v>régulier</v>
      </c>
      <c r="H76" s="1155" t="str">
        <f t="shared" ca="1" si="1"/>
        <v xml:space="preserve"> </v>
      </c>
      <c r="I76" s="1155" t="str">
        <f ca="1">IF(H76&lt;&gt;" ",LOOKUP(RANDBETWEEN(1,100),d100s,freq),"")</f>
        <v/>
      </c>
      <c r="J76" s="1155" t="str">
        <f t="shared" ca="1" si="1"/>
        <v xml:space="preserve"> </v>
      </c>
      <c r="K76" s="1155" t="str">
        <f ca="1">IF(J76&lt;&gt;" ",LOOKUP(RANDBETWEEN(1,100),d100s,freq),"")</f>
        <v/>
      </c>
      <c r="L76" s="1155" t="str">
        <f t="shared" ca="1" si="1"/>
        <v>++</v>
      </c>
    </row>
    <row r="77" spans="1:12" ht="12" customHeight="1" thickBot="1">
      <c r="A77" s="1710"/>
      <c r="B77" s="1711"/>
      <c r="C77" s="1711"/>
      <c r="D77" s="1711"/>
      <c r="E77" s="1711"/>
      <c r="F77" s="1711"/>
      <c r="G77" s="1711"/>
      <c r="H77" s="1711"/>
      <c r="I77" s="1711"/>
      <c r="J77" s="1711"/>
      <c r="K77" s="1711"/>
      <c r="L77" s="1712"/>
    </row>
    <row r="78" spans="1:12" ht="12" customHeight="1" thickBot="1">
      <c r="A78" s="1152" t="str">
        <f ca="1">LOOKUP(RANDBETWEEN(1,100),DEvenement,lieu)</f>
        <v>tempête</v>
      </c>
      <c r="B78" s="1155" t="str">
        <f t="shared" ca="1" si="1"/>
        <v>- - -</v>
      </c>
      <c r="C78" s="1155" t="str">
        <f ca="1">IF(B78&lt;&gt;" ",LOOKUP(RANDBETWEEN(1,100),d100s,freq),"")</f>
        <v>régulier</v>
      </c>
      <c r="D78" s="1155" t="str">
        <f t="shared" ca="1" si="1"/>
        <v xml:space="preserve"> </v>
      </c>
      <c r="E78" s="1155" t="str">
        <f ca="1">IF(D78&lt;&gt;" ",LOOKUP(RANDBETWEEN(1,100),d100s,freq),"")</f>
        <v/>
      </c>
      <c r="F78" s="1155" t="str">
        <f t="shared" ca="1" si="1"/>
        <v xml:space="preserve"> </v>
      </c>
      <c r="G78" s="1155" t="str">
        <f ca="1">IF(F78&lt;&gt;" ",LOOKUP(RANDBETWEEN(1,100),d100s,freq),"")</f>
        <v/>
      </c>
      <c r="H78" s="1155" t="str">
        <f t="shared" ca="1" si="1"/>
        <v>-</v>
      </c>
      <c r="I78" s="1155" t="str">
        <f ca="1">IF(H78&lt;&gt;" ",LOOKUP(RANDBETWEEN(1,100),d100s,freq),"")</f>
        <v>fréquent</v>
      </c>
      <c r="J78" s="1155" t="str">
        <f t="shared" ca="1" si="1"/>
        <v xml:space="preserve"> </v>
      </c>
      <c r="K78" s="1155" t="str">
        <f ca="1">IF(J78&lt;&gt;" ",LOOKUP(RANDBETWEEN(1,100),d100s,freq),"")</f>
        <v/>
      </c>
      <c r="L78" s="1155" t="str">
        <f t="shared" ca="1" si="1"/>
        <v xml:space="preserve"> </v>
      </c>
    </row>
    <row r="79" spans="1:12" ht="12" customHeight="1" thickBot="1">
      <c r="A79" s="1710"/>
      <c r="B79" s="1711"/>
      <c r="C79" s="1711"/>
      <c r="D79" s="1711"/>
      <c r="E79" s="1711"/>
      <c r="F79" s="1711"/>
      <c r="G79" s="1711"/>
      <c r="H79" s="1711"/>
      <c r="I79" s="1711"/>
      <c r="J79" s="1711"/>
      <c r="K79" s="1711"/>
      <c r="L79" s="1712"/>
    </row>
    <row r="80" spans="1:12" ht="12" customHeight="1" thickBot="1">
      <c r="A80" s="1152" t="str">
        <f ca="1">LOOKUP(RANDBETWEEN(1,100),DEvenement,lieu)</f>
        <v>injustice</v>
      </c>
      <c r="B80" s="1155" t="str">
        <f t="shared" ca="1" si="1"/>
        <v xml:space="preserve"> </v>
      </c>
      <c r="C80" s="1155" t="str">
        <f ca="1">IF(B80&lt;&gt;" ",LOOKUP(RANDBETWEEN(1,100),d100s,freq),"")</f>
        <v/>
      </c>
      <c r="D80" s="1155" t="str">
        <f t="shared" ca="1" si="1"/>
        <v xml:space="preserve"> </v>
      </c>
      <c r="E80" s="1155" t="str">
        <f ca="1">IF(D80&lt;&gt;" ",LOOKUP(RANDBETWEEN(1,100),d100s,freq),"")</f>
        <v/>
      </c>
      <c r="F80" s="1155" t="str">
        <f t="shared" ca="1" si="1"/>
        <v>-</v>
      </c>
      <c r="G80" s="1155" t="str">
        <f ca="1">IF(F80&lt;&gt;" ",LOOKUP(RANDBETWEEN(1,100),d100s,freq),"")</f>
        <v>peu</v>
      </c>
      <c r="H80" s="1155" t="str">
        <f t="shared" ca="1" si="1"/>
        <v>- -</v>
      </c>
      <c r="I80" s="1155" t="str">
        <f ca="1">IF(H80&lt;&gt;" ",LOOKUP(RANDBETWEEN(1,100),d100s,freq),"")</f>
        <v>peu</v>
      </c>
      <c r="J80" s="1155" t="str">
        <f t="shared" ca="1" si="1"/>
        <v xml:space="preserve"> </v>
      </c>
      <c r="K80" s="1155" t="str">
        <f ca="1">IF(J80&lt;&gt;" ",LOOKUP(RANDBETWEEN(1,100),d100s,freq),"")</f>
        <v/>
      </c>
      <c r="L80" s="1155" t="str">
        <f t="shared" ca="1" si="1"/>
        <v xml:space="preserve"> </v>
      </c>
    </row>
    <row r="81" spans="1:12" ht="12" customHeight="1" thickBot="1">
      <c r="A81" s="1710"/>
      <c r="B81" s="1711"/>
      <c r="C81" s="1711"/>
      <c r="D81" s="1711"/>
      <c r="E81" s="1711"/>
      <c r="F81" s="1711"/>
      <c r="G81" s="1711"/>
      <c r="H81" s="1711"/>
      <c r="I81" s="1711"/>
      <c r="J81" s="1711"/>
      <c r="K81" s="1711"/>
      <c r="L81" s="1712"/>
    </row>
    <row r="82" spans="1:12" ht="12" customHeight="1" thickBot="1">
      <c r="A82" s="1152" t="str">
        <f ca="1">LOOKUP(RANDBETWEEN(1,100),DEvenement,lieu)</f>
        <v>personnalité</v>
      </c>
      <c r="B82" s="1155" t="str">
        <f t="shared" ref="B82:L92" ca="1" si="2">LOOKUP(RANDBETWEEN(1,100),d100s,plusmoins)</f>
        <v xml:space="preserve"> </v>
      </c>
      <c r="C82" s="1155" t="str">
        <f ca="1">IF(B82&lt;&gt;" ",LOOKUP(RANDBETWEEN(1,100),d100s,freq),"")</f>
        <v/>
      </c>
      <c r="D82" s="1155" t="str">
        <f t="shared" ca="1" si="2"/>
        <v xml:space="preserve"> </v>
      </c>
      <c r="E82" s="1155" t="str">
        <f ca="1">IF(D82&lt;&gt;" ",LOOKUP(RANDBETWEEN(1,100),d100s,freq),"")</f>
        <v/>
      </c>
      <c r="F82" s="1155" t="str">
        <f t="shared" ca="1" si="2"/>
        <v xml:space="preserve"> </v>
      </c>
      <c r="G82" s="1155" t="str">
        <f ca="1">IF(F82&lt;&gt;" ",LOOKUP(RANDBETWEEN(1,100),d100s,freq),"")</f>
        <v/>
      </c>
      <c r="H82" s="1155" t="str">
        <f t="shared" ca="1" si="2"/>
        <v>+</v>
      </c>
      <c r="I82" s="1155" t="str">
        <f ca="1">IF(H82&lt;&gt;" ",LOOKUP(RANDBETWEEN(1,100),d100s,freq),"")</f>
        <v>peu</v>
      </c>
      <c r="J82" s="1155" t="str">
        <f t="shared" ca="1" si="2"/>
        <v>+</v>
      </c>
      <c r="K82" s="1155" t="str">
        <f ca="1">IF(J82&lt;&gt;" ",LOOKUP(RANDBETWEEN(1,100),d100s,freq),"")</f>
        <v>régulier</v>
      </c>
      <c r="L82" s="1155" t="str">
        <f t="shared" ca="1" si="2"/>
        <v>-</v>
      </c>
    </row>
    <row r="83" spans="1:12" ht="12" customHeight="1" thickBot="1">
      <c r="A83" s="1710"/>
      <c r="B83" s="1711"/>
      <c r="C83" s="1711"/>
      <c r="D83" s="1711"/>
      <c r="E83" s="1711"/>
      <c r="F83" s="1711"/>
      <c r="G83" s="1711"/>
      <c r="H83" s="1711"/>
      <c r="I83" s="1711"/>
      <c r="J83" s="1711"/>
      <c r="K83" s="1711"/>
      <c r="L83" s="1712"/>
    </row>
    <row r="84" spans="1:12" ht="12" customHeight="1" thickBot="1">
      <c r="A84" s="1152" t="str">
        <f ca="1">LOOKUP(RANDBETWEEN(1,100),DEvenement,lieu)</f>
        <v>intrigue locale</v>
      </c>
      <c r="B84" s="1155" t="str">
        <f t="shared" ca="1" si="2"/>
        <v>- -</v>
      </c>
      <c r="C84" s="1155" t="str">
        <f ca="1">IF(B84&lt;&gt;" ",LOOKUP(RANDBETWEEN(1,100),d100s,freq),"")</f>
        <v>fréquent</v>
      </c>
      <c r="D84" s="1155" t="str">
        <f t="shared" ca="1" si="2"/>
        <v>++</v>
      </c>
      <c r="E84" s="1155" t="str">
        <f ca="1">IF(D84&lt;&gt;" ",LOOKUP(RANDBETWEEN(1,100),d100s,freq),"")</f>
        <v>peu</v>
      </c>
      <c r="F84" s="1155" t="str">
        <f t="shared" ca="1" si="2"/>
        <v>-</v>
      </c>
      <c r="G84" s="1155" t="str">
        <f ca="1">IF(F84&lt;&gt;" ",LOOKUP(RANDBETWEEN(1,100),d100s,freq),"")</f>
        <v>peu</v>
      </c>
      <c r="H84" s="1155" t="str">
        <f t="shared" ca="1" si="2"/>
        <v xml:space="preserve"> </v>
      </c>
      <c r="I84" s="1155" t="str">
        <f ca="1">IF(H84&lt;&gt;" ",LOOKUP(RANDBETWEEN(1,100),d100s,freq),"")</f>
        <v/>
      </c>
      <c r="J84" s="1155" t="str">
        <f t="shared" ca="1" si="2"/>
        <v>+++</v>
      </c>
      <c r="K84" s="1155" t="str">
        <f ca="1">IF(J84&lt;&gt;" ",LOOKUP(RANDBETWEEN(1,100),d100s,freq),"")</f>
        <v>régulier</v>
      </c>
      <c r="L84" s="1155" t="str">
        <f t="shared" ca="1" si="2"/>
        <v>+</v>
      </c>
    </row>
    <row r="85" spans="1:12" ht="12" customHeight="1" thickBot="1">
      <c r="A85" s="1710"/>
      <c r="B85" s="1711"/>
      <c r="C85" s="1711"/>
      <c r="D85" s="1711"/>
      <c r="E85" s="1711"/>
      <c r="F85" s="1711"/>
      <c r="G85" s="1711"/>
      <c r="H85" s="1711"/>
      <c r="I85" s="1711"/>
      <c r="J85" s="1711"/>
      <c r="K85" s="1711"/>
      <c r="L85" s="1712"/>
    </row>
    <row r="86" spans="1:12" ht="12" customHeight="1" thickBot="1">
      <c r="A86" s="1152" t="str">
        <f ca="1">LOOKUP(RANDBETWEEN(1,100),DEvenement,lieu)</f>
        <v>épidémie</v>
      </c>
      <c r="B86" s="1155" t="str">
        <f t="shared" ca="1" si="2"/>
        <v xml:space="preserve"> </v>
      </c>
      <c r="C86" s="1155" t="str">
        <f ca="1">IF(B86&lt;&gt;" ",LOOKUP(RANDBETWEEN(1,100),d100s,freq),"")</f>
        <v/>
      </c>
      <c r="D86" s="1155" t="str">
        <f t="shared" ca="1" si="2"/>
        <v>+</v>
      </c>
      <c r="E86" s="1155" t="str">
        <f ca="1">IF(D86&lt;&gt;" ",LOOKUP(RANDBETWEEN(1,100),d100s,freq),"")</f>
        <v>peu</v>
      </c>
      <c r="F86" s="1155" t="str">
        <f t="shared" ca="1" si="2"/>
        <v>+</v>
      </c>
      <c r="G86" s="1155" t="str">
        <f ca="1">IF(F86&lt;&gt;" ",LOOKUP(RANDBETWEEN(1,100),d100s,freq),"")</f>
        <v>peu</v>
      </c>
      <c r="H86" s="1155" t="str">
        <f t="shared" ca="1" si="2"/>
        <v xml:space="preserve"> </v>
      </c>
      <c r="I86" s="1155" t="str">
        <f ca="1">IF(H86&lt;&gt;" ",LOOKUP(RANDBETWEEN(1,100),d100s,freq),"")</f>
        <v/>
      </c>
      <c r="J86" s="1155" t="str">
        <f t="shared" ca="1" si="2"/>
        <v>- -</v>
      </c>
      <c r="K86" s="1155" t="str">
        <f ca="1">IF(J86&lt;&gt;" ",LOOKUP(RANDBETWEEN(1,100),d100s,freq),"")</f>
        <v>peu</v>
      </c>
      <c r="L86" s="1155" t="str">
        <f t="shared" ca="1" si="2"/>
        <v>+</v>
      </c>
    </row>
    <row r="87" spans="1:12" ht="12" customHeight="1" thickBot="1">
      <c r="A87" s="1710"/>
      <c r="B87" s="1711"/>
      <c r="C87" s="1711"/>
      <c r="D87" s="1711"/>
      <c r="E87" s="1711"/>
      <c r="F87" s="1711"/>
      <c r="G87" s="1711"/>
      <c r="H87" s="1711"/>
      <c r="I87" s="1711"/>
      <c r="J87" s="1711"/>
      <c r="K87" s="1711"/>
      <c r="L87" s="1712"/>
    </row>
    <row r="88" spans="1:12" ht="12" customHeight="1" thickBot="1">
      <c r="A88" s="1152" t="str">
        <f ca="1">LOOKUP(RANDBETWEEN(1,100),DEvenement,lieu)</f>
        <v>cannibalisme</v>
      </c>
      <c r="B88" s="1155" t="str">
        <f t="shared" ca="1" si="2"/>
        <v xml:space="preserve"> </v>
      </c>
      <c r="C88" s="1155" t="str">
        <f ca="1">IF(B88&lt;&gt;" ",LOOKUP(RANDBETWEEN(1,100),d100s,freq),"")</f>
        <v/>
      </c>
      <c r="D88" s="1155" t="str">
        <f t="shared" ca="1" si="2"/>
        <v xml:space="preserve"> </v>
      </c>
      <c r="E88" s="1155" t="str">
        <f ca="1">IF(D88&lt;&gt;" ",LOOKUP(RANDBETWEEN(1,100),d100s,freq),"")</f>
        <v/>
      </c>
      <c r="F88" s="1155" t="str">
        <f t="shared" ca="1" si="2"/>
        <v xml:space="preserve"> </v>
      </c>
      <c r="G88" s="1155" t="str">
        <f ca="1">IF(F88&lt;&gt;" ",LOOKUP(RANDBETWEEN(1,100),d100s,freq),"")</f>
        <v/>
      </c>
      <c r="H88" s="1155" t="str">
        <f t="shared" ca="1" si="2"/>
        <v xml:space="preserve"> </v>
      </c>
      <c r="I88" s="1155" t="str">
        <f ca="1">IF(H88&lt;&gt;" ",LOOKUP(RANDBETWEEN(1,100),d100s,freq),"")</f>
        <v/>
      </c>
      <c r="J88" s="1155" t="str">
        <f t="shared" ca="1" si="2"/>
        <v>-</v>
      </c>
      <c r="K88" s="1155" t="str">
        <f ca="1">IF(J88&lt;&gt;" ",LOOKUP(RANDBETWEEN(1,100),d100s,freq),"")</f>
        <v>peu</v>
      </c>
      <c r="L88" s="1155" t="str">
        <f t="shared" ca="1" si="2"/>
        <v>++</v>
      </c>
    </row>
    <row r="89" spans="1:12" ht="12" customHeight="1" thickBot="1">
      <c r="A89" s="1710"/>
      <c r="B89" s="1711"/>
      <c r="C89" s="1711"/>
      <c r="D89" s="1711"/>
      <c r="E89" s="1711"/>
      <c r="F89" s="1711"/>
      <c r="G89" s="1711"/>
      <c r="H89" s="1711"/>
      <c r="I89" s="1711"/>
      <c r="J89" s="1711"/>
      <c r="K89" s="1711"/>
      <c r="L89" s="1712"/>
    </row>
    <row r="90" spans="1:12" ht="12" customHeight="1" thickBot="1">
      <c r="A90" s="1152" t="str">
        <f ca="1">LOOKUP(RANDBETWEEN(1,100),DEvenement,lieu)</f>
        <v>Récolte</v>
      </c>
      <c r="B90" s="1155" t="str">
        <f t="shared" ca="1" si="2"/>
        <v>++</v>
      </c>
      <c r="C90" s="1155" t="str">
        <f ca="1">IF(B90&lt;&gt;" ",LOOKUP(RANDBETWEEN(1,100),d100s,freq),"")</f>
        <v>régulier</v>
      </c>
      <c r="D90" s="1155" t="str">
        <f t="shared" ca="1" si="2"/>
        <v xml:space="preserve"> </v>
      </c>
      <c r="E90" s="1155" t="str">
        <f ca="1">IF(D90&lt;&gt;" ",LOOKUP(RANDBETWEEN(1,100),d100s,freq),"")</f>
        <v/>
      </c>
      <c r="F90" s="1155" t="str">
        <f t="shared" ca="1" si="2"/>
        <v xml:space="preserve"> </v>
      </c>
      <c r="G90" s="1155" t="str">
        <f ca="1">IF(F90&lt;&gt;" ",LOOKUP(RANDBETWEEN(1,100),d100s,freq),"")</f>
        <v/>
      </c>
      <c r="H90" s="1155" t="str">
        <f t="shared" ca="1" si="2"/>
        <v>++</v>
      </c>
      <c r="I90" s="1155" t="str">
        <f ca="1">IF(H90&lt;&gt;" ",LOOKUP(RANDBETWEEN(1,100),d100s,freq),"")</f>
        <v>régulier</v>
      </c>
      <c r="J90" s="1155" t="str">
        <f t="shared" ca="1" si="2"/>
        <v xml:space="preserve"> </v>
      </c>
      <c r="K90" s="1155" t="str">
        <f ca="1">IF(J90&lt;&gt;" ",LOOKUP(RANDBETWEEN(1,100),d100s,freq),"")</f>
        <v/>
      </c>
      <c r="L90" s="1155" t="str">
        <f t="shared" ca="1" si="2"/>
        <v xml:space="preserve"> </v>
      </c>
    </row>
    <row r="91" spans="1:12" ht="12" customHeight="1" thickBot="1">
      <c r="A91" s="1710"/>
      <c r="B91" s="1711"/>
      <c r="C91" s="1711"/>
      <c r="D91" s="1711"/>
      <c r="E91" s="1711"/>
      <c r="F91" s="1711"/>
      <c r="G91" s="1711"/>
      <c r="H91" s="1711"/>
      <c r="I91" s="1711"/>
      <c r="J91" s="1711"/>
      <c r="K91" s="1711"/>
      <c r="L91" s="1712"/>
    </row>
    <row r="92" spans="1:12" ht="12" customHeight="1" thickBot="1">
      <c r="A92" s="1152" t="str">
        <f ca="1">LOOKUP(RANDBETWEEN(1,100),DEvenement,lieu)</f>
        <v>mouvement de troupe</v>
      </c>
      <c r="B92" s="1156" t="str">
        <f t="shared" ca="1" si="2"/>
        <v xml:space="preserve"> </v>
      </c>
      <c r="C92" s="1156" t="str">
        <f ca="1">IF(B92&lt;&gt;" ",LOOKUP(RANDBETWEEN(1,100),d100s,freq),"")</f>
        <v/>
      </c>
      <c r="D92" s="1156" t="str">
        <f t="shared" ca="1" si="2"/>
        <v>+</v>
      </c>
      <c r="E92" s="1156" t="str">
        <f ca="1">IF(D92&lt;&gt;" ",LOOKUP(RANDBETWEEN(1,100),d100s,freq),"")</f>
        <v>régulier</v>
      </c>
      <c r="F92" s="1156" t="str">
        <f t="shared" ca="1" si="2"/>
        <v>+++</v>
      </c>
      <c r="G92" s="1156" t="str">
        <f ca="1">IF(F92&lt;&gt;" ",LOOKUP(RANDBETWEEN(1,100),d100s,freq),"")</f>
        <v>peu</v>
      </c>
      <c r="H92" s="1156" t="str">
        <f t="shared" ca="1" si="2"/>
        <v xml:space="preserve"> </v>
      </c>
      <c r="I92" s="1156" t="str">
        <f ca="1">IF(H92&lt;&gt;" ",LOOKUP(RANDBETWEEN(1,100),d100s,freq),"")</f>
        <v/>
      </c>
      <c r="J92" s="1156" t="str">
        <f t="shared" ca="1" si="2"/>
        <v xml:space="preserve"> </v>
      </c>
      <c r="K92" s="1156" t="str">
        <f ca="1">IF(J92&lt;&gt;" ",LOOKUP(RANDBETWEEN(1,100),d100s,freq),"")</f>
        <v/>
      </c>
      <c r="L92" s="1156" t="str">
        <f t="shared" ca="1" si="2"/>
        <v>- -</v>
      </c>
    </row>
    <row r="93" spans="1:12" ht="14.25" customHeight="1" thickBot="1">
      <c r="A93" s="1157"/>
      <c r="B93" s="1152"/>
      <c r="C93" s="1152"/>
      <c r="D93" s="1152"/>
      <c r="E93" s="1152"/>
      <c r="F93" s="1152"/>
      <c r="G93" s="1152"/>
      <c r="H93" s="1152"/>
      <c r="I93" s="1152"/>
      <c r="J93" s="1152"/>
      <c r="K93" s="1152"/>
      <c r="L93" s="1152"/>
    </row>
  </sheetData>
  <mergeCells count="25">
    <mergeCell ref="A91:L91"/>
    <mergeCell ref="A79:L79"/>
    <mergeCell ref="A81:L81"/>
    <mergeCell ref="A83:L83"/>
    <mergeCell ref="A85:L85"/>
    <mergeCell ref="A87:L87"/>
    <mergeCell ref="A89:L89"/>
    <mergeCell ref="A77:L77"/>
    <mergeCell ref="A55:L55"/>
    <mergeCell ref="A57:L57"/>
    <mergeCell ref="A59:L59"/>
    <mergeCell ref="A61:L61"/>
    <mergeCell ref="A63:L63"/>
    <mergeCell ref="A65:L65"/>
    <mergeCell ref="A67:L67"/>
    <mergeCell ref="A69:L69"/>
    <mergeCell ref="A71:L71"/>
    <mergeCell ref="A73:L73"/>
    <mergeCell ref="A75:L75"/>
    <mergeCell ref="A53:L53"/>
    <mergeCell ref="A43:L43"/>
    <mergeCell ref="A45:L45"/>
    <mergeCell ref="A47:L47"/>
    <mergeCell ref="A49:L49"/>
    <mergeCell ref="A51:L51"/>
  </mergeCells>
  <pageMargins left="0.25" right="0.25" top="0.75" bottom="0.75" header="0.3" footer="0.3"/>
  <pageSetup paperSize="9" orientation="portrait" r:id="rId1"/>
  <headerFooter>
    <oddFooter>&amp;C_x000D_&amp;1#&amp;"Arial"&amp;9&amp;K000000 Internal</oddFooter>
  </headerFooter>
  <extLst>
    <ext xmlns:x14="http://schemas.microsoft.com/office/spreadsheetml/2009/9/main" uri="{78C0D931-6437-407d-A8EE-F0AAD7539E65}">
      <x14:conditionalFormattings>
        <x14:conditionalFormatting xmlns:xm="http://schemas.microsoft.com/office/excel/2006/main">
          <x14:cfRule type="containsText" priority="1" operator="containsText" id="{EF75623F-E031-492E-BF1F-A6C944462EB4}">
            <xm:f>NOT(ISERROR(SEARCH("- -",B42)))</xm:f>
            <xm:f>"- -"</xm:f>
            <x14:dxf>
              <fill>
                <patternFill>
                  <bgColor rgb="FFFFC000"/>
                </patternFill>
              </fill>
            </x14:dxf>
          </x14:cfRule>
          <x14:cfRule type="containsText" priority="2" operator="containsText" id="{C64E9D5C-2BFB-4735-AC1C-B64ECD732475}">
            <xm:f>NOT(ISERROR(SEARCH("++",B42)))</xm:f>
            <xm:f>"++"</xm:f>
            <x14:dxf>
              <fill>
                <patternFill>
                  <bgColor theme="3" tint="0.39994506668294322"/>
                </patternFill>
              </fill>
            </x14:dxf>
          </x14:cfRule>
          <xm:sqref>B42:L42 B44:L44 B46:L46 B48:L48 B50:L50 B52:L52 B54:L54 B56:L56 B58:L58 B60:L60 B62:L62 B64:L64 B66:L66 B68:L68 B70:L70 B72:L72 B74:L74 B76:L76 B78:L78 B80:L80 B82:L82 B84:L84 B86:L86 B88:L88 B90:L90 B92:L92</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8"/>
  <sheetViews>
    <sheetView topLeftCell="A17" workbookViewId="0">
      <selection activeCell="C42" sqref="C42:V42"/>
    </sheetView>
  </sheetViews>
  <sheetFormatPr baseColWidth="10" defaultRowHeight="14.4"/>
  <cols>
    <col min="1" max="1" width="2" bestFit="1" customWidth="1"/>
    <col min="2" max="2" width="8.77734375" customWidth="1"/>
    <col min="3" max="3" width="5.33203125" bestFit="1" customWidth="1"/>
    <col min="4" max="4" width="3.44140625" customWidth="1"/>
    <col min="5" max="5" width="6.44140625" bestFit="1" customWidth="1"/>
    <col min="6" max="6" width="3.88671875" customWidth="1"/>
    <col min="7" max="7" width="6.33203125" bestFit="1" customWidth="1"/>
    <col min="8" max="8" width="3.44140625" customWidth="1"/>
    <col min="9" max="9" width="7.21875" customWidth="1"/>
    <col min="10" max="10" width="4.33203125" style="110" bestFit="1" customWidth="1"/>
    <col min="11" max="11" width="7.33203125" style="110" customWidth="1"/>
    <col min="12" max="12" width="4" style="110" bestFit="1" customWidth="1"/>
    <col min="13" max="13" width="4.88671875" style="110" bestFit="1" customWidth="1"/>
    <col min="14" max="14" width="3.5546875" style="110" customWidth="1"/>
    <col min="15" max="15" width="6.33203125" style="110" bestFit="1" customWidth="1"/>
    <col min="16" max="16" width="2.5546875" style="110" customWidth="1"/>
    <col min="17" max="17" width="2" style="110" bestFit="1" customWidth="1"/>
    <col min="18" max="18" width="2.88671875" style="110" customWidth="1"/>
    <col min="19" max="19" width="2" style="110" bestFit="1" customWidth="1"/>
    <col min="20" max="20" width="2.77734375" style="110" customWidth="1"/>
    <col min="21" max="21" width="2" style="110" bestFit="1" customWidth="1"/>
    <col min="22" max="22" width="2.6640625" style="110" customWidth="1"/>
    <col min="23" max="23" width="2" style="110" bestFit="1" customWidth="1"/>
    <col min="24" max="37" width="2" bestFit="1" customWidth="1"/>
  </cols>
  <sheetData>
    <row r="1" spans="2:37" ht="20.399999999999999" hidden="1">
      <c r="B1" s="1448" t="s">
        <v>6965</v>
      </c>
      <c r="C1" s="1708" t="s">
        <v>6919</v>
      </c>
      <c r="D1" s="142" t="s">
        <v>713</v>
      </c>
      <c r="E1" s="1708" t="s">
        <v>717</v>
      </c>
      <c r="F1" s="1708" t="s">
        <v>714</v>
      </c>
      <c r="G1" s="142" t="s">
        <v>715</v>
      </c>
      <c r="H1" s="1708" t="s">
        <v>6967</v>
      </c>
      <c r="I1" s="1708" t="s">
        <v>6918</v>
      </c>
      <c r="J1" s="493"/>
      <c r="K1" s="1502"/>
      <c r="L1" s="493" t="s">
        <v>7014</v>
      </c>
      <c r="M1" s="1502"/>
      <c r="N1" s="493"/>
      <c r="O1" s="1502"/>
      <c r="P1" s="493"/>
      <c r="Q1" s="1502"/>
      <c r="R1" s="493" t="s">
        <v>7013</v>
      </c>
      <c r="S1" s="1502"/>
      <c r="T1" s="493"/>
      <c r="U1" s="1502"/>
      <c r="V1" s="493"/>
      <c r="W1" s="1502"/>
    </row>
    <row r="2" spans="2:37" ht="31.2" hidden="1" thickBot="1">
      <c r="B2" s="1449" t="s">
        <v>6966</v>
      </c>
      <c r="C2" s="1709"/>
      <c r="D2" s="134" t="s">
        <v>711</v>
      </c>
      <c r="E2" s="1709"/>
      <c r="F2" s="1709"/>
      <c r="G2" s="134" t="s">
        <v>716</v>
      </c>
      <c r="H2" s="1709"/>
      <c r="I2" s="1709"/>
      <c r="J2" s="1503" t="s">
        <v>7008</v>
      </c>
      <c r="K2" s="1504"/>
      <c r="L2" s="1503" t="s">
        <v>7009</v>
      </c>
      <c r="M2" s="1504"/>
      <c r="N2" s="1503" t="s">
        <v>7010</v>
      </c>
      <c r="O2" s="1504"/>
      <c r="P2" s="1503" t="s">
        <v>7011</v>
      </c>
      <c r="Q2" s="1504"/>
      <c r="R2" s="1503" t="s">
        <v>7012</v>
      </c>
      <c r="S2" s="1504"/>
      <c r="T2" s="1503" t="s">
        <v>7015</v>
      </c>
      <c r="U2" s="1504"/>
      <c r="V2" s="1503" t="s">
        <v>7016</v>
      </c>
      <c r="W2" s="1504"/>
    </row>
    <row r="3" spans="2:37" ht="21" hidden="1" thickBot="1">
      <c r="B3" s="1449" t="s">
        <v>6968</v>
      </c>
      <c r="C3" s="1498" t="s">
        <v>6969</v>
      </c>
      <c r="D3" s="1498" t="s">
        <v>6970</v>
      </c>
      <c r="E3" s="1498" t="s">
        <v>6971</v>
      </c>
      <c r="F3" s="1498" t="s">
        <v>6972</v>
      </c>
      <c r="G3" s="1498" t="s">
        <v>6973</v>
      </c>
      <c r="H3" s="1498" t="s">
        <v>6974</v>
      </c>
      <c r="I3" s="1498" t="s">
        <v>6970</v>
      </c>
      <c r="J3" s="1505">
        <v>1</v>
      </c>
      <c r="K3" s="1506">
        <v>3</v>
      </c>
      <c r="L3" s="1505">
        <v>2</v>
      </c>
      <c r="M3" s="1506">
        <v>1</v>
      </c>
      <c r="N3" s="1505">
        <v>2</v>
      </c>
      <c r="O3" s="1506">
        <v>2</v>
      </c>
      <c r="P3" s="1505">
        <v>3</v>
      </c>
      <c r="Q3" s="1506">
        <v>5</v>
      </c>
      <c r="R3" s="1505">
        <v>1</v>
      </c>
      <c r="S3" s="1506">
        <v>1</v>
      </c>
      <c r="T3" s="1505">
        <v>9</v>
      </c>
      <c r="U3" s="1506">
        <v>4</v>
      </c>
      <c r="V3" s="1505">
        <v>2</v>
      </c>
      <c r="W3" s="1506">
        <v>1</v>
      </c>
      <c r="X3" s="1501"/>
      <c r="Y3" s="1501"/>
      <c r="Z3" s="1501"/>
      <c r="AA3" s="1501"/>
      <c r="AB3" s="1501"/>
      <c r="AC3" s="1501"/>
      <c r="AD3" s="1501"/>
      <c r="AE3" s="1501"/>
      <c r="AF3" s="1501"/>
      <c r="AG3" s="1501"/>
      <c r="AH3" s="1501"/>
      <c r="AI3" s="1501"/>
      <c r="AJ3" s="1501"/>
      <c r="AK3" s="1501"/>
    </row>
    <row r="4" spans="2:37" ht="21" hidden="1" thickBot="1">
      <c r="B4" s="1499" t="s">
        <v>6975</v>
      </c>
      <c r="C4" s="1500" t="s">
        <v>6976</v>
      </c>
      <c r="D4" s="1500" t="s">
        <v>6977</v>
      </c>
      <c r="E4" s="1500" t="s">
        <v>6978</v>
      </c>
      <c r="F4" s="1500" t="s">
        <v>6979</v>
      </c>
      <c r="G4" s="1500" t="s">
        <v>6977</v>
      </c>
      <c r="H4" s="1500" t="s">
        <v>6980</v>
      </c>
      <c r="I4" s="1500" t="s">
        <v>6973</v>
      </c>
      <c r="J4" s="1505">
        <v>0</v>
      </c>
      <c r="K4" s="1506">
        <v>2</v>
      </c>
      <c r="L4" s="1505">
        <v>1</v>
      </c>
      <c r="M4" s="1506">
        <v>2</v>
      </c>
      <c r="N4" s="1505">
        <v>2</v>
      </c>
      <c r="O4" s="1506">
        <v>3</v>
      </c>
      <c r="P4" s="1505">
        <v>4</v>
      </c>
      <c r="Q4" s="1506">
        <v>2</v>
      </c>
      <c r="R4" s="1505">
        <v>1</v>
      </c>
      <c r="S4" s="1506">
        <v>2</v>
      </c>
      <c r="T4" s="1505">
        <v>5</v>
      </c>
      <c r="U4" s="1506">
        <v>4</v>
      </c>
      <c r="V4" s="1505">
        <v>1</v>
      </c>
      <c r="W4" s="1506">
        <v>1</v>
      </c>
      <c r="X4" s="1501"/>
      <c r="Y4" s="1501"/>
      <c r="Z4" s="1501"/>
      <c r="AA4" s="1501"/>
      <c r="AB4" s="1501"/>
      <c r="AC4" s="1501"/>
      <c r="AD4" s="1501"/>
      <c r="AE4" s="1501"/>
      <c r="AF4" s="1501"/>
      <c r="AG4" s="1501"/>
      <c r="AH4" s="1501"/>
      <c r="AI4" s="1501"/>
      <c r="AJ4" s="1501"/>
      <c r="AK4" s="1501"/>
    </row>
    <row r="5" spans="2:37" ht="21" hidden="1" thickBot="1">
      <c r="B5" s="1449" t="s">
        <v>6981</v>
      </c>
      <c r="C5" s="1498" t="s">
        <v>6977</v>
      </c>
      <c r="D5" s="1498" t="s">
        <v>6973</v>
      </c>
      <c r="E5" s="1498" t="s">
        <v>6978</v>
      </c>
      <c r="F5" s="1498" t="s">
        <v>6982</v>
      </c>
      <c r="G5" s="1498" t="s">
        <v>6973</v>
      </c>
      <c r="H5" s="1498" t="s">
        <v>6983</v>
      </c>
      <c r="I5" s="1498" t="s">
        <v>6973</v>
      </c>
      <c r="J5" s="1505">
        <v>1</v>
      </c>
      <c r="K5" s="1506">
        <v>2</v>
      </c>
      <c r="L5" s="1505">
        <v>1</v>
      </c>
      <c r="M5" s="1506">
        <v>1</v>
      </c>
      <c r="N5" s="1505">
        <v>2</v>
      </c>
      <c r="O5" s="1506">
        <v>3</v>
      </c>
      <c r="P5" s="1505">
        <v>5</v>
      </c>
      <c r="Q5" s="1506">
        <v>6</v>
      </c>
      <c r="R5" s="1505">
        <v>1</v>
      </c>
      <c r="S5" s="1506">
        <v>1</v>
      </c>
      <c r="T5" s="1505">
        <v>4</v>
      </c>
      <c r="U5" s="1506">
        <v>3</v>
      </c>
      <c r="V5" s="1505">
        <v>1</v>
      </c>
      <c r="W5" s="1506">
        <v>1</v>
      </c>
      <c r="X5" s="1501"/>
      <c r="Y5" s="1501"/>
      <c r="Z5" s="1501"/>
      <c r="AA5" s="1501"/>
      <c r="AB5" s="1501"/>
      <c r="AC5" s="1501"/>
      <c r="AD5" s="1501"/>
      <c r="AE5" s="1501"/>
      <c r="AF5" s="1501"/>
      <c r="AG5" s="1501"/>
      <c r="AH5" s="1501"/>
      <c r="AI5" s="1501"/>
      <c r="AJ5" s="1501"/>
      <c r="AK5" s="1501"/>
    </row>
    <row r="6" spans="2:37" ht="21" hidden="1" thickBot="1">
      <c r="B6" s="1499" t="s">
        <v>714</v>
      </c>
      <c r="C6" s="1500" t="s">
        <v>6977</v>
      </c>
      <c r="D6" s="1500" t="s">
        <v>6973</v>
      </c>
      <c r="E6" s="1500" t="s">
        <v>6983</v>
      </c>
      <c r="F6" s="1500" t="s">
        <v>6974</v>
      </c>
      <c r="G6" s="1500" t="s">
        <v>6973</v>
      </c>
      <c r="H6" s="1500" t="s">
        <v>6984</v>
      </c>
      <c r="I6" s="1500" t="s">
        <v>6977</v>
      </c>
      <c r="J6" s="1505">
        <v>1</v>
      </c>
      <c r="K6" s="1506">
        <v>2</v>
      </c>
      <c r="L6" s="1505">
        <v>1</v>
      </c>
      <c r="M6" s="1506">
        <v>1</v>
      </c>
      <c r="N6" s="1505">
        <v>4</v>
      </c>
      <c r="O6" s="1506">
        <v>3</v>
      </c>
      <c r="P6" s="1505">
        <v>9</v>
      </c>
      <c r="Q6" s="1506">
        <v>4</v>
      </c>
      <c r="R6" s="1505">
        <v>1</v>
      </c>
      <c r="S6" s="1506">
        <v>1</v>
      </c>
      <c r="T6" s="1505">
        <v>3</v>
      </c>
      <c r="U6" s="1506">
        <v>3</v>
      </c>
      <c r="V6" s="1505">
        <v>1</v>
      </c>
      <c r="W6" s="1506">
        <v>2</v>
      </c>
      <c r="X6" s="1501"/>
      <c r="Y6" s="1501"/>
      <c r="Z6" s="1501"/>
      <c r="AA6" s="1501"/>
      <c r="AB6" s="1501"/>
      <c r="AC6" s="1501"/>
      <c r="AD6" s="1501"/>
      <c r="AE6" s="1501"/>
      <c r="AF6" s="1501"/>
      <c r="AG6" s="1501"/>
      <c r="AH6" s="1501"/>
      <c r="AI6" s="1501"/>
      <c r="AJ6" s="1501"/>
      <c r="AK6" s="1501"/>
    </row>
    <row r="7" spans="2:37" ht="21" hidden="1" thickBot="1">
      <c r="B7" s="1449" t="s">
        <v>717</v>
      </c>
      <c r="C7" s="1498" t="s">
        <v>6980</v>
      </c>
      <c r="D7" s="1498" t="s">
        <v>6985</v>
      </c>
      <c r="E7" s="1498" t="s">
        <v>6974</v>
      </c>
      <c r="F7" s="1498" t="s">
        <v>6986</v>
      </c>
      <c r="G7" s="1498" t="s">
        <v>6987</v>
      </c>
      <c r="H7" s="1498" t="s">
        <v>6988</v>
      </c>
      <c r="I7" s="1498" t="s">
        <v>6989</v>
      </c>
      <c r="J7" s="1505">
        <v>5</v>
      </c>
      <c r="K7" s="1506">
        <v>4</v>
      </c>
      <c r="L7" s="1505">
        <v>3</v>
      </c>
      <c r="M7" s="1506">
        <v>2</v>
      </c>
      <c r="N7" s="1505">
        <v>9</v>
      </c>
      <c r="O7" s="1506">
        <v>4</v>
      </c>
      <c r="P7" s="1505">
        <v>8</v>
      </c>
      <c r="Q7" s="1506">
        <v>6</v>
      </c>
      <c r="R7" s="1505">
        <v>3</v>
      </c>
      <c r="S7" s="1506">
        <v>1</v>
      </c>
      <c r="T7" s="1505">
        <v>6</v>
      </c>
      <c r="U7" s="1506">
        <v>2</v>
      </c>
      <c r="V7" s="1505">
        <v>4</v>
      </c>
      <c r="W7" s="1506">
        <v>1</v>
      </c>
      <c r="X7" s="1501"/>
      <c r="Y7" s="1501"/>
      <c r="Z7" s="1501"/>
      <c r="AA7" s="1501"/>
      <c r="AB7" s="1501"/>
      <c r="AC7" s="1501"/>
      <c r="AD7" s="1501"/>
      <c r="AE7" s="1501"/>
      <c r="AF7" s="1501"/>
      <c r="AG7" s="1501"/>
      <c r="AH7" s="1501"/>
      <c r="AI7" s="1501"/>
      <c r="AJ7" s="1501"/>
      <c r="AK7" s="1501"/>
    </row>
    <row r="8" spans="2:37" ht="21" hidden="1" thickBot="1">
      <c r="B8" s="1499" t="s">
        <v>6990</v>
      </c>
      <c r="C8" s="1500" t="s">
        <v>6985</v>
      </c>
      <c r="D8" s="1500" t="s">
        <v>6970</v>
      </c>
      <c r="E8" s="1500" t="s">
        <v>6979</v>
      </c>
      <c r="F8" s="1500" t="s">
        <v>6980</v>
      </c>
      <c r="G8" s="1500" t="s">
        <v>6970</v>
      </c>
      <c r="H8" s="1500" t="s">
        <v>6984</v>
      </c>
      <c r="I8" s="1500" t="s">
        <v>6991</v>
      </c>
      <c r="J8" s="1505">
        <v>3</v>
      </c>
      <c r="K8" s="1506">
        <v>2</v>
      </c>
      <c r="L8" s="1505">
        <v>2</v>
      </c>
      <c r="M8" s="1506">
        <v>1</v>
      </c>
      <c r="N8" s="1505">
        <v>4</v>
      </c>
      <c r="O8" s="1506">
        <v>2</v>
      </c>
      <c r="P8" s="1505">
        <v>5</v>
      </c>
      <c r="Q8" s="1506">
        <v>4</v>
      </c>
      <c r="R8" s="1505">
        <v>2</v>
      </c>
      <c r="S8" s="1506">
        <v>1</v>
      </c>
      <c r="T8" s="1505">
        <v>3</v>
      </c>
      <c r="U8" s="1506">
        <v>3</v>
      </c>
      <c r="V8" s="1505">
        <v>3</v>
      </c>
      <c r="W8" s="1506">
        <v>4</v>
      </c>
      <c r="X8" s="1501"/>
      <c r="Y8" s="1501"/>
      <c r="Z8" s="1501"/>
      <c r="AA8" s="1501"/>
      <c r="AB8" s="1501"/>
      <c r="AC8" s="1501"/>
      <c r="AD8" s="1501"/>
      <c r="AE8" s="1501"/>
      <c r="AF8" s="1501"/>
      <c r="AG8" s="1501"/>
      <c r="AH8" s="1501"/>
      <c r="AI8" s="1501"/>
      <c r="AJ8" s="1501"/>
      <c r="AK8" s="1501"/>
    </row>
    <row r="9" spans="2:37" ht="21" hidden="1" thickBot="1">
      <c r="B9" s="1449" t="s">
        <v>6992</v>
      </c>
      <c r="C9" s="1498" t="s">
        <v>6993</v>
      </c>
      <c r="D9" s="1498" t="s">
        <v>6994</v>
      </c>
      <c r="E9" s="1498" t="s">
        <v>6995</v>
      </c>
      <c r="F9" s="1498" t="s">
        <v>6996</v>
      </c>
      <c r="G9" s="1498" t="s">
        <v>6997</v>
      </c>
      <c r="H9" s="1498" t="s">
        <v>6989</v>
      </c>
      <c r="I9" s="1498" t="s">
        <v>6971</v>
      </c>
      <c r="J9" s="1505">
        <v>6</v>
      </c>
      <c r="K9" s="1506">
        <v>3</v>
      </c>
      <c r="L9" s="1505">
        <v>5</v>
      </c>
      <c r="M9" s="1506">
        <v>5</v>
      </c>
      <c r="N9" s="1505">
        <v>5</v>
      </c>
      <c r="O9" s="1506">
        <v>3</v>
      </c>
      <c r="P9" s="1505">
        <v>7</v>
      </c>
      <c r="Q9" s="1506">
        <v>2</v>
      </c>
      <c r="R9" s="1505">
        <v>9</v>
      </c>
      <c r="S9" s="1506">
        <v>5</v>
      </c>
      <c r="T9" s="1505">
        <v>4</v>
      </c>
      <c r="U9" s="1506">
        <v>1</v>
      </c>
      <c r="V9" s="1505">
        <v>2</v>
      </c>
      <c r="W9" s="1506">
        <v>2</v>
      </c>
      <c r="X9" s="1501"/>
      <c r="Y9" s="1501"/>
      <c r="Z9" s="1501"/>
      <c r="AA9" s="1501"/>
      <c r="AB9" s="1501"/>
      <c r="AC9" s="1501"/>
      <c r="AD9" s="1501"/>
      <c r="AE9" s="1501"/>
      <c r="AF9" s="1501"/>
      <c r="AG9" s="1501"/>
      <c r="AH9" s="1501"/>
      <c r="AI9" s="1501"/>
      <c r="AJ9" s="1501"/>
      <c r="AK9" s="1501"/>
    </row>
    <row r="10" spans="2:37" ht="21" hidden="1" thickBot="1">
      <c r="B10" s="1499" t="s">
        <v>6998</v>
      </c>
      <c r="C10" s="1500" t="s">
        <v>6999</v>
      </c>
      <c r="D10" s="1500" t="s">
        <v>7000</v>
      </c>
      <c r="E10" s="1500" t="s">
        <v>6996</v>
      </c>
      <c r="F10" s="1500" t="s">
        <v>6999</v>
      </c>
      <c r="G10" s="1500" t="s">
        <v>6974</v>
      </c>
      <c r="H10" s="1500" t="s">
        <v>7001</v>
      </c>
      <c r="I10" s="1500" t="s">
        <v>6985</v>
      </c>
      <c r="J10" s="1505">
        <v>8</v>
      </c>
      <c r="K10" s="1506">
        <v>3</v>
      </c>
      <c r="L10" s="1505">
        <v>6</v>
      </c>
      <c r="M10" s="1506">
        <v>4</v>
      </c>
      <c r="N10" s="1505">
        <v>7</v>
      </c>
      <c r="O10" s="1506">
        <v>2</v>
      </c>
      <c r="P10" s="1505">
        <v>8</v>
      </c>
      <c r="Q10" s="1506">
        <v>3</v>
      </c>
      <c r="R10" s="1505">
        <v>9</v>
      </c>
      <c r="S10" s="1506">
        <v>4</v>
      </c>
      <c r="T10" s="1505">
        <v>8</v>
      </c>
      <c r="U10" s="1506">
        <v>4</v>
      </c>
      <c r="V10" s="1505">
        <v>3</v>
      </c>
      <c r="W10" s="1506">
        <v>2</v>
      </c>
      <c r="X10" s="1501"/>
      <c r="Y10" s="1501"/>
      <c r="Z10" s="1501"/>
      <c r="AA10" s="1501"/>
      <c r="AB10" s="1501"/>
      <c r="AC10" s="1501"/>
      <c r="AD10" s="1501"/>
      <c r="AE10" s="1501"/>
      <c r="AF10" s="1501"/>
      <c r="AG10" s="1501"/>
      <c r="AH10" s="1501"/>
      <c r="AI10" s="1501"/>
      <c r="AJ10" s="1501"/>
      <c r="AK10" s="1501"/>
    </row>
    <row r="11" spans="2:37" ht="21" hidden="1" thickBot="1">
      <c r="B11" s="1449" t="s">
        <v>6919</v>
      </c>
      <c r="C11" s="1498" t="s">
        <v>7002</v>
      </c>
      <c r="D11" s="1498" t="s">
        <v>6993</v>
      </c>
      <c r="E11" s="1498" t="s">
        <v>7003</v>
      </c>
      <c r="F11" s="1498" t="s">
        <v>6980</v>
      </c>
      <c r="G11" s="1498" t="s">
        <v>6999</v>
      </c>
      <c r="H11" s="1498" t="s">
        <v>6988</v>
      </c>
      <c r="I11" s="1498" t="s">
        <v>6979</v>
      </c>
      <c r="J11" s="1505">
        <v>9</v>
      </c>
      <c r="K11" s="1506">
        <v>6</v>
      </c>
      <c r="L11" s="1505">
        <v>6</v>
      </c>
      <c r="M11" s="1506">
        <v>3</v>
      </c>
      <c r="N11" s="1505">
        <v>7</v>
      </c>
      <c r="O11" s="1506">
        <v>4</v>
      </c>
      <c r="P11" s="1505">
        <v>5</v>
      </c>
      <c r="Q11" s="1506">
        <v>4</v>
      </c>
      <c r="R11" s="1505">
        <v>8</v>
      </c>
      <c r="S11" s="1506">
        <v>3</v>
      </c>
      <c r="T11" s="1505">
        <v>6</v>
      </c>
      <c r="U11" s="1506">
        <v>2</v>
      </c>
      <c r="V11" s="1505">
        <v>4</v>
      </c>
      <c r="W11" s="1506">
        <v>2</v>
      </c>
      <c r="X11" s="1501"/>
      <c r="Y11" s="1501"/>
      <c r="Z11" s="1501"/>
      <c r="AA11" s="1501"/>
      <c r="AB11" s="1501"/>
      <c r="AC11" s="1501"/>
      <c r="AD11" s="1501"/>
      <c r="AE11" s="1501"/>
      <c r="AF11" s="1501"/>
      <c r="AG11" s="1501"/>
      <c r="AH11" s="1501"/>
      <c r="AI11" s="1501"/>
      <c r="AJ11" s="1501"/>
      <c r="AK11" s="1501"/>
    </row>
    <row r="12" spans="2:37" ht="21" hidden="1" thickBot="1">
      <c r="B12" s="1499" t="s">
        <v>715</v>
      </c>
      <c r="C12" s="1500" t="s">
        <v>6984</v>
      </c>
      <c r="D12" s="1500" t="s">
        <v>6989</v>
      </c>
      <c r="E12" s="1500" t="s">
        <v>6970</v>
      </c>
      <c r="F12" s="1500" t="s">
        <v>6973</v>
      </c>
      <c r="G12" s="1500" t="s">
        <v>6974</v>
      </c>
      <c r="H12" s="1500" t="s">
        <v>6985</v>
      </c>
      <c r="I12" s="1500" t="s">
        <v>6973</v>
      </c>
      <c r="J12" s="1505">
        <v>3</v>
      </c>
      <c r="K12" s="1506">
        <v>3</v>
      </c>
      <c r="L12" s="1505">
        <v>4</v>
      </c>
      <c r="M12" s="1506">
        <v>1</v>
      </c>
      <c r="N12" s="1505">
        <v>2</v>
      </c>
      <c r="O12" s="1506">
        <v>1</v>
      </c>
      <c r="P12" s="1505">
        <v>1</v>
      </c>
      <c r="Q12" s="1506">
        <v>1</v>
      </c>
      <c r="R12" s="1505">
        <v>9</v>
      </c>
      <c r="S12" s="1506">
        <v>4</v>
      </c>
      <c r="T12" s="1505">
        <v>3</v>
      </c>
      <c r="U12" s="1506">
        <v>2</v>
      </c>
      <c r="V12" s="1505">
        <v>1</v>
      </c>
      <c r="W12" s="1506">
        <v>1</v>
      </c>
      <c r="X12" s="1501"/>
      <c r="Y12" s="1501"/>
      <c r="Z12" s="1501"/>
      <c r="AA12" s="1501"/>
      <c r="AB12" s="1501"/>
      <c r="AC12" s="1501"/>
      <c r="AD12" s="1501"/>
      <c r="AE12" s="1501"/>
      <c r="AF12" s="1501"/>
      <c r="AG12" s="1501"/>
      <c r="AH12" s="1501"/>
      <c r="AI12" s="1501"/>
      <c r="AJ12" s="1501"/>
      <c r="AK12" s="1501"/>
    </row>
    <row r="13" spans="2:37" ht="21" hidden="1" thickBot="1">
      <c r="B13" s="1449" t="s">
        <v>713</v>
      </c>
      <c r="C13" s="1498" t="s">
        <v>7000</v>
      </c>
      <c r="D13" s="1498" t="s">
        <v>7004</v>
      </c>
      <c r="E13" s="1498" t="s">
        <v>6994</v>
      </c>
      <c r="F13" s="1498" t="s">
        <v>6985</v>
      </c>
      <c r="G13" s="1498" t="s">
        <v>6979</v>
      </c>
      <c r="H13" s="1498" t="s">
        <v>7005</v>
      </c>
      <c r="I13" s="1498" t="s">
        <v>6993</v>
      </c>
      <c r="J13" s="1505">
        <v>6</v>
      </c>
      <c r="K13" s="1506">
        <v>4</v>
      </c>
      <c r="L13" s="1505">
        <v>9</v>
      </c>
      <c r="M13" s="1506">
        <v>8</v>
      </c>
      <c r="N13" s="1505">
        <v>5</v>
      </c>
      <c r="O13" s="1506">
        <v>5</v>
      </c>
      <c r="P13" s="1505">
        <v>3</v>
      </c>
      <c r="Q13" s="1506">
        <v>2</v>
      </c>
      <c r="R13" s="1505">
        <v>4</v>
      </c>
      <c r="S13" s="1506">
        <v>2</v>
      </c>
      <c r="T13" s="1505">
        <v>8</v>
      </c>
      <c r="U13" s="1506">
        <v>5</v>
      </c>
      <c r="V13" s="1505">
        <v>6</v>
      </c>
      <c r="W13" s="1506">
        <v>3</v>
      </c>
      <c r="X13" s="1501"/>
      <c r="Y13" s="1501"/>
      <c r="Z13" s="1501"/>
      <c r="AA13" s="1501"/>
      <c r="AB13" s="1501"/>
      <c r="AC13" s="1501"/>
      <c r="AD13" s="1501"/>
      <c r="AE13" s="1501"/>
      <c r="AF13" s="1501"/>
      <c r="AG13" s="1501"/>
      <c r="AH13" s="1501"/>
      <c r="AI13" s="1501"/>
      <c r="AJ13" s="1501"/>
      <c r="AK13" s="1501"/>
    </row>
    <row r="14" spans="2:37" ht="21" hidden="1" thickBot="1">
      <c r="B14" s="1499" t="s">
        <v>711</v>
      </c>
      <c r="C14" s="1500" t="s">
        <v>6973</v>
      </c>
      <c r="D14" s="1500" t="s">
        <v>7000</v>
      </c>
      <c r="E14" s="1500" t="s">
        <v>6977</v>
      </c>
      <c r="F14" s="1500" t="s">
        <v>6970</v>
      </c>
      <c r="G14" s="1500" t="s">
        <v>6984</v>
      </c>
      <c r="H14" s="1500" t="s">
        <v>6978</v>
      </c>
      <c r="I14" s="1500" t="s">
        <v>6972</v>
      </c>
      <c r="J14" s="1505">
        <v>1</v>
      </c>
      <c r="K14" s="1506">
        <v>1</v>
      </c>
      <c r="L14" s="1505">
        <v>6</v>
      </c>
      <c r="M14" s="1506">
        <v>4</v>
      </c>
      <c r="N14" s="1505">
        <v>1</v>
      </c>
      <c r="O14" s="1506">
        <v>2</v>
      </c>
      <c r="P14" s="1505">
        <v>2</v>
      </c>
      <c r="Q14" s="1506">
        <v>1</v>
      </c>
      <c r="R14" s="1505">
        <v>3</v>
      </c>
      <c r="S14" s="1506">
        <v>3</v>
      </c>
      <c r="T14" s="1505">
        <v>2</v>
      </c>
      <c r="U14" s="1506">
        <v>3</v>
      </c>
      <c r="V14" s="1505">
        <v>3</v>
      </c>
      <c r="W14" s="1506">
        <v>5</v>
      </c>
      <c r="X14" s="1501"/>
      <c r="Y14" s="1501"/>
      <c r="Z14" s="1501"/>
      <c r="AA14" s="1501"/>
      <c r="AB14" s="1501"/>
      <c r="AC14" s="1501"/>
      <c r="AD14" s="1501"/>
      <c r="AE14" s="1501"/>
      <c r="AF14" s="1501"/>
      <c r="AG14" s="1501"/>
      <c r="AH14" s="1501"/>
      <c r="AI14" s="1501"/>
      <c r="AJ14" s="1501"/>
      <c r="AK14" s="1501"/>
    </row>
    <row r="15" spans="2:37" ht="21" hidden="1" thickBot="1">
      <c r="B15" s="1449" t="s">
        <v>6918</v>
      </c>
      <c r="C15" s="1498" t="s">
        <v>6973</v>
      </c>
      <c r="D15" s="1498" t="s">
        <v>7006</v>
      </c>
      <c r="E15" s="1498" t="s">
        <v>6971</v>
      </c>
      <c r="F15" s="1498" t="s">
        <v>6970</v>
      </c>
      <c r="G15" s="1498" t="s">
        <v>6973</v>
      </c>
      <c r="H15" s="1498" t="s">
        <v>6978</v>
      </c>
      <c r="I15" s="1498" t="s">
        <v>7004</v>
      </c>
      <c r="J15" s="1505">
        <v>1</v>
      </c>
      <c r="K15" s="1506">
        <v>1</v>
      </c>
      <c r="L15" s="1505">
        <v>2</v>
      </c>
      <c r="M15" s="1506">
        <v>4</v>
      </c>
      <c r="N15" s="1505">
        <v>2</v>
      </c>
      <c r="O15" s="1506">
        <v>2</v>
      </c>
      <c r="P15" s="1505">
        <v>2</v>
      </c>
      <c r="Q15" s="1506">
        <v>1</v>
      </c>
      <c r="R15" s="1505">
        <v>1</v>
      </c>
      <c r="S15" s="1506">
        <v>1</v>
      </c>
      <c r="T15" s="1505">
        <v>2</v>
      </c>
      <c r="U15" s="1506">
        <v>3</v>
      </c>
      <c r="V15" s="1505">
        <v>9</v>
      </c>
      <c r="W15" s="1506">
        <v>8</v>
      </c>
      <c r="X15" s="1501"/>
      <c r="Y15" s="1501"/>
      <c r="Z15" s="1501"/>
      <c r="AA15" s="1501"/>
      <c r="AB15" s="1501"/>
      <c r="AC15" s="1501"/>
      <c r="AD15" s="1501"/>
      <c r="AE15" s="1501"/>
      <c r="AF15" s="1501"/>
      <c r="AG15" s="1501"/>
      <c r="AH15" s="1501"/>
      <c r="AI15" s="1501"/>
      <c r="AJ15" s="1501"/>
      <c r="AK15" s="1501"/>
    </row>
    <row r="16" spans="2:37" ht="21" hidden="1" thickBot="1">
      <c r="B16" s="1499" t="s">
        <v>7007</v>
      </c>
      <c r="C16" s="1511" t="s">
        <v>6993</v>
      </c>
      <c r="D16" s="1511" t="s">
        <v>7005</v>
      </c>
      <c r="E16" s="1511" t="s">
        <v>6979</v>
      </c>
      <c r="F16" s="1511" t="s">
        <v>6987</v>
      </c>
      <c r="G16" s="1511" t="s">
        <v>6970</v>
      </c>
      <c r="H16" s="1511" t="s">
        <v>7000</v>
      </c>
      <c r="I16" s="1511" t="s">
        <v>6970</v>
      </c>
      <c r="J16" s="1505">
        <v>6</v>
      </c>
      <c r="K16" s="1506">
        <v>3</v>
      </c>
      <c r="L16" s="1505">
        <v>8</v>
      </c>
      <c r="M16" s="1506">
        <v>5</v>
      </c>
      <c r="N16" s="1505">
        <v>4</v>
      </c>
      <c r="O16" s="1506">
        <v>2</v>
      </c>
      <c r="P16" s="1505">
        <v>3</v>
      </c>
      <c r="Q16" s="1506">
        <v>1</v>
      </c>
      <c r="R16" s="1505">
        <v>2</v>
      </c>
      <c r="S16" s="1508">
        <v>1</v>
      </c>
      <c r="T16" s="1507">
        <v>6</v>
      </c>
      <c r="U16" s="1508">
        <v>4</v>
      </c>
      <c r="V16" s="1507">
        <v>2</v>
      </c>
      <c r="W16" s="1508">
        <v>1</v>
      </c>
      <c r="X16" s="1501"/>
      <c r="Y16" s="1501"/>
      <c r="Z16" s="1501"/>
      <c r="AA16" s="1501"/>
      <c r="AB16" s="1501"/>
      <c r="AC16" s="1501"/>
      <c r="AD16" s="1501"/>
      <c r="AE16" s="1501"/>
      <c r="AF16" s="1501"/>
      <c r="AG16" s="1501"/>
      <c r="AH16" s="1501"/>
      <c r="AI16" s="1501"/>
      <c r="AJ16" s="1501"/>
      <c r="AK16" s="1501"/>
    </row>
    <row r="17" spans="1:22" ht="21" thickBot="1">
      <c r="C17" s="1520" t="s">
        <v>6919</v>
      </c>
      <c r="D17" s="1521"/>
      <c r="E17" s="1520" t="s">
        <v>7017</v>
      </c>
      <c r="F17" s="1521"/>
      <c r="G17" s="1520" t="s">
        <v>717</v>
      </c>
      <c r="H17" s="1521"/>
      <c r="I17" s="1520" t="s">
        <v>714</v>
      </c>
      <c r="J17" s="1522"/>
      <c r="K17" s="1523" t="s">
        <v>7018</v>
      </c>
      <c r="L17" s="1522"/>
      <c r="M17" s="1523" t="s">
        <v>6967</v>
      </c>
      <c r="N17" s="1522"/>
      <c r="O17" s="1523" t="s">
        <v>6918</v>
      </c>
      <c r="P17" s="1524"/>
      <c r="Q17" s="1527" t="s">
        <v>1043</v>
      </c>
      <c r="R17" s="1528" t="s">
        <v>999</v>
      </c>
      <c r="S17" s="1535" t="s">
        <v>1043</v>
      </c>
      <c r="T17" s="1536" t="s">
        <v>999</v>
      </c>
      <c r="U17" s="1543" t="s">
        <v>1043</v>
      </c>
      <c r="V17" s="1544" t="s">
        <v>999</v>
      </c>
    </row>
    <row r="18" spans="1:22" ht="15" thickBot="1">
      <c r="A18">
        <f ca="1">RANDBETWEEN(1,10)</f>
        <v>1</v>
      </c>
      <c r="B18" s="1525" t="s">
        <v>6968</v>
      </c>
      <c r="C18" s="1519">
        <f ca="1">IF($A18&lt;=J3,$A18,0)</f>
        <v>1</v>
      </c>
      <c r="D18" s="1516" t="str">
        <f ca="1">IF(C18&gt;0,IF(RANDBETWEEN(1,10)&lt;=K3,"G"," ")," ")</f>
        <v>G</v>
      </c>
      <c r="E18" s="1519">
        <f ca="1">IF($A18&lt;=L3,$A18,0)</f>
        <v>1</v>
      </c>
      <c r="F18" s="1516" t="str">
        <f ca="1">IF(E18&gt;0,IF(RANDBETWEEN(1,10)&lt;=M3,"G"," ")," ")</f>
        <v xml:space="preserve"> </v>
      </c>
      <c r="G18" s="1519">
        <f ca="1">IF($A18&lt;=N3,$A18,0)</f>
        <v>1</v>
      </c>
      <c r="H18" s="1516" t="str">
        <f ca="1">IF(G18&gt;0,IF(RANDBETWEEN(1,10)&lt;=O3,"G"," ")," ")</f>
        <v>G</v>
      </c>
      <c r="I18" s="1519">
        <f ca="1">IF($A18&lt;=P3,$A18,0)</f>
        <v>1</v>
      </c>
      <c r="J18" s="1516" t="str">
        <f ca="1">IF(I18&gt;0,IF(RANDBETWEEN(1,10)&lt;=Q3,"G"," ")," ")</f>
        <v>G</v>
      </c>
      <c r="K18" s="1519">
        <f ca="1">IF($A18&lt;=R3,$A18,0)</f>
        <v>1</v>
      </c>
      <c r="L18" s="1516" t="str">
        <f ca="1">IF(K18&gt;0,IF(RANDBETWEEN(1,10)&lt;=S3,"G"," ")," ")</f>
        <v xml:space="preserve"> </v>
      </c>
      <c r="M18" s="1519">
        <f ca="1">IF($A18&lt;=T3,$A18,0)</f>
        <v>1</v>
      </c>
      <c r="N18" s="1516" t="str">
        <f ca="1">IF(M18&gt;0,IF(RANDBETWEEN(1,10)&lt;=U3,"G"," ")," ")</f>
        <v xml:space="preserve"> </v>
      </c>
      <c r="O18" s="1519">
        <f ca="1">IF($A18&lt;=V3,$A18,0)</f>
        <v>1</v>
      </c>
      <c r="P18" s="1526" t="str">
        <f ca="1">IF(O18&gt;0,IF(RANDBETWEEN(1,10)&lt;=W3,"G"," ")," ")</f>
        <v xml:space="preserve"> </v>
      </c>
      <c r="Q18" s="1529">
        <f t="shared" ref="Q18:V18" ca="1" si="0">RANDBETWEEN(0,9)</f>
        <v>9</v>
      </c>
      <c r="R18" s="1530">
        <f t="shared" ca="1" si="0"/>
        <v>6</v>
      </c>
      <c r="S18" s="1537">
        <f t="shared" ca="1" si="0"/>
        <v>2</v>
      </c>
      <c r="T18" s="1538">
        <f t="shared" ca="1" si="0"/>
        <v>5</v>
      </c>
      <c r="U18" s="1545">
        <f t="shared" ca="1" si="0"/>
        <v>6</v>
      </c>
      <c r="V18" s="1546">
        <f t="shared" ca="1" si="0"/>
        <v>1</v>
      </c>
    </row>
    <row r="19" spans="1:22" ht="21" thickBot="1">
      <c r="A19">
        <f t="shared" ref="A19:A31" ca="1" si="1">RANDBETWEEN(1,10)</f>
        <v>10</v>
      </c>
      <c r="B19" s="1510" t="s">
        <v>6975</v>
      </c>
      <c r="C19" s="1512">
        <f t="shared" ref="C19:C31" ca="1" si="2">IF($A19&lt;=J4,$A19,0)</f>
        <v>0</v>
      </c>
      <c r="D19" s="1513" t="str">
        <f t="shared" ref="D19:D31" ca="1" si="3">IF(C19&gt;0,IF(RANDBETWEEN(1,10)&lt;=K4,"G"," ")," ")</f>
        <v xml:space="preserve"> </v>
      </c>
      <c r="E19" s="1512">
        <f t="shared" ref="E19:E31" ca="1" si="4">IF($A19&lt;=L4,$A19,0)</f>
        <v>0</v>
      </c>
      <c r="F19" s="1513" t="str">
        <f t="shared" ref="F19:F31" ca="1" si="5">IF(E19&gt;0,IF(RANDBETWEEN(1,10)&lt;=M4,"G"," ")," ")</f>
        <v xml:space="preserve"> </v>
      </c>
      <c r="G19" s="1512">
        <f t="shared" ref="G19:G31" ca="1" si="6">IF($A19&lt;=N4,$A19,0)</f>
        <v>0</v>
      </c>
      <c r="H19" s="1513" t="str">
        <f t="shared" ref="H19:H31" ca="1" si="7">IF(G19&gt;0,IF(RANDBETWEEN(1,10)&lt;=O4,"G"," ")," ")</f>
        <v xml:space="preserve"> </v>
      </c>
      <c r="I19" s="1512">
        <f t="shared" ref="I19:I31" ca="1" si="8">IF($A19&lt;=P4,$A19,0)</f>
        <v>0</v>
      </c>
      <c r="J19" s="1513" t="str">
        <f t="shared" ref="J19:J31" ca="1" si="9">IF(I19&gt;0,IF(RANDBETWEEN(1,10)&lt;=Q4,"G"," ")," ")</f>
        <v xml:space="preserve"> </v>
      </c>
      <c r="K19" s="1512">
        <f t="shared" ref="K19:K31" ca="1" si="10">IF($A19&lt;=R4,$A19,0)</f>
        <v>0</v>
      </c>
      <c r="L19" s="1513" t="str">
        <f t="shared" ref="L19:L31" ca="1" si="11">IF(K19&gt;0,IF(RANDBETWEEN(1,10)&lt;=S4,"G"," ")," ")</f>
        <v xml:space="preserve"> </v>
      </c>
      <c r="M19" s="1512">
        <f t="shared" ref="M19:M31" ca="1" si="12">IF($A19&lt;=T4,$A19,0)</f>
        <v>0</v>
      </c>
      <c r="N19" s="1513" t="str">
        <f t="shared" ref="N19:N31" ca="1" si="13">IF(M19&gt;0,IF(RANDBETWEEN(1,10)&lt;=U4,"G"," ")," ")</f>
        <v xml:space="preserve"> </v>
      </c>
      <c r="O19" s="1512">
        <f t="shared" ref="O19:O31" ca="1" si="14">IF($A19&lt;=V4,$A19,0)</f>
        <v>0</v>
      </c>
      <c r="P19" s="1517" t="str">
        <f t="shared" ref="P19:P31" ca="1" si="15">IF(O19&gt;0,IF(RANDBETWEEN(1,10)&lt;=W4,"G"," ")," ")</f>
        <v xml:space="preserve"> </v>
      </c>
      <c r="Q19" s="1531">
        <f t="shared" ref="Q19:V31" ca="1" si="16">RANDBETWEEN(0,9)</f>
        <v>0</v>
      </c>
      <c r="R19" s="1532">
        <f t="shared" ca="1" si="16"/>
        <v>4</v>
      </c>
      <c r="S19" s="1539">
        <f t="shared" ca="1" si="16"/>
        <v>7</v>
      </c>
      <c r="T19" s="1540">
        <f t="shared" ca="1" si="16"/>
        <v>9</v>
      </c>
      <c r="U19" s="1547">
        <f t="shared" ca="1" si="16"/>
        <v>5</v>
      </c>
      <c r="V19" s="1548">
        <f t="shared" ca="1" si="16"/>
        <v>2</v>
      </c>
    </row>
    <row r="20" spans="1:22" ht="21" thickBot="1">
      <c r="A20">
        <f t="shared" ca="1" si="1"/>
        <v>6</v>
      </c>
      <c r="B20" s="1509" t="s">
        <v>6981</v>
      </c>
      <c r="C20" s="1512">
        <f t="shared" ca="1" si="2"/>
        <v>0</v>
      </c>
      <c r="D20" s="1513" t="str">
        <f t="shared" ca="1" si="3"/>
        <v xml:space="preserve"> </v>
      </c>
      <c r="E20" s="1512">
        <f t="shared" ca="1" si="4"/>
        <v>0</v>
      </c>
      <c r="F20" s="1513" t="str">
        <f t="shared" ca="1" si="5"/>
        <v xml:space="preserve"> </v>
      </c>
      <c r="G20" s="1512">
        <f t="shared" ca="1" si="6"/>
        <v>0</v>
      </c>
      <c r="H20" s="1513" t="str">
        <f t="shared" ca="1" si="7"/>
        <v xml:space="preserve"> </v>
      </c>
      <c r="I20" s="1512">
        <f t="shared" ca="1" si="8"/>
        <v>0</v>
      </c>
      <c r="J20" s="1513" t="str">
        <f t="shared" ca="1" si="9"/>
        <v xml:space="preserve"> </v>
      </c>
      <c r="K20" s="1512">
        <f t="shared" ca="1" si="10"/>
        <v>0</v>
      </c>
      <c r="L20" s="1513" t="str">
        <f t="shared" ca="1" si="11"/>
        <v xml:space="preserve"> </v>
      </c>
      <c r="M20" s="1512">
        <f t="shared" ca="1" si="12"/>
        <v>0</v>
      </c>
      <c r="N20" s="1513" t="str">
        <f t="shared" ca="1" si="13"/>
        <v xml:space="preserve"> </v>
      </c>
      <c r="O20" s="1512">
        <f t="shared" ca="1" si="14"/>
        <v>0</v>
      </c>
      <c r="P20" s="1517" t="str">
        <f t="shared" ca="1" si="15"/>
        <v xml:space="preserve"> </v>
      </c>
      <c r="Q20" s="1531">
        <f t="shared" ca="1" si="16"/>
        <v>9</v>
      </c>
      <c r="R20" s="1532">
        <f t="shared" ca="1" si="16"/>
        <v>6</v>
      </c>
      <c r="S20" s="1539">
        <f t="shared" ca="1" si="16"/>
        <v>0</v>
      </c>
      <c r="T20" s="1540">
        <f t="shared" ca="1" si="16"/>
        <v>5</v>
      </c>
      <c r="U20" s="1547">
        <f t="shared" ca="1" si="16"/>
        <v>2</v>
      </c>
      <c r="V20" s="1548">
        <f t="shared" ca="1" si="16"/>
        <v>9</v>
      </c>
    </row>
    <row r="21" spans="1:22" ht="21" thickBot="1">
      <c r="A21">
        <f t="shared" ca="1" si="1"/>
        <v>7</v>
      </c>
      <c r="B21" s="1510" t="s">
        <v>714</v>
      </c>
      <c r="C21" s="1512">
        <f t="shared" ca="1" si="2"/>
        <v>0</v>
      </c>
      <c r="D21" s="1513" t="str">
        <f t="shared" ca="1" si="3"/>
        <v xml:space="preserve"> </v>
      </c>
      <c r="E21" s="1512">
        <f t="shared" ca="1" si="4"/>
        <v>0</v>
      </c>
      <c r="F21" s="1513" t="str">
        <f t="shared" ca="1" si="5"/>
        <v xml:space="preserve"> </v>
      </c>
      <c r="G21" s="1512">
        <f t="shared" ca="1" si="6"/>
        <v>0</v>
      </c>
      <c r="H21" s="1513" t="str">
        <f t="shared" ca="1" si="7"/>
        <v xml:space="preserve"> </v>
      </c>
      <c r="I21" s="1512">
        <f t="shared" ca="1" si="8"/>
        <v>7</v>
      </c>
      <c r="J21" s="1513" t="str">
        <f t="shared" ca="1" si="9"/>
        <v xml:space="preserve"> </v>
      </c>
      <c r="K21" s="1512">
        <f t="shared" ca="1" si="10"/>
        <v>0</v>
      </c>
      <c r="L21" s="1513" t="str">
        <f t="shared" ca="1" si="11"/>
        <v xml:space="preserve"> </v>
      </c>
      <c r="M21" s="1512">
        <f t="shared" ca="1" si="12"/>
        <v>0</v>
      </c>
      <c r="N21" s="1513" t="str">
        <f t="shared" ca="1" si="13"/>
        <v xml:space="preserve"> </v>
      </c>
      <c r="O21" s="1512">
        <f t="shared" ca="1" si="14"/>
        <v>0</v>
      </c>
      <c r="P21" s="1517" t="str">
        <f t="shared" ca="1" si="15"/>
        <v xml:space="preserve"> </v>
      </c>
      <c r="Q21" s="1531">
        <f t="shared" ca="1" si="16"/>
        <v>8</v>
      </c>
      <c r="R21" s="1532">
        <f t="shared" ca="1" si="16"/>
        <v>7</v>
      </c>
      <c r="S21" s="1539">
        <f t="shared" ca="1" si="16"/>
        <v>0</v>
      </c>
      <c r="T21" s="1540">
        <f t="shared" ca="1" si="16"/>
        <v>1</v>
      </c>
      <c r="U21" s="1547">
        <f t="shared" ca="1" si="16"/>
        <v>9</v>
      </c>
      <c r="V21" s="1548">
        <f t="shared" ca="1" si="16"/>
        <v>5</v>
      </c>
    </row>
    <row r="22" spans="1:22" ht="15" thickBot="1">
      <c r="A22">
        <f t="shared" ca="1" si="1"/>
        <v>7</v>
      </c>
      <c r="B22" s="1509" t="s">
        <v>717</v>
      </c>
      <c r="C22" s="1512">
        <f t="shared" ca="1" si="2"/>
        <v>0</v>
      </c>
      <c r="D22" s="1513" t="str">
        <f t="shared" ca="1" si="3"/>
        <v xml:space="preserve"> </v>
      </c>
      <c r="E22" s="1512">
        <f t="shared" ca="1" si="4"/>
        <v>0</v>
      </c>
      <c r="F22" s="1513" t="str">
        <f t="shared" ca="1" si="5"/>
        <v xml:space="preserve"> </v>
      </c>
      <c r="G22" s="1512">
        <f t="shared" ca="1" si="6"/>
        <v>7</v>
      </c>
      <c r="H22" s="1513" t="str">
        <f t="shared" ca="1" si="7"/>
        <v xml:space="preserve"> </v>
      </c>
      <c r="I22" s="1512">
        <f t="shared" ca="1" si="8"/>
        <v>7</v>
      </c>
      <c r="J22" s="1513" t="str">
        <f t="shared" ca="1" si="9"/>
        <v>G</v>
      </c>
      <c r="K22" s="1512">
        <f t="shared" ca="1" si="10"/>
        <v>0</v>
      </c>
      <c r="L22" s="1513" t="str">
        <f t="shared" ca="1" si="11"/>
        <v xml:space="preserve"> </v>
      </c>
      <c r="M22" s="1512">
        <f t="shared" ca="1" si="12"/>
        <v>0</v>
      </c>
      <c r="N22" s="1513" t="str">
        <f t="shared" ca="1" si="13"/>
        <v xml:space="preserve"> </v>
      </c>
      <c r="O22" s="1512">
        <f t="shared" ca="1" si="14"/>
        <v>0</v>
      </c>
      <c r="P22" s="1517" t="str">
        <f t="shared" ca="1" si="15"/>
        <v xml:space="preserve"> </v>
      </c>
      <c r="Q22" s="1531">
        <f t="shared" ca="1" si="16"/>
        <v>6</v>
      </c>
      <c r="R22" s="1532">
        <f t="shared" ca="1" si="16"/>
        <v>1</v>
      </c>
      <c r="S22" s="1539">
        <f t="shared" ca="1" si="16"/>
        <v>2</v>
      </c>
      <c r="T22" s="1540">
        <f t="shared" ca="1" si="16"/>
        <v>8</v>
      </c>
      <c r="U22" s="1547">
        <f t="shared" ca="1" si="16"/>
        <v>4</v>
      </c>
      <c r="V22" s="1548">
        <f t="shared" ca="1" si="16"/>
        <v>9</v>
      </c>
    </row>
    <row r="23" spans="1:22" ht="15" thickBot="1">
      <c r="A23">
        <f t="shared" ca="1" si="1"/>
        <v>2</v>
      </c>
      <c r="B23" s="1510" t="s">
        <v>6990</v>
      </c>
      <c r="C23" s="1512">
        <f t="shared" ca="1" si="2"/>
        <v>2</v>
      </c>
      <c r="D23" s="1513" t="str">
        <f t="shared" ca="1" si="3"/>
        <v xml:space="preserve"> </v>
      </c>
      <c r="E23" s="1512">
        <f t="shared" ca="1" si="4"/>
        <v>2</v>
      </c>
      <c r="F23" s="1513" t="str">
        <f t="shared" ca="1" si="5"/>
        <v xml:space="preserve"> </v>
      </c>
      <c r="G23" s="1512">
        <f t="shared" ca="1" si="6"/>
        <v>2</v>
      </c>
      <c r="H23" s="1513" t="str">
        <f t="shared" ca="1" si="7"/>
        <v>G</v>
      </c>
      <c r="I23" s="1512">
        <f t="shared" ca="1" si="8"/>
        <v>2</v>
      </c>
      <c r="J23" s="1513" t="str">
        <f t="shared" ca="1" si="9"/>
        <v xml:space="preserve"> </v>
      </c>
      <c r="K23" s="1512">
        <f t="shared" ca="1" si="10"/>
        <v>2</v>
      </c>
      <c r="L23" s="1513" t="str">
        <f t="shared" ca="1" si="11"/>
        <v>G</v>
      </c>
      <c r="M23" s="1512">
        <f t="shared" ca="1" si="12"/>
        <v>2</v>
      </c>
      <c r="N23" s="1513" t="str">
        <f t="shared" ca="1" si="13"/>
        <v xml:space="preserve"> </v>
      </c>
      <c r="O23" s="1512">
        <f t="shared" ca="1" si="14"/>
        <v>2</v>
      </c>
      <c r="P23" s="1517" t="str">
        <f t="shared" ca="1" si="15"/>
        <v xml:space="preserve"> </v>
      </c>
      <c r="Q23" s="1531">
        <f t="shared" ca="1" si="16"/>
        <v>8</v>
      </c>
      <c r="R23" s="1532">
        <f t="shared" ca="1" si="16"/>
        <v>5</v>
      </c>
      <c r="S23" s="1539">
        <f t="shared" ca="1" si="16"/>
        <v>0</v>
      </c>
      <c r="T23" s="1540">
        <f t="shared" ca="1" si="16"/>
        <v>8</v>
      </c>
      <c r="U23" s="1547">
        <f t="shared" ca="1" si="16"/>
        <v>9</v>
      </c>
      <c r="V23" s="1548">
        <f t="shared" ca="1" si="16"/>
        <v>9</v>
      </c>
    </row>
    <row r="24" spans="1:22" ht="15" thickBot="1">
      <c r="A24">
        <f t="shared" ca="1" si="1"/>
        <v>2</v>
      </c>
      <c r="B24" s="1509" t="s">
        <v>6992</v>
      </c>
      <c r="C24" s="1512">
        <f t="shared" ca="1" si="2"/>
        <v>2</v>
      </c>
      <c r="D24" s="1513" t="str">
        <f t="shared" ca="1" si="3"/>
        <v xml:space="preserve"> </v>
      </c>
      <c r="E24" s="1512">
        <f t="shared" ca="1" si="4"/>
        <v>2</v>
      </c>
      <c r="F24" s="1513" t="str">
        <f t="shared" ca="1" si="5"/>
        <v>G</v>
      </c>
      <c r="G24" s="1512">
        <f t="shared" ca="1" si="6"/>
        <v>2</v>
      </c>
      <c r="H24" s="1513" t="str">
        <f t="shared" ca="1" si="7"/>
        <v xml:space="preserve"> </v>
      </c>
      <c r="I24" s="1512">
        <f t="shared" ca="1" si="8"/>
        <v>2</v>
      </c>
      <c r="J24" s="1513" t="str">
        <f t="shared" ca="1" si="9"/>
        <v xml:space="preserve"> </v>
      </c>
      <c r="K24" s="1512">
        <f t="shared" ca="1" si="10"/>
        <v>2</v>
      </c>
      <c r="L24" s="1513" t="str">
        <f t="shared" ca="1" si="11"/>
        <v>G</v>
      </c>
      <c r="M24" s="1512">
        <f t="shared" ca="1" si="12"/>
        <v>2</v>
      </c>
      <c r="N24" s="1513" t="str">
        <f t="shared" ca="1" si="13"/>
        <v xml:space="preserve"> </v>
      </c>
      <c r="O24" s="1512">
        <f t="shared" ca="1" si="14"/>
        <v>2</v>
      </c>
      <c r="P24" s="1517" t="str">
        <f t="shared" ca="1" si="15"/>
        <v xml:space="preserve"> </v>
      </c>
      <c r="Q24" s="1531">
        <f t="shared" ca="1" si="16"/>
        <v>4</v>
      </c>
      <c r="R24" s="1532">
        <f t="shared" ca="1" si="16"/>
        <v>5</v>
      </c>
      <c r="S24" s="1539">
        <f t="shared" ca="1" si="16"/>
        <v>4</v>
      </c>
      <c r="T24" s="1540">
        <f t="shared" ca="1" si="16"/>
        <v>1</v>
      </c>
      <c r="U24" s="1547">
        <f t="shared" ca="1" si="16"/>
        <v>8</v>
      </c>
      <c r="V24" s="1548">
        <f t="shared" ca="1" si="16"/>
        <v>7</v>
      </c>
    </row>
    <row r="25" spans="1:22" ht="21" thickBot="1">
      <c r="A25">
        <f t="shared" ca="1" si="1"/>
        <v>5</v>
      </c>
      <c r="B25" s="1510" t="s">
        <v>6998</v>
      </c>
      <c r="C25" s="1512">
        <f t="shared" ca="1" si="2"/>
        <v>5</v>
      </c>
      <c r="D25" s="1513" t="str">
        <f t="shared" ca="1" si="3"/>
        <v>G</v>
      </c>
      <c r="E25" s="1512">
        <f t="shared" ca="1" si="4"/>
        <v>5</v>
      </c>
      <c r="F25" s="1513" t="str">
        <f t="shared" ca="1" si="5"/>
        <v xml:space="preserve"> </v>
      </c>
      <c r="G25" s="1512">
        <f t="shared" ca="1" si="6"/>
        <v>5</v>
      </c>
      <c r="H25" s="1513" t="str">
        <f t="shared" ca="1" si="7"/>
        <v xml:space="preserve"> </v>
      </c>
      <c r="I25" s="1512">
        <f t="shared" ca="1" si="8"/>
        <v>5</v>
      </c>
      <c r="J25" s="1513" t="str">
        <f t="shared" ca="1" si="9"/>
        <v>G</v>
      </c>
      <c r="K25" s="1512">
        <f t="shared" ca="1" si="10"/>
        <v>5</v>
      </c>
      <c r="L25" s="1513" t="str">
        <f t="shared" ca="1" si="11"/>
        <v>G</v>
      </c>
      <c r="M25" s="1512">
        <f t="shared" ca="1" si="12"/>
        <v>5</v>
      </c>
      <c r="N25" s="1513" t="str">
        <f t="shared" ca="1" si="13"/>
        <v>G</v>
      </c>
      <c r="O25" s="1512">
        <f t="shared" ca="1" si="14"/>
        <v>0</v>
      </c>
      <c r="P25" s="1517" t="str">
        <f t="shared" ca="1" si="15"/>
        <v xml:space="preserve"> </v>
      </c>
      <c r="Q25" s="1531">
        <f t="shared" ca="1" si="16"/>
        <v>6</v>
      </c>
      <c r="R25" s="1532">
        <f t="shared" ca="1" si="16"/>
        <v>9</v>
      </c>
      <c r="S25" s="1539">
        <f t="shared" ca="1" si="16"/>
        <v>5</v>
      </c>
      <c r="T25" s="1540">
        <f t="shared" ca="1" si="16"/>
        <v>0</v>
      </c>
      <c r="U25" s="1547">
        <f t="shared" ca="1" si="16"/>
        <v>6</v>
      </c>
      <c r="V25" s="1548">
        <f t="shared" ca="1" si="16"/>
        <v>3</v>
      </c>
    </row>
    <row r="26" spans="1:22" ht="15" thickBot="1">
      <c r="A26">
        <f t="shared" ca="1" si="1"/>
        <v>4</v>
      </c>
      <c r="B26" s="1509" t="s">
        <v>6919</v>
      </c>
      <c r="C26" s="1512">
        <f t="shared" ca="1" si="2"/>
        <v>4</v>
      </c>
      <c r="D26" s="1513" t="str">
        <f t="shared" ca="1" si="3"/>
        <v>G</v>
      </c>
      <c r="E26" s="1512">
        <f t="shared" ca="1" si="4"/>
        <v>4</v>
      </c>
      <c r="F26" s="1513" t="str">
        <f t="shared" ca="1" si="5"/>
        <v>G</v>
      </c>
      <c r="G26" s="1512">
        <f t="shared" ca="1" si="6"/>
        <v>4</v>
      </c>
      <c r="H26" s="1513" t="str">
        <f t="shared" ca="1" si="7"/>
        <v xml:space="preserve"> </v>
      </c>
      <c r="I26" s="1512">
        <f t="shared" ca="1" si="8"/>
        <v>4</v>
      </c>
      <c r="J26" s="1513" t="str">
        <f t="shared" ca="1" si="9"/>
        <v>G</v>
      </c>
      <c r="K26" s="1512">
        <f t="shared" ca="1" si="10"/>
        <v>4</v>
      </c>
      <c r="L26" s="1513" t="str">
        <f t="shared" ca="1" si="11"/>
        <v>G</v>
      </c>
      <c r="M26" s="1512">
        <f t="shared" ca="1" si="12"/>
        <v>4</v>
      </c>
      <c r="N26" s="1513" t="str">
        <f t="shared" ca="1" si="13"/>
        <v>G</v>
      </c>
      <c r="O26" s="1512">
        <f t="shared" ca="1" si="14"/>
        <v>4</v>
      </c>
      <c r="P26" s="1517" t="str">
        <f t="shared" ca="1" si="15"/>
        <v xml:space="preserve"> </v>
      </c>
      <c r="Q26" s="1531">
        <f t="shared" ca="1" si="16"/>
        <v>5</v>
      </c>
      <c r="R26" s="1532">
        <f t="shared" ca="1" si="16"/>
        <v>5</v>
      </c>
      <c r="S26" s="1539">
        <f t="shared" ca="1" si="16"/>
        <v>1</v>
      </c>
      <c r="T26" s="1540">
        <f t="shared" ca="1" si="16"/>
        <v>8</v>
      </c>
      <c r="U26" s="1547">
        <f t="shared" ca="1" si="16"/>
        <v>4</v>
      </c>
      <c r="V26" s="1548">
        <f t="shared" ca="1" si="16"/>
        <v>6</v>
      </c>
    </row>
    <row r="27" spans="1:22" ht="15" thickBot="1">
      <c r="A27">
        <f t="shared" ca="1" si="1"/>
        <v>6</v>
      </c>
      <c r="B27" s="1510" t="s">
        <v>715</v>
      </c>
      <c r="C27" s="1512">
        <f t="shared" ca="1" si="2"/>
        <v>0</v>
      </c>
      <c r="D27" s="1513" t="str">
        <f t="shared" ca="1" si="3"/>
        <v xml:space="preserve"> </v>
      </c>
      <c r="E27" s="1512">
        <f t="shared" ca="1" si="4"/>
        <v>0</v>
      </c>
      <c r="F27" s="1513" t="str">
        <f t="shared" ca="1" si="5"/>
        <v xml:space="preserve"> </v>
      </c>
      <c r="G27" s="1512">
        <f t="shared" ca="1" si="6"/>
        <v>0</v>
      </c>
      <c r="H27" s="1513" t="str">
        <f t="shared" ca="1" si="7"/>
        <v xml:space="preserve"> </v>
      </c>
      <c r="I27" s="1512">
        <f t="shared" ca="1" si="8"/>
        <v>0</v>
      </c>
      <c r="J27" s="1513" t="str">
        <f t="shared" ca="1" si="9"/>
        <v xml:space="preserve"> </v>
      </c>
      <c r="K27" s="1512">
        <f t="shared" ca="1" si="10"/>
        <v>6</v>
      </c>
      <c r="L27" s="1513" t="str">
        <f t="shared" ca="1" si="11"/>
        <v>G</v>
      </c>
      <c r="M27" s="1512">
        <f t="shared" ca="1" si="12"/>
        <v>0</v>
      </c>
      <c r="N27" s="1513" t="str">
        <f t="shared" ca="1" si="13"/>
        <v xml:space="preserve"> </v>
      </c>
      <c r="O27" s="1512">
        <f t="shared" ca="1" si="14"/>
        <v>0</v>
      </c>
      <c r="P27" s="1517" t="str">
        <f t="shared" ca="1" si="15"/>
        <v xml:space="preserve"> </v>
      </c>
      <c r="Q27" s="1531">
        <f t="shared" ca="1" si="16"/>
        <v>1</v>
      </c>
      <c r="R27" s="1532">
        <f t="shared" ca="1" si="16"/>
        <v>3</v>
      </c>
      <c r="S27" s="1539">
        <f t="shared" ca="1" si="16"/>
        <v>7</v>
      </c>
      <c r="T27" s="1540">
        <f t="shared" ca="1" si="16"/>
        <v>1</v>
      </c>
      <c r="U27" s="1547">
        <f t="shared" ca="1" si="16"/>
        <v>1</v>
      </c>
      <c r="V27" s="1548">
        <f t="shared" ca="1" si="16"/>
        <v>4</v>
      </c>
    </row>
    <row r="28" spans="1:22" ht="15" thickBot="1">
      <c r="A28">
        <f t="shared" ca="1" si="1"/>
        <v>4</v>
      </c>
      <c r="B28" s="1509" t="s">
        <v>713</v>
      </c>
      <c r="C28" s="1512">
        <f t="shared" ca="1" si="2"/>
        <v>4</v>
      </c>
      <c r="D28" s="1513" t="str">
        <f t="shared" ca="1" si="3"/>
        <v>G</v>
      </c>
      <c r="E28" s="1512">
        <f t="shared" ca="1" si="4"/>
        <v>4</v>
      </c>
      <c r="F28" s="1513" t="str">
        <f t="shared" ca="1" si="5"/>
        <v>G</v>
      </c>
      <c r="G28" s="1512">
        <f t="shared" ca="1" si="6"/>
        <v>4</v>
      </c>
      <c r="H28" s="1513" t="str">
        <f t="shared" ca="1" si="7"/>
        <v xml:space="preserve"> </v>
      </c>
      <c r="I28" s="1512">
        <f t="shared" ca="1" si="8"/>
        <v>0</v>
      </c>
      <c r="J28" s="1513" t="str">
        <f t="shared" ca="1" si="9"/>
        <v xml:space="preserve"> </v>
      </c>
      <c r="K28" s="1512">
        <f t="shared" ca="1" si="10"/>
        <v>4</v>
      </c>
      <c r="L28" s="1513" t="str">
        <f t="shared" ca="1" si="11"/>
        <v xml:space="preserve"> </v>
      </c>
      <c r="M28" s="1512">
        <f t="shared" ca="1" si="12"/>
        <v>4</v>
      </c>
      <c r="N28" s="1513" t="str">
        <f t="shared" ca="1" si="13"/>
        <v xml:space="preserve"> </v>
      </c>
      <c r="O28" s="1512">
        <f t="shared" ca="1" si="14"/>
        <v>4</v>
      </c>
      <c r="P28" s="1517" t="str">
        <f t="shared" ca="1" si="15"/>
        <v xml:space="preserve"> </v>
      </c>
      <c r="Q28" s="1531">
        <f t="shared" ca="1" si="16"/>
        <v>3</v>
      </c>
      <c r="R28" s="1532">
        <f t="shared" ca="1" si="16"/>
        <v>2</v>
      </c>
      <c r="S28" s="1539">
        <f t="shared" ca="1" si="16"/>
        <v>5</v>
      </c>
      <c r="T28" s="1540">
        <f t="shared" ca="1" si="16"/>
        <v>6</v>
      </c>
      <c r="U28" s="1547">
        <f t="shared" ca="1" si="16"/>
        <v>9</v>
      </c>
      <c r="V28" s="1548">
        <f t="shared" ca="1" si="16"/>
        <v>9</v>
      </c>
    </row>
    <row r="29" spans="1:22" ht="15" thickBot="1">
      <c r="A29">
        <f t="shared" ca="1" si="1"/>
        <v>7</v>
      </c>
      <c r="B29" s="1510" t="s">
        <v>711</v>
      </c>
      <c r="C29" s="1512">
        <f t="shared" ca="1" si="2"/>
        <v>0</v>
      </c>
      <c r="D29" s="1513" t="str">
        <f t="shared" ca="1" si="3"/>
        <v xml:space="preserve"> </v>
      </c>
      <c r="E29" s="1512">
        <f t="shared" ca="1" si="4"/>
        <v>0</v>
      </c>
      <c r="F29" s="1513" t="str">
        <f t="shared" ca="1" si="5"/>
        <v xml:space="preserve"> </v>
      </c>
      <c r="G29" s="1512">
        <f t="shared" ca="1" si="6"/>
        <v>0</v>
      </c>
      <c r="H29" s="1513" t="str">
        <f t="shared" ca="1" si="7"/>
        <v xml:space="preserve"> </v>
      </c>
      <c r="I29" s="1512">
        <f t="shared" ca="1" si="8"/>
        <v>0</v>
      </c>
      <c r="J29" s="1513" t="str">
        <f t="shared" ca="1" si="9"/>
        <v xml:space="preserve"> </v>
      </c>
      <c r="K29" s="1512">
        <f t="shared" ca="1" si="10"/>
        <v>0</v>
      </c>
      <c r="L29" s="1513" t="str">
        <f t="shared" ca="1" si="11"/>
        <v xml:space="preserve"> </v>
      </c>
      <c r="M29" s="1512">
        <f t="shared" ca="1" si="12"/>
        <v>0</v>
      </c>
      <c r="N29" s="1513" t="str">
        <f t="shared" ca="1" si="13"/>
        <v xml:space="preserve"> </v>
      </c>
      <c r="O29" s="1512">
        <f t="shared" ca="1" si="14"/>
        <v>0</v>
      </c>
      <c r="P29" s="1517" t="str">
        <f t="shared" ca="1" si="15"/>
        <v xml:space="preserve"> </v>
      </c>
      <c r="Q29" s="1531">
        <f t="shared" ca="1" si="16"/>
        <v>0</v>
      </c>
      <c r="R29" s="1532">
        <f t="shared" ca="1" si="16"/>
        <v>4</v>
      </c>
      <c r="S29" s="1539">
        <f t="shared" ca="1" si="16"/>
        <v>6</v>
      </c>
      <c r="T29" s="1540">
        <f t="shared" ca="1" si="16"/>
        <v>9</v>
      </c>
      <c r="U29" s="1547">
        <f t="shared" ca="1" si="16"/>
        <v>9</v>
      </c>
      <c r="V29" s="1548">
        <f t="shared" ca="1" si="16"/>
        <v>9</v>
      </c>
    </row>
    <row r="30" spans="1:22" ht="15" thickBot="1">
      <c r="A30">
        <f t="shared" ca="1" si="1"/>
        <v>5</v>
      </c>
      <c r="B30" s="1509" t="s">
        <v>6918</v>
      </c>
      <c r="C30" s="1512">
        <f t="shared" ca="1" si="2"/>
        <v>0</v>
      </c>
      <c r="D30" s="1513" t="str">
        <f t="shared" ca="1" si="3"/>
        <v xml:space="preserve"> </v>
      </c>
      <c r="E30" s="1512">
        <f t="shared" ca="1" si="4"/>
        <v>0</v>
      </c>
      <c r="F30" s="1513" t="str">
        <f t="shared" ca="1" si="5"/>
        <v xml:space="preserve"> </v>
      </c>
      <c r="G30" s="1512">
        <f t="shared" ca="1" si="6"/>
        <v>0</v>
      </c>
      <c r="H30" s="1513" t="str">
        <f t="shared" ca="1" si="7"/>
        <v xml:space="preserve"> </v>
      </c>
      <c r="I30" s="1512">
        <f t="shared" ca="1" si="8"/>
        <v>0</v>
      </c>
      <c r="J30" s="1513" t="str">
        <f t="shared" ca="1" si="9"/>
        <v xml:space="preserve"> </v>
      </c>
      <c r="K30" s="1512">
        <f t="shared" ca="1" si="10"/>
        <v>0</v>
      </c>
      <c r="L30" s="1513" t="str">
        <f t="shared" ca="1" si="11"/>
        <v xml:space="preserve"> </v>
      </c>
      <c r="M30" s="1512">
        <f t="shared" ca="1" si="12"/>
        <v>0</v>
      </c>
      <c r="N30" s="1513" t="str">
        <f t="shared" ca="1" si="13"/>
        <v xml:space="preserve"> </v>
      </c>
      <c r="O30" s="1512">
        <f t="shared" ca="1" si="14"/>
        <v>5</v>
      </c>
      <c r="P30" s="1517" t="str">
        <f t="shared" ca="1" si="15"/>
        <v>G</v>
      </c>
      <c r="Q30" s="1531">
        <f t="shared" ca="1" si="16"/>
        <v>8</v>
      </c>
      <c r="R30" s="1532">
        <f t="shared" ca="1" si="16"/>
        <v>3</v>
      </c>
      <c r="S30" s="1539">
        <f t="shared" ca="1" si="16"/>
        <v>0</v>
      </c>
      <c r="T30" s="1540">
        <f t="shared" ca="1" si="16"/>
        <v>7</v>
      </c>
      <c r="U30" s="1547">
        <f t="shared" ca="1" si="16"/>
        <v>6</v>
      </c>
      <c r="V30" s="1548">
        <f t="shared" ca="1" si="16"/>
        <v>6</v>
      </c>
    </row>
    <row r="31" spans="1:22" ht="15" thickBot="1">
      <c r="A31">
        <f t="shared" ca="1" si="1"/>
        <v>10</v>
      </c>
      <c r="B31" s="1510" t="s">
        <v>7007</v>
      </c>
      <c r="C31" s="1514">
        <f t="shared" ca="1" si="2"/>
        <v>0</v>
      </c>
      <c r="D31" s="1515" t="str">
        <f t="shared" ca="1" si="3"/>
        <v xml:space="preserve"> </v>
      </c>
      <c r="E31" s="1514">
        <f t="shared" ca="1" si="4"/>
        <v>0</v>
      </c>
      <c r="F31" s="1515" t="str">
        <f t="shared" ca="1" si="5"/>
        <v xml:space="preserve"> </v>
      </c>
      <c r="G31" s="1514">
        <f t="shared" ca="1" si="6"/>
        <v>0</v>
      </c>
      <c r="H31" s="1515" t="str">
        <f t="shared" ca="1" si="7"/>
        <v xml:space="preserve"> </v>
      </c>
      <c r="I31" s="1514">
        <f t="shared" ca="1" si="8"/>
        <v>0</v>
      </c>
      <c r="J31" s="1515" t="str">
        <f t="shared" ca="1" si="9"/>
        <v xml:space="preserve"> </v>
      </c>
      <c r="K31" s="1514">
        <f t="shared" ca="1" si="10"/>
        <v>0</v>
      </c>
      <c r="L31" s="1515" t="str">
        <f t="shared" ca="1" si="11"/>
        <v xml:space="preserve"> </v>
      </c>
      <c r="M31" s="1514">
        <f t="shared" ca="1" si="12"/>
        <v>0</v>
      </c>
      <c r="N31" s="1515" t="str">
        <f t="shared" ca="1" si="13"/>
        <v xml:space="preserve"> </v>
      </c>
      <c r="O31" s="1514">
        <f t="shared" ca="1" si="14"/>
        <v>0</v>
      </c>
      <c r="P31" s="1518" t="str">
        <f t="shared" ca="1" si="15"/>
        <v xml:space="preserve"> </v>
      </c>
      <c r="Q31" s="1533">
        <f t="shared" ca="1" si="16"/>
        <v>2</v>
      </c>
      <c r="R31" s="1534">
        <f t="shared" ca="1" si="16"/>
        <v>4</v>
      </c>
      <c r="S31" s="1541">
        <f t="shared" ca="1" si="16"/>
        <v>2</v>
      </c>
      <c r="T31" s="1542">
        <f t="shared" ca="1" si="16"/>
        <v>5</v>
      </c>
      <c r="U31" s="1549">
        <f t="shared" ca="1" si="16"/>
        <v>9</v>
      </c>
      <c r="V31" s="1550">
        <f t="shared" ca="1" si="16"/>
        <v>3</v>
      </c>
    </row>
    <row r="32" spans="1:22" ht="15" thickBot="1"/>
    <row r="33" spans="2:22" ht="25.95" customHeight="1" thickBot="1">
      <c r="B33" s="1551" t="s">
        <v>586</v>
      </c>
      <c r="C33" s="1726" t="s">
        <v>7019</v>
      </c>
      <c r="D33" s="1727"/>
      <c r="E33" s="1727"/>
      <c r="F33" s="1727"/>
      <c r="G33" s="1727"/>
      <c r="H33" s="1727"/>
      <c r="I33" s="1727"/>
      <c r="J33" s="1727"/>
      <c r="K33" s="1727"/>
      <c r="L33" s="1727"/>
      <c r="M33" s="1727"/>
      <c r="N33" s="1727"/>
      <c r="O33" s="1727"/>
      <c r="P33" s="1727"/>
      <c r="Q33" s="1727"/>
      <c r="R33" s="1727"/>
      <c r="S33" s="1727"/>
      <c r="T33" s="1727"/>
      <c r="U33" s="1727"/>
      <c r="V33" s="1728"/>
    </row>
    <row r="34" spans="2:22" ht="31.2" customHeight="1" thickBot="1">
      <c r="B34" s="1552" t="s">
        <v>6968</v>
      </c>
      <c r="C34" s="1716" t="s">
        <v>7020</v>
      </c>
      <c r="D34" s="1717"/>
      <c r="E34" s="1717"/>
      <c r="F34" s="1717"/>
      <c r="G34" s="1717"/>
      <c r="H34" s="1717"/>
      <c r="I34" s="1717"/>
      <c r="J34" s="1717"/>
      <c r="K34" s="1717"/>
      <c r="L34" s="1717"/>
      <c r="M34" s="1717"/>
      <c r="N34" s="1717"/>
      <c r="O34" s="1717"/>
      <c r="P34" s="1717"/>
      <c r="Q34" s="1717"/>
      <c r="R34" s="1717"/>
      <c r="S34" s="1717"/>
      <c r="T34" s="1717"/>
      <c r="U34" s="1717"/>
      <c r="V34" s="1717"/>
    </row>
    <row r="35" spans="2:22" ht="25.95" customHeight="1" thickBot="1">
      <c r="B35" s="1553" t="s">
        <v>7021</v>
      </c>
      <c r="C35" s="1718" t="s">
        <v>7022</v>
      </c>
      <c r="D35" s="1719"/>
      <c r="E35" s="1719"/>
      <c r="F35" s="1719"/>
      <c r="G35" s="1719"/>
      <c r="H35" s="1719"/>
      <c r="I35" s="1719"/>
      <c r="J35" s="1719"/>
      <c r="K35" s="1719"/>
      <c r="L35" s="1719"/>
      <c r="M35" s="1719"/>
      <c r="N35" s="1719"/>
      <c r="O35" s="1719"/>
      <c r="P35" s="1719"/>
      <c r="Q35" s="1719"/>
      <c r="R35" s="1719"/>
      <c r="S35" s="1719"/>
      <c r="T35" s="1719"/>
      <c r="U35" s="1719"/>
      <c r="V35" s="1720"/>
    </row>
    <row r="36" spans="2:22" ht="25.95" customHeight="1" thickBot="1">
      <c r="B36" s="1552" t="s">
        <v>7023</v>
      </c>
      <c r="C36" s="1716" t="s">
        <v>7024</v>
      </c>
      <c r="D36" s="1717"/>
      <c r="E36" s="1717"/>
      <c r="F36" s="1717"/>
      <c r="G36" s="1717"/>
      <c r="H36" s="1717"/>
      <c r="I36" s="1717"/>
      <c r="J36" s="1717"/>
      <c r="K36" s="1717"/>
      <c r="L36" s="1717"/>
      <c r="M36" s="1717"/>
      <c r="N36" s="1717"/>
      <c r="O36" s="1717"/>
      <c r="P36" s="1717"/>
      <c r="Q36" s="1717"/>
      <c r="R36" s="1717"/>
      <c r="S36" s="1717"/>
      <c r="T36" s="1717"/>
      <c r="U36" s="1717"/>
      <c r="V36" s="1717"/>
    </row>
    <row r="37" spans="2:22" ht="25.95" customHeight="1" thickBot="1">
      <c r="B37" s="1553" t="s">
        <v>714</v>
      </c>
      <c r="C37" s="1718" t="s">
        <v>7025</v>
      </c>
      <c r="D37" s="1719"/>
      <c r="E37" s="1719"/>
      <c r="F37" s="1719"/>
      <c r="G37" s="1719"/>
      <c r="H37" s="1719"/>
      <c r="I37" s="1719"/>
      <c r="J37" s="1719"/>
      <c r="K37" s="1719"/>
      <c r="L37" s="1719"/>
      <c r="M37" s="1719"/>
      <c r="N37" s="1719"/>
      <c r="O37" s="1719"/>
      <c r="P37" s="1719"/>
      <c r="Q37" s="1719"/>
      <c r="R37" s="1719"/>
      <c r="S37" s="1719"/>
      <c r="T37" s="1719"/>
      <c r="U37" s="1719"/>
      <c r="V37" s="1720"/>
    </row>
    <row r="38" spans="2:22" ht="33" customHeight="1" thickBot="1">
      <c r="B38" s="1552" t="s">
        <v>717</v>
      </c>
      <c r="C38" s="1716" t="s">
        <v>7026</v>
      </c>
      <c r="D38" s="1717"/>
      <c r="E38" s="1717"/>
      <c r="F38" s="1717"/>
      <c r="G38" s="1717"/>
      <c r="H38" s="1717"/>
      <c r="I38" s="1717"/>
      <c r="J38" s="1717"/>
      <c r="K38" s="1717"/>
      <c r="L38" s="1717"/>
      <c r="M38" s="1717"/>
      <c r="N38" s="1717"/>
      <c r="O38" s="1717"/>
      <c r="P38" s="1717"/>
      <c r="Q38" s="1717"/>
      <c r="R38" s="1717"/>
      <c r="S38" s="1717"/>
      <c r="T38" s="1717"/>
      <c r="U38" s="1717"/>
      <c r="V38" s="1717"/>
    </row>
    <row r="39" spans="2:22" ht="25.95" customHeight="1" thickBot="1">
      <c r="B39" s="1553" t="s">
        <v>6990</v>
      </c>
      <c r="C39" s="1718" t="s">
        <v>7027</v>
      </c>
      <c r="D39" s="1719"/>
      <c r="E39" s="1719"/>
      <c r="F39" s="1719"/>
      <c r="G39" s="1719"/>
      <c r="H39" s="1719"/>
      <c r="I39" s="1719"/>
      <c r="J39" s="1719"/>
      <c r="K39" s="1719"/>
      <c r="L39" s="1719"/>
      <c r="M39" s="1719"/>
      <c r="N39" s="1719"/>
      <c r="O39" s="1719"/>
      <c r="P39" s="1719"/>
      <c r="Q39" s="1719"/>
      <c r="R39" s="1719"/>
      <c r="S39" s="1719"/>
      <c r="T39" s="1719"/>
      <c r="U39" s="1719"/>
      <c r="V39" s="1720"/>
    </row>
    <row r="40" spans="2:22" ht="25.95" customHeight="1" thickBot="1">
      <c r="B40" s="1552" t="s">
        <v>6992</v>
      </c>
      <c r="C40" s="1716" t="s">
        <v>7028</v>
      </c>
      <c r="D40" s="1717"/>
      <c r="E40" s="1717"/>
      <c r="F40" s="1717"/>
      <c r="G40" s="1717"/>
      <c r="H40" s="1717"/>
      <c r="I40" s="1717"/>
      <c r="J40" s="1717"/>
      <c r="K40" s="1717"/>
      <c r="L40" s="1717"/>
      <c r="M40" s="1717"/>
      <c r="N40" s="1717"/>
      <c r="O40" s="1717"/>
      <c r="P40" s="1717"/>
      <c r="Q40" s="1717"/>
      <c r="R40" s="1717"/>
      <c r="S40" s="1717"/>
      <c r="T40" s="1717"/>
      <c r="U40" s="1717"/>
      <c r="V40" s="1717"/>
    </row>
    <row r="41" spans="2:22" ht="34.799999999999997" customHeight="1" thickBot="1">
      <c r="B41" s="1553" t="s">
        <v>6998</v>
      </c>
      <c r="C41" s="1718" t="s">
        <v>7029</v>
      </c>
      <c r="D41" s="1719"/>
      <c r="E41" s="1719"/>
      <c r="F41" s="1719"/>
      <c r="G41" s="1719"/>
      <c r="H41" s="1719"/>
      <c r="I41" s="1719"/>
      <c r="J41" s="1719"/>
      <c r="K41" s="1719"/>
      <c r="L41" s="1719"/>
      <c r="M41" s="1719"/>
      <c r="N41" s="1719"/>
      <c r="O41" s="1719"/>
      <c r="P41" s="1719"/>
      <c r="Q41" s="1719"/>
      <c r="R41" s="1719"/>
      <c r="S41" s="1719"/>
      <c r="T41" s="1719"/>
      <c r="U41" s="1719"/>
      <c r="V41" s="1720"/>
    </row>
    <row r="42" spans="2:22" ht="25.95" customHeight="1" thickBot="1">
      <c r="B42" s="1552" t="s">
        <v>6919</v>
      </c>
      <c r="C42" s="1716" t="s">
        <v>7030</v>
      </c>
      <c r="D42" s="1717"/>
      <c r="E42" s="1717"/>
      <c r="F42" s="1717"/>
      <c r="G42" s="1717"/>
      <c r="H42" s="1717"/>
      <c r="I42" s="1717"/>
      <c r="J42" s="1717"/>
      <c r="K42" s="1717"/>
      <c r="L42" s="1717"/>
      <c r="M42" s="1717"/>
      <c r="N42" s="1717"/>
      <c r="O42" s="1717"/>
      <c r="P42" s="1717"/>
      <c r="Q42" s="1717"/>
      <c r="R42" s="1717"/>
      <c r="S42" s="1717"/>
      <c r="T42" s="1717"/>
      <c r="U42" s="1717"/>
      <c r="V42" s="1717"/>
    </row>
    <row r="43" spans="2:22" ht="25.95" customHeight="1" thickBot="1">
      <c r="B43" s="1553" t="s">
        <v>715</v>
      </c>
      <c r="C43" s="1718" t="s">
        <v>7031</v>
      </c>
      <c r="D43" s="1719"/>
      <c r="E43" s="1719"/>
      <c r="F43" s="1719"/>
      <c r="G43" s="1719"/>
      <c r="H43" s="1719"/>
      <c r="I43" s="1719"/>
      <c r="J43" s="1719"/>
      <c r="K43" s="1719"/>
      <c r="L43" s="1719"/>
      <c r="M43" s="1719"/>
      <c r="N43" s="1719"/>
      <c r="O43" s="1719"/>
      <c r="P43" s="1719"/>
      <c r="Q43" s="1719"/>
      <c r="R43" s="1719"/>
      <c r="S43" s="1719"/>
      <c r="T43" s="1719"/>
      <c r="U43" s="1719"/>
      <c r="V43" s="1720"/>
    </row>
    <row r="44" spans="2:22" ht="25.95" customHeight="1" thickBot="1">
      <c r="B44" s="1552" t="s">
        <v>713</v>
      </c>
      <c r="C44" s="1724" t="s">
        <v>7032</v>
      </c>
      <c r="D44" s="1725"/>
      <c r="E44" s="1725"/>
      <c r="F44" s="1725"/>
      <c r="G44" s="1725"/>
      <c r="H44" s="1725"/>
      <c r="I44" s="1725"/>
      <c r="J44" s="1725"/>
      <c r="K44" s="1725"/>
      <c r="L44" s="1725"/>
      <c r="M44" s="1725"/>
      <c r="N44" s="1725"/>
      <c r="O44" s="1725"/>
      <c r="P44" s="1725"/>
      <c r="Q44" s="1725"/>
      <c r="R44" s="1725"/>
      <c r="S44" s="1725"/>
      <c r="T44" s="1725"/>
      <c r="U44" s="1725"/>
      <c r="V44" s="1725"/>
    </row>
    <row r="45" spans="2:22" ht="25.95" customHeight="1" thickBot="1">
      <c r="B45" s="1553" t="s">
        <v>711</v>
      </c>
      <c r="C45" s="1713" t="s">
        <v>7033</v>
      </c>
      <c r="D45" s="1714"/>
      <c r="E45" s="1714"/>
      <c r="F45" s="1714"/>
      <c r="G45" s="1714"/>
      <c r="H45" s="1714"/>
      <c r="I45" s="1714"/>
      <c r="J45" s="1714"/>
      <c r="K45" s="1714"/>
      <c r="L45" s="1714"/>
      <c r="M45" s="1714"/>
      <c r="N45" s="1714"/>
      <c r="O45" s="1714"/>
      <c r="P45" s="1714"/>
      <c r="Q45" s="1714"/>
      <c r="R45" s="1714"/>
      <c r="S45" s="1714"/>
      <c r="T45" s="1714"/>
      <c r="U45" s="1714"/>
      <c r="V45" s="1715"/>
    </row>
    <row r="46" spans="2:22" ht="25.95" customHeight="1" thickBot="1">
      <c r="B46" s="1552" t="s">
        <v>6918</v>
      </c>
      <c r="C46" s="1716" t="s">
        <v>7034</v>
      </c>
      <c r="D46" s="1717"/>
      <c r="E46" s="1717"/>
      <c r="F46" s="1717"/>
      <c r="G46" s="1717"/>
      <c r="H46" s="1717"/>
      <c r="I46" s="1717"/>
      <c r="J46" s="1717"/>
      <c r="K46" s="1717"/>
      <c r="L46" s="1717"/>
      <c r="M46" s="1717"/>
      <c r="N46" s="1717"/>
      <c r="O46" s="1717"/>
      <c r="P46" s="1717"/>
      <c r="Q46" s="1717"/>
      <c r="R46" s="1717"/>
      <c r="S46" s="1717"/>
      <c r="T46" s="1717"/>
      <c r="U46" s="1717"/>
      <c r="V46" s="1717"/>
    </row>
    <row r="47" spans="2:22" ht="25.95" customHeight="1" thickBot="1">
      <c r="B47" s="1553" t="s">
        <v>142</v>
      </c>
      <c r="C47" s="1718" t="s">
        <v>7035</v>
      </c>
      <c r="D47" s="1719"/>
      <c r="E47" s="1719"/>
      <c r="F47" s="1719"/>
      <c r="G47" s="1719"/>
      <c r="H47" s="1719"/>
      <c r="I47" s="1719"/>
      <c r="J47" s="1719"/>
      <c r="K47" s="1719"/>
      <c r="L47" s="1719"/>
      <c r="M47" s="1719"/>
      <c r="N47" s="1719"/>
      <c r="O47" s="1719"/>
      <c r="P47" s="1719"/>
      <c r="Q47" s="1719"/>
      <c r="R47" s="1719"/>
      <c r="S47" s="1719"/>
      <c r="T47" s="1719"/>
      <c r="U47" s="1719"/>
      <c r="V47" s="1720"/>
    </row>
    <row r="48" spans="2:22" ht="25.95" customHeight="1" thickBot="1">
      <c r="B48" s="1551" t="s">
        <v>7007</v>
      </c>
      <c r="C48" s="1721" t="s">
        <v>7036</v>
      </c>
      <c r="D48" s="1722"/>
      <c r="E48" s="1722"/>
      <c r="F48" s="1722"/>
      <c r="G48" s="1722"/>
      <c r="H48" s="1722"/>
      <c r="I48" s="1722"/>
      <c r="J48" s="1722"/>
      <c r="K48" s="1722"/>
      <c r="L48" s="1722"/>
      <c r="M48" s="1722"/>
      <c r="N48" s="1722"/>
      <c r="O48" s="1722"/>
      <c r="P48" s="1722"/>
      <c r="Q48" s="1722"/>
      <c r="R48" s="1722"/>
      <c r="S48" s="1722"/>
      <c r="T48" s="1722"/>
      <c r="U48" s="1722"/>
      <c r="V48" s="1723"/>
    </row>
  </sheetData>
  <mergeCells count="21">
    <mergeCell ref="C38:V38"/>
    <mergeCell ref="C1:C2"/>
    <mergeCell ref="E1:E2"/>
    <mergeCell ref="F1:F2"/>
    <mergeCell ref="H1:H2"/>
    <mergeCell ref="I1:I2"/>
    <mergeCell ref="C34:V34"/>
    <mergeCell ref="C35:V35"/>
    <mergeCell ref="C33:V33"/>
    <mergeCell ref="C36:V36"/>
    <mergeCell ref="C37:V37"/>
    <mergeCell ref="C45:V45"/>
    <mergeCell ref="C46:V46"/>
    <mergeCell ref="C47:V47"/>
    <mergeCell ref="C48:V48"/>
    <mergeCell ref="C39:V39"/>
    <mergeCell ref="C40:V40"/>
    <mergeCell ref="C41:V41"/>
    <mergeCell ref="C42:V42"/>
    <mergeCell ref="C43:V43"/>
    <mergeCell ref="C44:V44"/>
  </mergeCells>
  <pageMargins left="0.51181102362204722" right="0.31496062992125984" top="0.74803149606299213" bottom="0.74803149606299213"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64"/>
  <sheetViews>
    <sheetView topLeftCell="A103" workbookViewId="0">
      <selection activeCell="B103" sqref="B103:Q103"/>
    </sheetView>
  </sheetViews>
  <sheetFormatPr baseColWidth="10" defaultColWidth="9.109375" defaultRowHeight="10.199999999999999"/>
  <cols>
    <col min="1" max="1" width="12.109375" style="78" bestFit="1" customWidth="1"/>
    <col min="2" max="2" width="5" style="78" bestFit="1" customWidth="1"/>
    <col min="3" max="3" width="3.5546875" style="78" bestFit="1" customWidth="1"/>
    <col min="4" max="4" width="4.44140625" style="78" bestFit="1" customWidth="1"/>
    <col min="5" max="6" width="4.44140625" style="78" customWidth="1"/>
    <col min="7" max="7" width="8.44140625" style="78" bestFit="1" customWidth="1"/>
    <col min="8" max="8" width="11.44140625" style="78" bestFit="1" customWidth="1"/>
    <col min="9" max="9" width="11.5546875" style="78" bestFit="1" customWidth="1"/>
    <col min="10" max="10" width="7.33203125" style="78" bestFit="1" customWidth="1"/>
    <col min="11" max="11" width="8.88671875" style="78" bestFit="1" customWidth="1"/>
    <col min="12" max="12" width="11.5546875" style="78" bestFit="1" customWidth="1"/>
    <col min="13" max="13" width="5.88671875" style="78" customWidth="1"/>
    <col min="14" max="14" width="11.44140625" style="78" bestFit="1" customWidth="1"/>
    <col min="15" max="15" width="10.5546875" style="78" bestFit="1" customWidth="1"/>
    <col min="16" max="16" width="7.6640625" style="78" bestFit="1" customWidth="1"/>
    <col min="17" max="17" width="9.44140625" style="78" customWidth="1"/>
    <col min="18" max="24" width="1.33203125" style="78" bestFit="1" customWidth="1"/>
    <col min="25" max="25" width="11.44140625" style="78" bestFit="1" customWidth="1"/>
    <col min="26" max="26" width="8.6640625" style="78" bestFit="1" customWidth="1"/>
    <col min="27" max="27" width="1.33203125" style="78" bestFit="1" customWidth="1"/>
    <col min="28" max="16384" width="9.109375" style="78"/>
  </cols>
  <sheetData>
    <row r="1" spans="1:17" ht="10.5" hidden="1" customHeight="1">
      <c r="A1" s="78">
        <v>1</v>
      </c>
      <c r="B1" s="78">
        <v>1</v>
      </c>
      <c r="E1" s="109" t="s">
        <v>648</v>
      </c>
      <c r="F1" s="109"/>
      <c r="G1" s="78" t="s">
        <v>644</v>
      </c>
      <c r="H1" s="78" t="s">
        <v>643</v>
      </c>
      <c r="I1" s="78" t="s">
        <v>646</v>
      </c>
      <c r="J1" s="109" t="s">
        <v>642</v>
      </c>
      <c r="K1" s="78" t="s">
        <v>641</v>
      </c>
      <c r="M1" s="109" t="s">
        <v>599</v>
      </c>
      <c r="N1" s="109" t="s">
        <v>574</v>
      </c>
      <c r="O1" s="109" t="s">
        <v>593</v>
      </c>
      <c r="P1" s="78" t="s">
        <v>6</v>
      </c>
      <c r="Q1" s="78" t="s">
        <v>647</v>
      </c>
    </row>
    <row r="2" spans="1:17" ht="10.5" hidden="1" customHeight="1">
      <c r="A2" s="78">
        <v>2</v>
      </c>
      <c r="B2" s="78">
        <v>2</v>
      </c>
      <c r="E2" s="109" t="s">
        <v>173</v>
      </c>
      <c r="F2" s="109"/>
      <c r="G2" s="78" t="s">
        <v>644</v>
      </c>
      <c r="H2" s="78" t="s">
        <v>643</v>
      </c>
      <c r="I2" s="78" t="s">
        <v>646</v>
      </c>
      <c r="J2" s="109" t="s">
        <v>642</v>
      </c>
      <c r="K2" s="78" t="s">
        <v>641</v>
      </c>
      <c r="M2" s="109" t="s">
        <v>603</v>
      </c>
      <c r="N2" s="109" t="s">
        <v>597</v>
      </c>
      <c r="O2" s="109" t="s">
        <v>579</v>
      </c>
      <c r="P2" s="78" t="s">
        <v>6</v>
      </c>
      <c r="Q2" s="78" t="s">
        <v>645</v>
      </c>
    </row>
    <row r="3" spans="1:17" ht="10.5" hidden="1" customHeight="1">
      <c r="A3" s="78">
        <v>3</v>
      </c>
      <c r="B3" s="78">
        <v>3</v>
      </c>
      <c r="E3" s="109" t="s">
        <v>173</v>
      </c>
      <c r="F3" s="109"/>
      <c r="G3" s="78" t="s">
        <v>644</v>
      </c>
      <c r="H3" s="78" t="s">
        <v>643</v>
      </c>
      <c r="I3" s="78" t="s">
        <v>646</v>
      </c>
      <c r="J3" s="109" t="s">
        <v>642</v>
      </c>
      <c r="K3" s="78" t="s">
        <v>641</v>
      </c>
      <c r="M3" s="109" t="s">
        <v>605</v>
      </c>
      <c r="N3" s="109" t="s">
        <v>608</v>
      </c>
      <c r="O3" s="109" t="s">
        <v>613</v>
      </c>
      <c r="P3" s="78" t="s">
        <v>6</v>
      </c>
      <c r="Q3" s="78" t="s">
        <v>645</v>
      </c>
    </row>
    <row r="4" spans="1:17" ht="10.5" hidden="1" customHeight="1">
      <c r="A4" s="78">
        <v>4</v>
      </c>
      <c r="B4" s="78">
        <v>4</v>
      </c>
      <c r="E4" s="109" t="s">
        <v>173</v>
      </c>
      <c r="F4" s="109"/>
      <c r="G4" s="78" t="s">
        <v>644</v>
      </c>
      <c r="H4" s="78" t="s">
        <v>643</v>
      </c>
      <c r="I4" s="78" t="s">
        <v>638</v>
      </c>
      <c r="J4" s="109" t="s">
        <v>642</v>
      </c>
      <c r="K4" s="78" t="s">
        <v>641</v>
      </c>
      <c r="M4" s="109" t="s">
        <v>611</v>
      </c>
      <c r="N4" s="109" t="s">
        <v>619</v>
      </c>
      <c r="O4" s="109" t="s">
        <v>616</v>
      </c>
      <c r="P4" s="78" t="s">
        <v>6</v>
      </c>
      <c r="Q4" s="78" t="s">
        <v>645</v>
      </c>
    </row>
    <row r="5" spans="1:17" ht="10.5" hidden="1" customHeight="1">
      <c r="A5" s="78">
        <v>5</v>
      </c>
      <c r="B5" s="78">
        <v>5</v>
      </c>
      <c r="E5" s="109" t="s">
        <v>173</v>
      </c>
      <c r="F5" s="109"/>
      <c r="G5" s="78" t="s">
        <v>644</v>
      </c>
      <c r="H5" s="78" t="s">
        <v>643</v>
      </c>
      <c r="I5" s="78" t="s">
        <v>638</v>
      </c>
      <c r="J5" s="109" t="s">
        <v>642</v>
      </c>
      <c r="K5" s="78" t="s">
        <v>641</v>
      </c>
      <c r="M5" s="109" t="s">
        <v>572</v>
      </c>
      <c r="N5" s="109" t="s">
        <v>640</v>
      </c>
      <c r="O5" s="109" t="s">
        <v>601</v>
      </c>
      <c r="P5" s="78" t="s">
        <v>6</v>
      </c>
      <c r="Q5" s="78" t="s">
        <v>639</v>
      </c>
    </row>
    <row r="6" spans="1:17" ht="10.5" hidden="1" customHeight="1">
      <c r="A6" s="78">
        <v>6</v>
      </c>
      <c r="B6" s="78">
        <v>6</v>
      </c>
      <c r="E6" s="109" t="s">
        <v>173</v>
      </c>
      <c r="F6" s="109"/>
      <c r="G6" s="78" t="s">
        <v>634</v>
      </c>
      <c r="H6" s="78" t="s">
        <v>636</v>
      </c>
      <c r="I6" s="78" t="s">
        <v>638</v>
      </c>
      <c r="J6" s="109" t="s">
        <v>629</v>
      </c>
      <c r="K6" s="78" t="s">
        <v>628</v>
      </c>
      <c r="M6" s="109" t="s">
        <v>575</v>
      </c>
      <c r="N6" s="109" t="s">
        <v>612</v>
      </c>
      <c r="O6" s="109" t="s">
        <v>606</v>
      </c>
      <c r="P6" s="78" t="s">
        <v>635</v>
      </c>
      <c r="Q6" s="78" t="s">
        <v>639</v>
      </c>
    </row>
    <row r="7" spans="1:17" ht="10.5" hidden="1" customHeight="1">
      <c r="A7" s="78">
        <v>7</v>
      </c>
      <c r="B7" s="78">
        <v>7</v>
      </c>
      <c r="E7" s="109" t="s">
        <v>173</v>
      </c>
      <c r="F7" s="109"/>
      <c r="G7" s="78" t="s">
        <v>634</v>
      </c>
      <c r="H7" s="78" t="s">
        <v>636</v>
      </c>
      <c r="I7" s="78" t="s">
        <v>638</v>
      </c>
      <c r="J7" s="109" t="s">
        <v>629</v>
      </c>
      <c r="K7" s="78" t="s">
        <v>628</v>
      </c>
      <c r="M7" s="109" t="s">
        <v>586</v>
      </c>
      <c r="N7" s="109" t="s">
        <v>607</v>
      </c>
      <c r="O7" s="109" t="s">
        <v>593</v>
      </c>
      <c r="P7" s="78" t="s">
        <v>635</v>
      </c>
      <c r="Q7" s="78" t="s">
        <v>632</v>
      </c>
    </row>
    <row r="8" spans="1:17" ht="10.5" hidden="1" customHeight="1">
      <c r="A8" s="78">
        <v>8</v>
      </c>
      <c r="B8" s="78">
        <v>8</v>
      </c>
      <c r="E8" s="109" t="s">
        <v>173</v>
      </c>
      <c r="F8" s="109"/>
      <c r="G8" s="78" t="s">
        <v>634</v>
      </c>
      <c r="H8" s="78" t="s">
        <v>636</v>
      </c>
      <c r="I8" s="78" t="s">
        <v>631</v>
      </c>
      <c r="J8" s="109" t="s">
        <v>629</v>
      </c>
      <c r="K8" s="78" t="s">
        <v>628</v>
      </c>
      <c r="M8" s="109" t="s">
        <v>596</v>
      </c>
      <c r="N8" s="109" t="s">
        <v>602</v>
      </c>
      <c r="O8" s="109" t="s">
        <v>637</v>
      </c>
      <c r="P8" s="78" t="s">
        <v>635</v>
      </c>
      <c r="Q8" s="78" t="s">
        <v>632</v>
      </c>
    </row>
    <row r="9" spans="1:17" ht="10.5" hidden="1" customHeight="1">
      <c r="A9" s="78">
        <v>9</v>
      </c>
      <c r="B9" s="78">
        <v>9</v>
      </c>
      <c r="E9" s="109" t="s">
        <v>173</v>
      </c>
      <c r="F9" s="109"/>
      <c r="G9" s="78" t="s">
        <v>634</v>
      </c>
      <c r="H9" s="78" t="s">
        <v>636</v>
      </c>
      <c r="I9" s="78" t="s">
        <v>631</v>
      </c>
      <c r="J9" s="109" t="s">
        <v>629</v>
      </c>
      <c r="K9" s="78" t="s">
        <v>628</v>
      </c>
      <c r="M9" s="109" t="s">
        <v>594</v>
      </c>
      <c r="N9" s="109" t="s">
        <v>565</v>
      </c>
      <c r="O9" s="109" t="s">
        <v>564</v>
      </c>
      <c r="P9" s="78" t="s">
        <v>635</v>
      </c>
      <c r="Q9" s="78" t="s">
        <v>632</v>
      </c>
    </row>
    <row r="10" spans="1:17" ht="10.5" hidden="1" customHeight="1">
      <c r="A10" s="78">
        <v>10</v>
      </c>
      <c r="B10" s="78">
        <v>10</v>
      </c>
      <c r="E10" s="109" t="s">
        <v>173</v>
      </c>
      <c r="F10" s="109"/>
      <c r="G10" s="78" t="s">
        <v>634</v>
      </c>
      <c r="H10" s="78" t="s">
        <v>139</v>
      </c>
      <c r="I10" s="78" t="s">
        <v>631</v>
      </c>
      <c r="J10" s="109" t="s">
        <v>629</v>
      </c>
      <c r="K10" s="78" t="s">
        <v>628</v>
      </c>
      <c r="M10" s="109" t="s">
        <v>633</v>
      </c>
      <c r="N10" s="109" t="s">
        <v>623</v>
      </c>
      <c r="O10" s="109" t="s">
        <v>598</v>
      </c>
      <c r="P10" s="78" t="s">
        <v>627</v>
      </c>
      <c r="Q10" s="78" t="s">
        <v>632</v>
      </c>
    </row>
    <row r="11" spans="1:17" ht="10.5" hidden="1" customHeight="1">
      <c r="A11" s="78">
        <v>11</v>
      </c>
      <c r="B11" s="78">
        <v>11</v>
      </c>
      <c r="E11" s="109" t="s">
        <v>166</v>
      </c>
      <c r="F11" s="109"/>
      <c r="G11" s="78" t="s">
        <v>630</v>
      </c>
      <c r="H11" s="78" t="s">
        <v>139</v>
      </c>
      <c r="I11" s="78" t="s">
        <v>631</v>
      </c>
      <c r="J11" s="109" t="s">
        <v>629</v>
      </c>
      <c r="K11" s="78" t="s">
        <v>628</v>
      </c>
      <c r="M11" s="109" t="s">
        <v>611</v>
      </c>
      <c r="N11" s="109" t="s">
        <v>574</v>
      </c>
      <c r="O11" s="109" t="s">
        <v>616</v>
      </c>
      <c r="P11" s="78" t="s">
        <v>627</v>
      </c>
      <c r="Q11" s="78" t="s">
        <v>632</v>
      </c>
    </row>
    <row r="12" spans="1:17" ht="10.5" hidden="1" customHeight="1">
      <c r="A12" s="78">
        <v>12</v>
      </c>
      <c r="B12" s="78">
        <v>12</v>
      </c>
      <c r="E12" s="109" t="s">
        <v>166</v>
      </c>
      <c r="F12" s="109"/>
      <c r="G12" s="78" t="s">
        <v>630</v>
      </c>
      <c r="H12" s="78" t="s">
        <v>139</v>
      </c>
      <c r="I12" s="78" t="s">
        <v>631</v>
      </c>
      <c r="J12" s="109" t="s">
        <v>629</v>
      </c>
      <c r="K12" s="78" t="s">
        <v>628</v>
      </c>
      <c r="M12" s="109" t="s">
        <v>611</v>
      </c>
      <c r="N12" s="109" t="s">
        <v>597</v>
      </c>
      <c r="O12" s="109" t="s">
        <v>616</v>
      </c>
      <c r="P12" s="78" t="s">
        <v>627</v>
      </c>
      <c r="Q12" s="78" t="s">
        <v>626</v>
      </c>
    </row>
    <row r="13" spans="1:17" ht="10.5" hidden="1" customHeight="1">
      <c r="A13" s="78">
        <v>13</v>
      </c>
      <c r="B13" s="78">
        <v>13</v>
      </c>
      <c r="E13" s="109" t="s">
        <v>166</v>
      </c>
      <c r="F13" s="109"/>
      <c r="G13" s="78" t="s">
        <v>630</v>
      </c>
      <c r="H13" s="78" t="s">
        <v>139</v>
      </c>
      <c r="I13" s="78" t="s">
        <v>625</v>
      </c>
      <c r="J13" s="109" t="s">
        <v>629</v>
      </c>
      <c r="K13" s="78" t="s">
        <v>628</v>
      </c>
      <c r="M13" s="109" t="s">
        <v>611</v>
      </c>
      <c r="N13" s="109" t="s">
        <v>608</v>
      </c>
      <c r="O13" s="109" t="s">
        <v>616</v>
      </c>
      <c r="P13" s="78" t="s">
        <v>627</v>
      </c>
      <c r="Q13" s="78" t="s">
        <v>626</v>
      </c>
    </row>
    <row r="14" spans="1:17" ht="10.5" hidden="1" customHeight="1">
      <c r="A14" s="78">
        <v>14</v>
      </c>
      <c r="B14" s="78">
        <v>14</v>
      </c>
      <c r="E14" s="109" t="s">
        <v>166</v>
      </c>
      <c r="F14" s="109"/>
      <c r="G14" s="78" t="s">
        <v>630</v>
      </c>
      <c r="H14" s="78" t="s">
        <v>139</v>
      </c>
      <c r="I14" s="78" t="s">
        <v>625</v>
      </c>
      <c r="J14" s="109" t="s">
        <v>629</v>
      </c>
      <c r="K14" s="78" t="s">
        <v>628</v>
      </c>
      <c r="M14" s="109" t="s">
        <v>611</v>
      </c>
      <c r="N14" s="109" t="s">
        <v>619</v>
      </c>
      <c r="O14" s="109" t="s">
        <v>616</v>
      </c>
      <c r="P14" s="78" t="s">
        <v>627</v>
      </c>
      <c r="Q14" s="78" t="s">
        <v>626</v>
      </c>
    </row>
    <row r="15" spans="1:17" ht="10.5" hidden="1" customHeight="1">
      <c r="A15" s="78">
        <v>15</v>
      </c>
      <c r="B15" s="78">
        <v>15</v>
      </c>
      <c r="E15" s="109" t="s">
        <v>166</v>
      </c>
      <c r="F15" s="109"/>
      <c r="G15" s="78" t="s">
        <v>630</v>
      </c>
      <c r="H15" s="78" t="s">
        <v>624</v>
      </c>
      <c r="I15" s="78" t="s">
        <v>625</v>
      </c>
      <c r="J15" s="109" t="s">
        <v>629</v>
      </c>
      <c r="K15" s="78" t="s">
        <v>628</v>
      </c>
      <c r="M15" s="109" t="s">
        <v>611</v>
      </c>
      <c r="N15" s="109" t="s">
        <v>619</v>
      </c>
      <c r="O15" s="109" t="s">
        <v>616</v>
      </c>
      <c r="P15" s="78" t="s">
        <v>627</v>
      </c>
      <c r="Q15" s="78" t="s">
        <v>626</v>
      </c>
    </row>
    <row r="16" spans="1:17" ht="10.5" hidden="1" customHeight="1">
      <c r="A16" s="78">
        <v>16</v>
      </c>
      <c r="B16" s="78">
        <v>16</v>
      </c>
      <c r="E16" s="109" t="s">
        <v>166</v>
      </c>
      <c r="F16" s="109"/>
      <c r="G16" s="109" t="s">
        <v>620</v>
      </c>
      <c r="H16" s="78" t="s">
        <v>624</v>
      </c>
      <c r="I16" s="78" t="s">
        <v>625</v>
      </c>
      <c r="J16" s="109" t="s">
        <v>614</v>
      </c>
      <c r="K16" s="78" t="s">
        <v>78</v>
      </c>
      <c r="M16" s="109" t="s">
        <v>611</v>
      </c>
      <c r="N16" s="109" t="s">
        <v>612</v>
      </c>
      <c r="O16" s="109" t="s">
        <v>616</v>
      </c>
      <c r="P16" s="78" t="s">
        <v>627</v>
      </c>
      <c r="Q16" s="78" t="s">
        <v>626</v>
      </c>
    </row>
    <row r="17" spans="1:27" ht="10.5" hidden="1" customHeight="1">
      <c r="A17" s="78">
        <v>17</v>
      </c>
      <c r="B17" s="78">
        <v>17</v>
      </c>
      <c r="E17" s="109" t="s">
        <v>166</v>
      </c>
      <c r="F17" s="109"/>
      <c r="G17" s="109" t="s">
        <v>620</v>
      </c>
      <c r="H17" s="78" t="s">
        <v>624</v>
      </c>
      <c r="I17" s="78" t="s">
        <v>625</v>
      </c>
      <c r="J17" s="109" t="s">
        <v>614</v>
      </c>
      <c r="K17" s="78" t="s">
        <v>78</v>
      </c>
      <c r="M17" s="109" t="s">
        <v>611</v>
      </c>
      <c r="N17" s="109" t="s">
        <v>607</v>
      </c>
      <c r="O17" s="109" t="s">
        <v>616</v>
      </c>
      <c r="P17" s="78" t="s">
        <v>627</v>
      </c>
      <c r="Q17" s="78" t="s">
        <v>626</v>
      </c>
    </row>
    <row r="18" spans="1:27" ht="10.5" hidden="1" customHeight="1">
      <c r="A18" s="78">
        <v>18</v>
      </c>
      <c r="B18" s="78">
        <v>18</v>
      </c>
      <c r="E18" s="109" t="s">
        <v>166</v>
      </c>
      <c r="F18" s="109"/>
      <c r="G18" s="109" t="s">
        <v>620</v>
      </c>
      <c r="H18" s="78" t="s">
        <v>624</v>
      </c>
      <c r="I18" s="78" t="s">
        <v>625</v>
      </c>
      <c r="J18" s="109" t="s">
        <v>614</v>
      </c>
      <c r="K18" s="78" t="s">
        <v>78</v>
      </c>
      <c r="M18" s="109" t="s">
        <v>611</v>
      </c>
      <c r="N18" s="109" t="s">
        <v>602</v>
      </c>
      <c r="O18" s="109" t="s">
        <v>616</v>
      </c>
      <c r="P18" s="78" t="s">
        <v>618</v>
      </c>
      <c r="Q18" s="78" t="s">
        <v>617</v>
      </c>
    </row>
    <row r="19" spans="1:27" ht="10.5" hidden="1" customHeight="1">
      <c r="A19" s="78">
        <v>19</v>
      </c>
      <c r="B19" s="78">
        <v>19</v>
      </c>
      <c r="E19" s="109" t="s">
        <v>166</v>
      </c>
      <c r="F19" s="109"/>
      <c r="G19" s="109" t="s">
        <v>620</v>
      </c>
      <c r="H19" s="78" t="s">
        <v>624</v>
      </c>
      <c r="I19" s="109" t="s">
        <v>561</v>
      </c>
      <c r="J19" s="109" t="s">
        <v>614</v>
      </c>
      <c r="K19" s="78" t="s">
        <v>622</v>
      </c>
      <c r="M19" s="109" t="s">
        <v>611</v>
      </c>
      <c r="N19" s="109" t="s">
        <v>565</v>
      </c>
      <c r="O19" s="109" t="s">
        <v>616</v>
      </c>
      <c r="P19" s="78" t="s">
        <v>618</v>
      </c>
      <c r="Q19" s="78" t="s">
        <v>617</v>
      </c>
    </row>
    <row r="20" spans="1:27" ht="10.5" hidden="1" customHeight="1">
      <c r="A20" s="78">
        <v>20</v>
      </c>
      <c r="B20" s="78">
        <v>20</v>
      </c>
      <c r="E20" s="109" t="s">
        <v>166</v>
      </c>
      <c r="F20" s="109"/>
      <c r="G20" s="109" t="s">
        <v>620</v>
      </c>
      <c r="H20" s="78" t="s">
        <v>624</v>
      </c>
      <c r="I20" s="109" t="s">
        <v>561</v>
      </c>
      <c r="J20" s="109" t="s">
        <v>614</v>
      </c>
      <c r="K20" s="78" t="s">
        <v>622</v>
      </c>
      <c r="M20" s="109" t="s">
        <v>611</v>
      </c>
      <c r="N20" s="109" t="s">
        <v>623</v>
      </c>
      <c r="O20" s="109" t="s">
        <v>616</v>
      </c>
      <c r="P20" s="78" t="s">
        <v>618</v>
      </c>
      <c r="Q20" s="78" t="s">
        <v>617</v>
      </c>
    </row>
    <row r="21" spans="1:27" ht="10.5" hidden="1" customHeight="1">
      <c r="A21" s="78">
        <v>21</v>
      </c>
      <c r="B21" s="78">
        <v>21</v>
      </c>
      <c r="E21" s="109" t="s">
        <v>166</v>
      </c>
      <c r="F21" s="109"/>
      <c r="G21" s="109" t="s">
        <v>620</v>
      </c>
      <c r="H21" s="109" t="s">
        <v>561</v>
      </c>
      <c r="I21" s="109" t="s">
        <v>561</v>
      </c>
      <c r="J21" s="109" t="s">
        <v>614</v>
      </c>
      <c r="K21" s="78" t="s">
        <v>622</v>
      </c>
      <c r="L21" s="109" t="s">
        <v>561</v>
      </c>
      <c r="M21" s="109" t="s">
        <v>611</v>
      </c>
      <c r="N21" s="109" t="s">
        <v>574</v>
      </c>
      <c r="O21" s="109" t="s">
        <v>616</v>
      </c>
      <c r="P21" s="78" t="s">
        <v>618</v>
      </c>
      <c r="Q21" s="78" t="s">
        <v>617</v>
      </c>
      <c r="R21" s="109" t="s">
        <v>561</v>
      </c>
      <c r="S21" s="109" t="s">
        <v>561</v>
      </c>
      <c r="T21" s="109" t="s">
        <v>561</v>
      </c>
      <c r="U21" s="109" t="s">
        <v>561</v>
      </c>
      <c r="V21" s="109" t="s">
        <v>561</v>
      </c>
      <c r="W21" s="109" t="s">
        <v>561</v>
      </c>
      <c r="X21" s="109" t="s">
        <v>561</v>
      </c>
      <c r="Y21" s="109" t="s">
        <v>561</v>
      </c>
      <c r="Z21" s="109" t="s">
        <v>561</v>
      </c>
      <c r="AA21" s="109" t="s">
        <v>561</v>
      </c>
    </row>
    <row r="22" spans="1:27" ht="10.5" hidden="1" customHeight="1">
      <c r="A22" s="78">
        <v>22</v>
      </c>
      <c r="B22" s="78">
        <v>22</v>
      </c>
      <c r="E22" s="109" t="s">
        <v>166</v>
      </c>
      <c r="F22" s="109"/>
      <c r="G22" s="109" t="s">
        <v>620</v>
      </c>
      <c r="H22" s="109" t="s">
        <v>561</v>
      </c>
      <c r="I22" s="109" t="s">
        <v>561</v>
      </c>
      <c r="J22" s="109" t="s">
        <v>614</v>
      </c>
      <c r="K22" s="78" t="s">
        <v>622</v>
      </c>
      <c r="L22" s="109" t="s">
        <v>561</v>
      </c>
      <c r="M22" s="109" t="s">
        <v>611</v>
      </c>
      <c r="N22" s="109" t="s">
        <v>597</v>
      </c>
      <c r="O22" s="109" t="s">
        <v>616</v>
      </c>
      <c r="P22" s="78" t="s">
        <v>618</v>
      </c>
      <c r="Q22" s="78" t="s">
        <v>617</v>
      </c>
      <c r="R22" s="109" t="s">
        <v>561</v>
      </c>
      <c r="S22" s="109" t="s">
        <v>561</v>
      </c>
      <c r="T22" s="109" t="s">
        <v>561</v>
      </c>
      <c r="U22" s="109" t="s">
        <v>561</v>
      </c>
      <c r="V22" s="109" t="s">
        <v>561</v>
      </c>
      <c r="W22" s="109" t="s">
        <v>561</v>
      </c>
      <c r="X22" s="109" t="s">
        <v>561</v>
      </c>
      <c r="Y22" s="109" t="s">
        <v>561</v>
      </c>
      <c r="Z22" s="109" t="s">
        <v>561</v>
      </c>
      <c r="AA22" s="109" t="s">
        <v>561</v>
      </c>
    </row>
    <row r="23" spans="1:27" ht="10.5" hidden="1" customHeight="1">
      <c r="A23" s="78">
        <v>23</v>
      </c>
      <c r="B23" s="78">
        <v>23</v>
      </c>
      <c r="E23" s="109" t="s">
        <v>166</v>
      </c>
      <c r="F23" s="109"/>
      <c r="G23" s="109" t="s">
        <v>620</v>
      </c>
      <c r="H23" s="109" t="s">
        <v>561</v>
      </c>
      <c r="I23" s="109" t="s">
        <v>561</v>
      </c>
      <c r="J23" s="109" t="s">
        <v>614</v>
      </c>
      <c r="K23" s="78" t="s">
        <v>621</v>
      </c>
      <c r="L23" s="109" t="s">
        <v>561</v>
      </c>
      <c r="M23" s="109" t="s">
        <v>611</v>
      </c>
      <c r="N23" s="109" t="s">
        <v>608</v>
      </c>
      <c r="O23" s="109" t="s">
        <v>616</v>
      </c>
      <c r="P23" s="78" t="s">
        <v>618</v>
      </c>
      <c r="Q23" s="78" t="s">
        <v>617</v>
      </c>
      <c r="R23" s="109" t="s">
        <v>561</v>
      </c>
      <c r="S23" s="109" t="s">
        <v>561</v>
      </c>
      <c r="T23" s="109" t="s">
        <v>561</v>
      </c>
      <c r="U23" s="109" t="s">
        <v>561</v>
      </c>
      <c r="V23" s="109" t="s">
        <v>561</v>
      </c>
      <c r="W23" s="109" t="s">
        <v>561</v>
      </c>
      <c r="X23" s="109" t="s">
        <v>561</v>
      </c>
      <c r="Y23" s="109" t="s">
        <v>561</v>
      </c>
      <c r="Z23" s="109" t="s">
        <v>561</v>
      </c>
      <c r="AA23" s="109" t="s">
        <v>561</v>
      </c>
    </row>
    <row r="24" spans="1:27" ht="10.5" hidden="1" customHeight="1">
      <c r="A24" s="78">
        <v>24</v>
      </c>
      <c r="B24" s="78">
        <v>24</v>
      </c>
      <c r="E24" s="109" t="s">
        <v>166</v>
      </c>
      <c r="F24" s="109"/>
      <c r="G24" s="109" t="s">
        <v>620</v>
      </c>
      <c r="H24" s="109" t="s">
        <v>561</v>
      </c>
      <c r="I24" s="109" t="s">
        <v>561</v>
      </c>
      <c r="J24" s="109" t="s">
        <v>614</v>
      </c>
      <c r="K24" s="78" t="s">
        <v>621</v>
      </c>
      <c r="L24" s="109" t="s">
        <v>561</v>
      </c>
      <c r="M24" s="109" t="s">
        <v>611</v>
      </c>
      <c r="N24" s="109" t="s">
        <v>619</v>
      </c>
      <c r="O24" s="109" t="s">
        <v>616</v>
      </c>
      <c r="P24" s="78" t="s">
        <v>618</v>
      </c>
      <c r="Q24" s="78" t="s">
        <v>617</v>
      </c>
      <c r="R24" s="109" t="s">
        <v>561</v>
      </c>
      <c r="S24" s="109" t="s">
        <v>561</v>
      </c>
      <c r="T24" s="109" t="s">
        <v>561</v>
      </c>
      <c r="U24" s="109" t="s">
        <v>561</v>
      </c>
      <c r="V24" s="109" t="s">
        <v>561</v>
      </c>
      <c r="W24" s="109" t="s">
        <v>561</v>
      </c>
      <c r="X24" s="109" t="s">
        <v>561</v>
      </c>
      <c r="Y24" s="109" t="s">
        <v>561</v>
      </c>
      <c r="Z24" s="109" t="s">
        <v>561</v>
      </c>
      <c r="AA24" s="109" t="s">
        <v>561</v>
      </c>
    </row>
    <row r="25" spans="1:27" ht="10.5" hidden="1" customHeight="1">
      <c r="A25" s="78">
        <v>25</v>
      </c>
      <c r="B25" s="78">
        <v>25</v>
      </c>
      <c r="E25" s="109" t="s">
        <v>166</v>
      </c>
      <c r="F25" s="109"/>
      <c r="G25" s="109" t="s">
        <v>620</v>
      </c>
      <c r="H25" s="109" t="s">
        <v>561</v>
      </c>
      <c r="I25" s="109" t="s">
        <v>561</v>
      </c>
      <c r="J25" s="109" t="s">
        <v>614</v>
      </c>
      <c r="K25" s="109" t="s">
        <v>561</v>
      </c>
      <c r="L25" s="109" t="s">
        <v>561</v>
      </c>
      <c r="M25" s="109" t="s">
        <v>611</v>
      </c>
      <c r="N25" s="109" t="s">
        <v>619</v>
      </c>
      <c r="O25" s="109" t="s">
        <v>616</v>
      </c>
      <c r="P25" s="78" t="s">
        <v>618</v>
      </c>
      <c r="Q25" s="78" t="s">
        <v>617</v>
      </c>
      <c r="R25" s="109" t="s">
        <v>561</v>
      </c>
      <c r="S25" s="109" t="s">
        <v>561</v>
      </c>
      <c r="T25" s="109" t="s">
        <v>561</v>
      </c>
      <c r="U25" s="109" t="s">
        <v>561</v>
      </c>
      <c r="V25" s="109" t="s">
        <v>561</v>
      </c>
      <c r="W25" s="109" t="s">
        <v>561</v>
      </c>
      <c r="X25" s="109" t="s">
        <v>561</v>
      </c>
      <c r="Y25" s="109" t="s">
        <v>561</v>
      </c>
      <c r="Z25" s="109" t="s">
        <v>561</v>
      </c>
      <c r="AA25" s="109" t="s">
        <v>561</v>
      </c>
    </row>
    <row r="26" spans="1:27" ht="10.5" hidden="1" customHeight="1">
      <c r="A26" s="78">
        <v>26</v>
      </c>
      <c r="B26" s="78">
        <v>26</v>
      </c>
      <c r="E26" s="109" t="s">
        <v>166</v>
      </c>
      <c r="F26" s="109"/>
      <c r="G26" s="109" t="s">
        <v>561</v>
      </c>
      <c r="H26" s="109" t="s">
        <v>561</v>
      </c>
      <c r="I26" s="109" t="s">
        <v>561</v>
      </c>
      <c r="J26" s="109" t="s">
        <v>614</v>
      </c>
      <c r="K26" s="109" t="s">
        <v>561</v>
      </c>
      <c r="L26" s="109" t="s">
        <v>561</v>
      </c>
      <c r="M26" s="109" t="s">
        <v>611</v>
      </c>
      <c r="N26" s="109" t="s">
        <v>612</v>
      </c>
      <c r="O26" s="109" t="s">
        <v>616</v>
      </c>
      <c r="P26" s="109" t="s">
        <v>120</v>
      </c>
      <c r="Q26" s="109" t="s">
        <v>615</v>
      </c>
      <c r="R26" s="109" t="s">
        <v>561</v>
      </c>
      <c r="S26" s="109" t="s">
        <v>561</v>
      </c>
      <c r="T26" s="109" t="s">
        <v>561</v>
      </c>
      <c r="U26" s="109" t="s">
        <v>561</v>
      </c>
      <c r="V26" s="109" t="s">
        <v>561</v>
      </c>
      <c r="W26" s="109" t="s">
        <v>561</v>
      </c>
      <c r="X26" s="109" t="s">
        <v>561</v>
      </c>
      <c r="Y26" s="109" t="s">
        <v>561</v>
      </c>
      <c r="Z26" s="109" t="s">
        <v>561</v>
      </c>
      <c r="AA26" s="109" t="s">
        <v>561</v>
      </c>
    </row>
    <row r="27" spans="1:27" ht="10.5" hidden="1" customHeight="1">
      <c r="A27" s="78">
        <v>27</v>
      </c>
      <c r="B27" s="78">
        <v>27</v>
      </c>
      <c r="E27" s="109" t="s">
        <v>166</v>
      </c>
      <c r="F27" s="109"/>
      <c r="G27" s="109" t="s">
        <v>561</v>
      </c>
      <c r="H27" s="109" t="s">
        <v>561</v>
      </c>
      <c r="I27" s="109" t="s">
        <v>561</v>
      </c>
      <c r="J27" s="109" t="s">
        <v>614</v>
      </c>
      <c r="K27" s="109" t="s">
        <v>561</v>
      </c>
      <c r="L27" s="109" t="s">
        <v>561</v>
      </c>
      <c r="M27" s="109" t="s">
        <v>611</v>
      </c>
      <c r="N27" s="109" t="s">
        <v>607</v>
      </c>
      <c r="O27" s="109" t="s">
        <v>616</v>
      </c>
      <c r="P27" s="109" t="s">
        <v>120</v>
      </c>
      <c r="Q27" s="109" t="s">
        <v>615</v>
      </c>
      <c r="R27" s="109" t="s">
        <v>561</v>
      </c>
      <c r="S27" s="109" t="s">
        <v>561</v>
      </c>
      <c r="T27" s="109" t="s">
        <v>561</v>
      </c>
      <c r="U27" s="109" t="s">
        <v>561</v>
      </c>
      <c r="V27" s="109" t="s">
        <v>561</v>
      </c>
      <c r="W27" s="109" t="s">
        <v>561</v>
      </c>
      <c r="X27" s="109" t="s">
        <v>561</v>
      </c>
      <c r="Y27" s="109" t="s">
        <v>561</v>
      </c>
      <c r="Z27" s="109" t="s">
        <v>561</v>
      </c>
      <c r="AA27" s="109" t="s">
        <v>561</v>
      </c>
    </row>
    <row r="28" spans="1:27" ht="10.5" hidden="1" customHeight="1">
      <c r="A28" s="78">
        <v>28</v>
      </c>
      <c r="B28" s="78">
        <v>28</v>
      </c>
      <c r="E28" s="109" t="s">
        <v>166</v>
      </c>
      <c r="F28" s="109"/>
      <c r="G28" s="109" t="s">
        <v>561</v>
      </c>
      <c r="H28" s="109" t="s">
        <v>561</v>
      </c>
      <c r="I28" s="109" t="s">
        <v>561</v>
      </c>
      <c r="J28" s="109" t="s">
        <v>614</v>
      </c>
      <c r="K28" s="109" t="s">
        <v>561</v>
      </c>
      <c r="L28" s="109" t="s">
        <v>561</v>
      </c>
      <c r="M28" s="109" t="s">
        <v>611</v>
      </c>
      <c r="N28" s="109" t="s">
        <v>602</v>
      </c>
      <c r="O28" s="109" t="s">
        <v>613</v>
      </c>
      <c r="P28" s="109" t="s">
        <v>120</v>
      </c>
      <c r="Q28" s="109" t="s">
        <v>615</v>
      </c>
      <c r="R28" s="109" t="s">
        <v>561</v>
      </c>
      <c r="S28" s="109" t="s">
        <v>561</v>
      </c>
      <c r="T28" s="109" t="s">
        <v>561</v>
      </c>
      <c r="U28" s="109" t="s">
        <v>561</v>
      </c>
      <c r="V28" s="109" t="s">
        <v>561</v>
      </c>
      <c r="W28" s="109" t="s">
        <v>561</v>
      </c>
      <c r="X28" s="109" t="s">
        <v>561</v>
      </c>
      <c r="Y28" s="109" t="s">
        <v>561</v>
      </c>
      <c r="Z28" s="109" t="s">
        <v>561</v>
      </c>
      <c r="AA28" s="109" t="s">
        <v>561</v>
      </c>
    </row>
    <row r="29" spans="1:27" ht="10.5" hidden="1" customHeight="1">
      <c r="A29" s="78">
        <v>29</v>
      </c>
      <c r="B29" s="78">
        <v>29</v>
      </c>
      <c r="E29" s="109" t="s">
        <v>166</v>
      </c>
      <c r="F29" s="109"/>
      <c r="G29" s="109" t="s">
        <v>561</v>
      </c>
      <c r="H29" s="109" t="s">
        <v>561</v>
      </c>
      <c r="I29" s="109" t="s">
        <v>561</v>
      </c>
      <c r="J29" s="109" t="s">
        <v>614</v>
      </c>
      <c r="K29" s="109" t="s">
        <v>561</v>
      </c>
      <c r="L29" s="109" t="s">
        <v>561</v>
      </c>
      <c r="M29" s="109" t="s">
        <v>611</v>
      </c>
      <c r="N29" s="109" t="s">
        <v>565</v>
      </c>
      <c r="O29" s="109" t="s">
        <v>613</v>
      </c>
      <c r="P29" s="109" t="s">
        <v>120</v>
      </c>
      <c r="Q29" s="109" t="s">
        <v>615</v>
      </c>
      <c r="R29" s="109" t="s">
        <v>561</v>
      </c>
      <c r="S29" s="109" t="s">
        <v>561</v>
      </c>
      <c r="T29" s="109" t="s">
        <v>561</v>
      </c>
      <c r="U29" s="109" t="s">
        <v>561</v>
      </c>
      <c r="V29" s="109" t="s">
        <v>561</v>
      </c>
      <c r="W29" s="109" t="s">
        <v>561</v>
      </c>
      <c r="X29" s="109" t="s">
        <v>561</v>
      </c>
      <c r="Y29" s="109" t="s">
        <v>561</v>
      </c>
      <c r="Z29" s="109" t="s">
        <v>561</v>
      </c>
      <c r="AA29" s="109" t="s">
        <v>561</v>
      </c>
    </row>
    <row r="30" spans="1:27" ht="10.5" hidden="1" customHeight="1">
      <c r="A30" s="78">
        <v>30</v>
      </c>
      <c r="B30" s="78">
        <v>30</v>
      </c>
      <c r="E30" s="109" t="s">
        <v>166</v>
      </c>
      <c r="F30" s="109"/>
      <c r="G30" s="109" t="s">
        <v>561</v>
      </c>
      <c r="H30" s="109" t="s">
        <v>561</v>
      </c>
      <c r="I30" s="109" t="s">
        <v>561</v>
      </c>
      <c r="J30" s="109" t="s">
        <v>614</v>
      </c>
      <c r="K30" s="109" t="s">
        <v>561</v>
      </c>
      <c r="L30" s="109" t="s">
        <v>561</v>
      </c>
      <c r="M30" s="109" t="s">
        <v>611</v>
      </c>
      <c r="N30" s="109" t="s">
        <v>565</v>
      </c>
      <c r="O30" s="109" t="s">
        <v>613</v>
      </c>
      <c r="P30" s="109" t="s">
        <v>120</v>
      </c>
      <c r="Q30" s="109" t="s">
        <v>561</v>
      </c>
      <c r="R30" s="109" t="s">
        <v>561</v>
      </c>
      <c r="S30" s="109" t="s">
        <v>561</v>
      </c>
      <c r="T30" s="109" t="s">
        <v>561</v>
      </c>
      <c r="U30" s="109" t="s">
        <v>561</v>
      </c>
      <c r="V30" s="109" t="s">
        <v>561</v>
      </c>
      <c r="W30" s="109" t="s">
        <v>561</v>
      </c>
      <c r="X30" s="109" t="s">
        <v>561</v>
      </c>
      <c r="Y30" s="109" t="s">
        <v>561</v>
      </c>
      <c r="Z30" s="109" t="s">
        <v>561</v>
      </c>
      <c r="AA30" s="109" t="s">
        <v>561</v>
      </c>
    </row>
    <row r="31" spans="1:27" ht="10.5" hidden="1" customHeight="1">
      <c r="A31" s="78">
        <v>31</v>
      </c>
      <c r="B31" s="78">
        <v>31</v>
      </c>
      <c r="E31" s="109" t="s">
        <v>147</v>
      </c>
      <c r="F31" s="109"/>
      <c r="G31" s="109" t="s">
        <v>561</v>
      </c>
      <c r="H31" s="109" t="s">
        <v>561</v>
      </c>
      <c r="I31" s="109" t="s">
        <v>561</v>
      </c>
      <c r="J31" s="109" t="s">
        <v>561</v>
      </c>
      <c r="K31" s="109" t="s">
        <v>561</v>
      </c>
      <c r="L31" s="109" t="s">
        <v>561</v>
      </c>
      <c r="M31" s="109" t="s">
        <v>611</v>
      </c>
      <c r="N31" s="109" t="s">
        <v>574</v>
      </c>
      <c r="O31" s="109" t="s">
        <v>613</v>
      </c>
      <c r="P31" s="109" t="s">
        <v>120</v>
      </c>
      <c r="Q31" s="109" t="s">
        <v>561</v>
      </c>
      <c r="R31" s="109" t="s">
        <v>561</v>
      </c>
      <c r="S31" s="109" t="s">
        <v>561</v>
      </c>
      <c r="T31" s="109" t="s">
        <v>561</v>
      </c>
      <c r="U31" s="109" t="s">
        <v>561</v>
      </c>
      <c r="V31" s="109" t="s">
        <v>561</v>
      </c>
      <c r="W31" s="109" t="s">
        <v>561</v>
      </c>
      <c r="X31" s="109" t="s">
        <v>561</v>
      </c>
      <c r="Y31" s="109" t="s">
        <v>561</v>
      </c>
      <c r="Z31" s="109" t="s">
        <v>561</v>
      </c>
      <c r="AA31" s="109" t="s">
        <v>561</v>
      </c>
    </row>
    <row r="32" spans="1:27" ht="10.5" hidden="1" customHeight="1">
      <c r="A32" s="78">
        <v>32</v>
      </c>
      <c r="B32" s="78">
        <v>32</v>
      </c>
      <c r="E32" s="109" t="s">
        <v>147</v>
      </c>
      <c r="F32" s="109"/>
      <c r="G32" s="109" t="s">
        <v>561</v>
      </c>
      <c r="H32" s="109" t="s">
        <v>561</v>
      </c>
      <c r="I32" s="109" t="s">
        <v>561</v>
      </c>
      <c r="J32" s="109" t="s">
        <v>561</v>
      </c>
      <c r="K32" s="109" t="s">
        <v>561</v>
      </c>
      <c r="L32" s="109" t="s">
        <v>561</v>
      </c>
      <c r="M32" s="109" t="s">
        <v>611</v>
      </c>
      <c r="N32" s="109" t="s">
        <v>597</v>
      </c>
      <c r="O32" s="109" t="s">
        <v>613</v>
      </c>
      <c r="P32" s="109" t="s">
        <v>120</v>
      </c>
      <c r="Q32" s="109" t="s">
        <v>561</v>
      </c>
      <c r="R32" s="109" t="s">
        <v>561</v>
      </c>
      <c r="S32" s="109" t="s">
        <v>561</v>
      </c>
      <c r="T32" s="109" t="s">
        <v>561</v>
      </c>
      <c r="U32" s="109" t="s">
        <v>561</v>
      </c>
      <c r="V32" s="109" t="s">
        <v>561</v>
      </c>
      <c r="W32" s="109" t="s">
        <v>561</v>
      </c>
      <c r="X32" s="109" t="s">
        <v>561</v>
      </c>
      <c r="Y32" s="109" t="s">
        <v>561</v>
      </c>
      <c r="Z32" s="109" t="s">
        <v>561</v>
      </c>
      <c r="AA32" s="109" t="s">
        <v>561</v>
      </c>
    </row>
    <row r="33" spans="1:27" ht="10.5" hidden="1" customHeight="1">
      <c r="A33" s="78">
        <v>33</v>
      </c>
      <c r="B33" s="78">
        <v>33</v>
      </c>
      <c r="E33" s="109" t="s">
        <v>147</v>
      </c>
      <c r="F33" s="109"/>
      <c r="G33" s="109" t="s">
        <v>561</v>
      </c>
      <c r="H33" s="109" t="s">
        <v>561</v>
      </c>
      <c r="I33" s="109" t="s">
        <v>561</v>
      </c>
      <c r="J33" s="109" t="s">
        <v>561</v>
      </c>
      <c r="K33" s="109" t="s">
        <v>561</v>
      </c>
      <c r="L33" s="109" t="s">
        <v>561</v>
      </c>
      <c r="M33" s="109" t="s">
        <v>611</v>
      </c>
      <c r="N33" s="109" t="s">
        <v>608</v>
      </c>
      <c r="O33" s="109" t="s">
        <v>613</v>
      </c>
      <c r="P33" s="109" t="s">
        <v>120</v>
      </c>
      <c r="Q33" s="109" t="s">
        <v>561</v>
      </c>
      <c r="R33" s="109" t="s">
        <v>561</v>
      </c>
      <c r="S33" s="109" t="s">
        <v>561</v>
      </c>
      <c r="T33" s="109" t="s">
        <v>561</v>
      </c>
      <c r="U33" s="109" t="s">
        <v>561</v>
      </c>
      <c r="V33" s="109" t="s">
        <v>561</v>
      </c>
      <c r="W33" s="109" t="s">
        <v>561</v>
      </c>
      <c r="X33" s="109" t="s">
        <v>561</v>
      </c>
      <c r="Y33" s="109" t="s">
        <v>561</v>
      </c>
      <c r="Z33" s="109" t="s">
        <v>561</v>
      </c>
      <c r="AA33" s="109" t="s">
        <v>561</v>
      </c>
    </row>
    <row r="34" spans="1:27" ht="10.5" hidden="1" customHeight="1">
      <c r="A34" s="78">
        <v>34</v>
      </c>
      <c r="B34" s="78">
        <v>34</v>
      </c>
      <c r="E34" s="109" t="s">
        <v>147</v>
      </c>
      <c r="F34" s="109"/>
      <c r="G34" s="109" t="s">
        <v>561</v>
      </c>
      <c r="H34" s="109" t="s">
        <v>561</v>
      </c>
      <c r="I34" s="109" t="s">
        <v>561</v>
      </c>
      <c r="J34" s="109" t="s">
        <v>561</v>
      </c>
      <c r="K34" s="109" t="s">
        <v>561</v>
      </c>
      <c r="L34" s="109" t="s">
        <v>561</v>
      </c>
      <c r="M34" s="109" t="s">
        <v>611</v>
      </c>
      <c r="N34" s="109" t="s">
        <v>608</v>
      </c>
      <c r="O34" s="109" t="s">
        <v>613</v>
      </c>
      <c r="P34" s="109" t="s">
        <v>120</v>
      </c>
      <c r="Q34" s="109" t="s">
        <v>561</v>
      </c>
      <c r="R34" s="109" t="s">
        <v>561</v>
      </c>
      <c r="S34" s="109" t="s">
        <v>561</v>
      </c>
      <c r="T34" s="109" t="s">
        <v>561</v>
      </c>
      <c r="U34" s="109" t="s">
        <v>561</v>
      </c>
      <c r="V34" s="109" t="s">
        <v>561</v>
      </c>
      <c r="W34" s="109" t="s">
        <v>561</v>
      </c>
      <c r="X34" s="109" t="s">
        <v>561</v>
      </c>
      <c r="Y34" s="109" t="s">
        <v>561</v>
      </c>
      <c r="Z34" s="109" t="s">
        <v>561</v>
      </c>
      <c r="AA34" s="109" t="s">
        <v>561</v>
      </c>
    </row>
    <row r="35" spans="1:27" ht="10.5" hidden="1" customHeight="1">
      <c r="A35" s="78">
        <v>35</v>
      </c>
      <c r="B35" s="78">
        <v>35</v>
      </c>
      <c r="E35" s="109" t="s">
        <v>147</v>
      </c>
      <c r="F35" s="109"/>
      <c r="G35" s="109" t="s">
        <v>561</v>
      </c>
      <c r="H35" s="109" t="s">
        <v>561</v>
      </c>
      <c r="I35" s="109" t="s">
        <v>561</v>
      </c>
      <c r="J35" s="109" t="s">
        <v>561</v>
      </c>
      <c r="K35" s="109" t="s">
        <v>561</v>
      </c>
      <c r="L35" s="109" t="s">
        <v>561</v>
      </c>
      <c r="M35" s="109" t="s">
        <v>611</v>
      </c>
      <c r="N35" s="109" t="s">
        <v>608</v>
      </c>
      <c r="O35" s="109" t="s">
        <v>613</v>
      </c>
      <c r="P35" s="109" t="s">
        <v>120</v>
      </c>
      <c r="Q35" s="109" t="s">
        <v>561</v>
      </c>
      <c r="R35" s="109" t="s">
        <v>561</v>
      </c>
      <c r="S35" s="109" t="s">
        <v>561</v>
      </c>
      <c r="T35" s="109" t="s">
        <v>561</v>
      </c>
      <c r="U35" s="109" t="s">
        <v>561</v>
      </c>
      <c r="V35" s="109" t="s">
        <v>561</v>
      </c>
      <c r="W35" s="109" t="s">
        <v>561</v>
      </c>
      <c r="X35" s="109" t="s">
        <v>561</v>
      </c>
      <c r="Y35" s="109" t="s">
        <v>561</v>
      </c>
      <c r="Z35" s="109" t="s">
        <v>561</v>
      </c>
      <c r="AA35" s="109" t="s">
        <v>561</v>
      </c>
    </row>
    <row r="36" spans="1:27" ht="10.5" hidden="1" customHeight="1">
      <c r="A36" s="78">
        <v>36</v>
      </c>
      <c r="B36" s="78">
        <v>36</v>
      </c>
      <c r="E36" s="109" t="s">
        <v>147</v>
      </c>
      <c r="F36" s="109"/>
      <c r="G36" s="109" t="s">
        <v>561</v>
      </c>
      <c r="H36" s="109" t="s">
        <v>561</v>
      </c>
      <c r="I36" s="109" t="s">
        <v>561</v>
      </c>
      <c r="J36" s="109" t="s">
        <v>561</v>
      </c>
      <c r="K36" s="109" t="s">
        <v>561</v>
      </c>
      <c r="L36" s="109" t="s">
        <v>561</v>
      </c>
      <c r="M36" s="109" t="s">
        <v>611</v>
      </c>
      <c r="N36" s="109" t="s">
        <v>612</v>
      </c>
      <c r="O36" s="109" t="s">
        <v>613</v>
      </c>
      <c r="P36" s="109" t="s">
        <v>120</v>
      </c>
      <c r="Q36" s="109" t="s">
        <v>561</v>
      </c>
      <c r="R36" s="109" t="s">
        <v>561</v>
      </c>
      <c r="S36" s="109" t="s">
        <v>561</v>
      </c>
      <c r="T36" s="109" t="s">
        <v>561</v>
      </c>
      <c r="U36" s="109" t="s">
        <v>561</v>
      </c>
      <c r="V36" s="109" t="s">
        <v>561</v>
      </c>
      <c r="W36" s="109" t="s">
        <v>561</v>
      </c>
      <c r="X36" s="109" t="s">
        <v>561</v>
      </c>
      <c r="Y36" s="109" t="s">
        <v>561</v>
      </c>
      <c r="Z36" s="109" t="s">
        <v>561</v>
      </c>
      <c r="AA36" s="109" t="s">
        <v>561</v>
      </c>
    </row>
    <row r="37" spans="1:27" ht="10.5" hidden="1" customHeight="1">
      <c r="A37" s="78">
        <v>37</v>
      </c>
      <c r="B37" s="78">
        <v>37</v>
      </c>
      <c r="E37" s="109" t="s">
        <v>147</v>
      </c>
      <c r="F37" s="109"/>
      <c r="G37" s="109" t="s">
        <v>561</v>
      </c>
      <c r="H37" s="109" t="s">
        <v>561</v>
      </c>
      <c r="I37" s="109" t="s">
        <v>561</v>
      </c>
      <c r="J37" s="109" t="s">
        <v>561</v>
      </c>
      <c r="K37" s="109" t="s">
        <v>561</v>
      </c>
      <c r="L37" s="109" t="s">
        <v>561</v>
      </c>
      <c r="M37" s="109" t="s">
        <v>611</v>
      </c>
      <c r="N37" s="109" t="s">
        <v>607</v>
      </c>
      <c r="O37" s="109" t="s">
        <v>613</v>
      </c>
      <c r="P37" s="109" t="s">
        <v>610</v>
      </c>
      <c r="Q37" s="109" t="s">
        <v>561</v>
      </c>
      <c r="R37" s="109" t="s">
        <v>561</v>
      </c>
      <c r="S37" s="109" t="s">
        <v>561</v>
      </c>
      <c r="T37" s="109" t="s">
        <v>561</v>
      </c>
      <c r="U37" s="109" t="s">
        <v>561</v>
      </c>
      <c r="V37" s="109" t="s">
        <v>561</v>
      </c>
      <c r="W37" s="109" t="s">
        <v>561</v>
      </c>
      <c r="X37" s="109" t="s">
        <v>561</v>
      </c>
      <c r="Y37" s="109" t="s">
        <v>561</v>
      </c>
      <c r="Z37" s="109" t="s">
        <v>561</v>
      </c>
      <c r="AA37" s="109" t="s">
        <v>561</v>
      </c>
    </row>
    <row r="38" spans="1:27" ht="10.5" hidden="1" customHeight="1">
      <c r="A38" s="78">
        <v>38</v>
      </c>
      <c r="B38" s="78">
        <v>38</v>
      </c>
      <c r="E38" s="109" t="s">
        <v>147</v>
      </c>
      <c r="F38" s="109"/>
      <c r="G38" s="109" t="s">
        <v>561</v>
      </c>
      <c r="H38" s="109" t="s">
        <v>561</v>
      </c>
      <c r="I38" s="109" t="s">
        <v>561</v>
      </c>
      <c r="J38" s="109" t="s">
        <v>561</v>
      </c>
      <c r="K38" s="109" t="s">
        <v>561</v>
      </c>
      <c r="L38" s="109" t="s">
        <v>561</v>
      </c>
      <c r="M38" s="109" t="s">
        <v>611</v>
      </c>
      <c r="N38" s="109" t="s">
        <v>602</v>
      </c>
      <c r="O38" s="109" t="s">
        <v>613</v>
      </c>
      <c r="P38" s="109" t="s">
        <v>610</v>
      </c>
      <c r="Q38" s="109" t="s">
        <v>561</v>
      </c>
      <c r="R38" s="109" t="s">
        <v>561</v>
      </c>
      <c r="S38" s="109" t="s">
        <v>561</v>
      </c>
      <c r="T38" s="109" t="s">
        <v>561</v>
      </c>
      <c r="U38" s="109" t="s">
        <v>561</v>
      </c>
      <c r="V38" s="109" t="s">
        <v>561</v>
      </c>
      <c r="W38" s="109" t="s">
        <v>561</v>
      </c>
      <c r="X38" s="109" t="s">
        <v>561</v>
      </c>
      <c r="Y38" s="109" t="s">
        <v>561</v>
      </c>
      <c r="Z38" s="109" t="s">
        <v>561</v>
      </c>
      <c r="AA38" s="109" t="s">
        <v>561</v>
      </c>
    </row>
    <row r="39" spans="1:27" ht="10.5" hidden="1" customHeight="1">
      <c r="A39" s="78">
        <v>39</v>
      </c>
      <c r="B39" s="78">
        <v>39</v>
      </c>
      <c r="E39" s="109" t="s">
        <v>147</v>
      </c>
      <c r="F39" s="109"/>
      <c r="G39" s="109" t="s">
        <v>561</v>
      </c>
      <c r="H39" s="109" t="s">
        <v>561</v>
      </c>
      <c r="I39" s="109" t="s">
        <v>561</v>
      </c>
      <c r="J39" s="109" t="s">
        <v>561</v>
      </c>
      <c r="K39" s="109" t="s">
        <v>561</v>
      </c>
      <c r="L39" s="109" t="s">
        <v>561</v>
      </c>
      <c r="M39" s="109" t="s">
        <v>611</v>
      </c>
      <c r="N39" s="109" t="s">
        <v>565</v>
      </c>
      <c r="O39" s="109" t="s">
        <v>613</v>
      </c>
      <c r="P39" s="109" t="s">
        <v>610</v>
      </c>
      <c r="Q39" s="109" t="s">
        <v>561</v>
      </c>
      <c r="R39" s="109" t="s">
        <v>561</v>
      </c>
      <c r="S39" s="109" t="s">
        <v>561</v>
      </c>
      <c r="T39" s="109" t="s">
        <v>561</v>
      </c>
      <c r="U39" s="109" t="s">
        <v>561</v>
      </c>
      <c r="V39" s="109" t="s">
        <v>561</v>
      </c>
      <c r="W39" s="109" t="s">
        <v>561</v>
      </c>
      <c r="X39" s="109" t="s">
        <v>561</v>
      </c>
      <c r="Y39" s="109" t="s">
        <v>561</v>
      </c>
      <c r="Z39" s="109" t="s">
        <v>561</v>
      </c>
      <c r="AA39" s="109" t="s">
        <v>561</v>
      </c>
    </row>
    <row r="40" spans="1:27" ht="10.5" hidden="1" customHeight="1">
      <c r="A40" s="78">
        <v>40</v>
      </c>
      <c r="B40" s="78">
        <v>40</v>
      </c>
      <c r="E40" s="109" t="s">
        <v>147</v>
      </c>
      <c r="F40" s="109"/>
      <c r="G40" s="109" t="s">
        <v>561</v>
      </c>
      <c r="H40" s="109" t="s">
        <v>561</v>
      </c>
      <c r="I40" s="109" t="s">
        <v>561</v>
      </c>
      <c r="J40" s="109" t="s">
        <v>561</v>
      </c>
      <c r="K40" s="109" t="s">
        <v>561</v>
      </c>
      <c r="L40" s="109" t="s">
        <v>561</v>
      </c>
      <c r="M40" s="109" t="s">
        <v>611</v>
      </c>
      <c r="N40" s="109" t="s">
        <v>565</v>
      </c>
      <c r="O40" s="109" t="s">
        <v>606</v>
      </c>
      <c r="P40" s="109" t="s">
        <v>610</v>
      </c>
      <c r="Q40" s="109" t="s">
        <v>561</v>
      </c>
      <c r="R40" s="109" t="s">
        <v>561</v>
      </c>
      <c r="S40" s="109" t="s">
        <v>561</v>
      </c>
      <c r="T40" s="109" t="s">
        <v>561</v>
      </c>
      <c r="U40" s="109" t="s">
        <v>561</v>
      </c>
      <c r="V40" s="109" t="s">
        <v>561</v>
      </c>
      <c r="W40" s="109" t="s">
        <v>561</v>
      </c>
      <c r="X40" s="109" t="s">
        <v>561</v>
      </c>
      <c r="Y40" s="109" t="s">
        <v>561</v>
      </c>
      <c r="Z40" s="109" t="s">
        <v>561</v>
      </c>
      <c r="AA40" s="109" t="s">
        <v>561</v>
      </c>
    </row>
    <row r="41" spans="1:27" ht="10.5" hidden="1" customHeight="1">
      <c r="A41" s="78">
        <v>41</v>
      </c>
      <c r="B41" s="78">
        <v>41</v>
      </c>
      <c r="E41" s="109" t="s">
        <v>147</v>
      </c>
      <c r="F41" s="109"/>
      <c r="G41" s="109" t="s">
        <v>561</v>
      </c>
      <c r="H41" s="109" t="s">
        <v>561</v>
      </c>
      <c r="I41" s="109" t="s">
        <v>561</v>
      </c>
      <c r="J41" s="109" t="s">
        <v>561</v>
      </c>
      <c r="K41" s="109" t="s">
        <v>561</v>
      </c>
      <c r="L41" s="109" t="s">
        <v>561</v>
      </c>
      <c r="M41" s="109" t="s">
        <v>611</v>
      </c>
      <c r="N41" s="109" t="s">
        <v>574</v>
      </c>
      <c r="O41" s="109" t="s">
        <v>606</v>
      </c>
      <c r="P41" s="109" t="s">
        <v>610</v>
      </c>
      <c r="Q41" s="109" t="s">
        <v>561</v>
      </c>
      <c r="R41" s="109" t="s">
        <v>561</v>
      </c>
      <c r="S41" s="109" t="s">
        <v>561</v>
      </c>
      <c r="T41" s="109" t="s">
        <v>561</v>
      </c>
      <c r="U41" s="109" t="s">
        <v>561</v>
      </c>
      <c r="V41" s="109" t="s">
        <v>561</v>
      </c>
      <c r="W41" s="109" t="s">
        <v>561</v>
      </c>
      <c r="X41" s="109" t="s">
        <v>561</v>
      </c>
      <c r="Y41" s="109" t="s">
        <v>561</v>
      </c>
      <c r="Z41" s="109" t="s">
        <v>561</v>
      </c>
      <c r="AA41" s="109" t="s">
        <v>561</v>
      </c>
    </row>
    <row r="42" spans="1:27" ht="10.5" hidden="1" customHeight="1">
      <c r="A42" s="78">
        <v>42</v>
      </c>
      <c r="B42" s="78">
        <v>42</v>
      </c>
      <c r="E42" s="109" t="s">
        <v>147</v>
      </c>
      <c r="F42" s="109"/>
      <c r="G42" s="109" t="s">
        <v>561</v>
      </c>
      <c r="H42" s="109" t="s">
        <v>561</v>
      </c>
      <c r="I42" s="109" t="s">
        <v>561</v>
      </c>
      <c r="J42" s="109" t="s">
        <v>561</v>
      </c>
      <c r="K42" s="109" t="s">
        <v>561</v>
      </c>
      <c r="L42" s="109" t="s">
        <v>561</v>
      </c>
      <c r="M42" s="109" t="s">
        <v>611</v>
      </c>
      <c r="N42" s="109" t="s">
        <v>597</v>
      </c>
      <c r="O42" s="109" t="s">
        <v>606</v>
      </c>
      <c r="P42" s="109" t="s">
        <v>610</v>
      </c>
      <c r="Q42" s="109" t="s">
        <v>561</v>
      </c>
      <c r="R42" s="109" t="s">
        <v>561</v>
      </c>
      <c r="S42" s="109" t="s">
        <v>561</v>
      </c>
      <c r="T42" s="109" t="s">
        <v>561</v>
      </c>
      <c r="U42" s="109" t="s">
        <v>561</v>
      </c>
      <c r="V42" s="109" t="s">
        <v>561</v>
      </c>
      <c r="W42" s="109" t="s">
        <v>561</v>
      </c>
      <c r="X42" s="109" t="s">
        <v>561</v>
      </c>
      <c r="Y42" s="109" t="s">
        <v>561</v>
      </c>
      <c r="Z42" s="109" t="s">
        <v>561</v>
      </c>
      <c r="AA42" s="109" t="s">
        <v>561</v>
      </c>
    </row>
    <row r="43" spans="1:27" ht="10.5" hidden="1" customHeight="1">
      <c r="A43" s="78">
        <v>43</v>
      </c>
      <c r="B43" s="78">
        <v>43</v>
      </c>
      <c r="E43" s="109" t="s">
        <v>147</v>
      </c>
      <c r="F43" s="109"/>
      <c r="G43" s="109" t="s">
        <v>561</v>
      </c>
      <c r="H43" s="109" t="s">
        <v>561</v>
      </c>
      <c r="I43" s="109" t="s">
        <v>561</v>
      </c>
      <c r="J43" s="109" t="s">
        <v>561</v>
      </c>
      <c r="K43" s="109" t="s">
        <v>561</v>
      </c>
      <c r="L43" s="109" t="s">
        <v>561</v>
      </c>
      <c r="M43" s="109" t="s">
        <v>611</v>
      </c>
      <c r="N43" s="109" t="s">
        <v>608</v>
      </c>
      <c r="O43" s="109" t="s">
        <v>606</v>
      </c>
      <c r="P43" s="109" t="s">
        <v>610</v>
      </c>
      <c r="Q43" s="109" t="s">
        <v>561</v>
      </c>
      <c r="R43" s="109" t="s">
        <v>561</v>
      </c>
      <c r="S43" s="109" t="s">
        <v>561</v>
      </c>
      <c r="T43" s="109" t="s">
        <v>561</v>
      </c>
      <c r="U43" s="109" t="s">
        <v>561</v>
      </c>
      <c r="V43" s="109" t="s">
        <v>561</v>
      </c>
      <c r="W43" s="109" t="s">
        <v>561</v>
      </c>
      <c r="X43" s="109" t="s">
        <v>561</v>
      </c>
      <c r="Y43" s="109" t="s">
        <v>561</v>
      </c>
      <c r="Z43" s="109" t="s">
        <v>561</v>
      </c>
      <c r="AA43" s="109" t="s">
        <v>561</v>
      </c>
    </row>
    <row r="44" spans="1:27" ht="10.5" hidden="1" customHeight="1">
      <c r="A44" s="78">
        <v>44</v>
      </c>
      <c r="B44" s="78">
        <v>44</v>
      </c>
      <c r="E44" s="109" t="s">
        <v>147</v>
      </c>
      <c r="F44" s="109"/>
      <c r="G44" s="109" t="s">
        <v>561</v>
      </c>
      <c r="H44" s="109" t="s">
        <v>561</v>
      </c>
      <c r="I44" s="109" t="s">
        <v>561</v>
      </c>
      <c r="J44" s="109" t="s">
        <v>561</v>
      </c>
      <c r="K44" s="109" t="s">
        <v>561</v>
      </c>
      <c r="L44" s="109" t="s">
        <v>561</v>
      </c>
      <c r="M44" s="109" t="s">
        <v>611</v>
      </c>
      <c r="N44" s="109" t="s">
        <v>612</v>
      </c>
      <c r="O44" s="109" t="s">
        <v>606</v>
      </c>
      <c r="P44" s="109" t="s">
        <v>610</v>
      </c>
      <c r="Q44" s="109" t="s">
        <v>561</v>
      </c>
      <c r="R44" s="109" t="s">
        <v>561</v>
      </c>
      <c r="S44" s="109" t="s">
        <v>561</v>
      </c>
      <c r="T44" s="109" t="s">
        <v>561</v>
      </c>
      <c r="U44" s="109" t="s">
        <v>561</v>
      </c>
      <c r="V44" s="109" t="s">
        <v>561</v>
      </c>
      <c r="W44" s="109" t="s">
        <v>561</v>
      </c>
      <c r="X44" s="109" t="s">
        <v>561</v>
      </c>
      <c r="Y44" s="109" t="s">
        <v>561</v>
      </c>
      <c r="Z44" s="109" t="s">
        <v>561</v>
      </c>
      <c r="AA44" s="109" t="s">
        <v>561</v>
      </c>
    </row>
    <row r="45" spans="1:27" ht="10.5" hidden="1" customHeight="1">
      <c r="A45" s="78">
        <v>45</v>
      </c>
      <c r="B45" s="78">
        <v>45</v>
      </c>
      <c r="E45" s="109" t="s">
        <v>147</v>
      </c>
      <c r="F45" s="109"/>
      <c r="G45" s="109" t="s">
        <v>561</v>
      </c>
      <c r="H45" s="109" t="s">
        <v>561</v>
      </c>
      <c r="I45" s="109" t="s">
        <v>561</v>
      </c>
      <c r="J45" s="109" t="s">
        <v>561</v>
      </c>
      <c r="K45" s="109" t="s">
        <v>561</v>
      </c>
      <c r="L45" s="109" t="s">
        <v>561</v>
      </c>
      <c r="M45" s="109" t="s">
        <v>611</v>
      </c>
      <c r="N45" s="109" t="s">
        <v>612</v>
      </c>
      <c r="O45" s="109" t="s">
        <v>606</v>
      </c>
      <c r="P45" s="109" t="s">
        <v>610</v>
      </c>
      <c r="Q45" s="109" t="s">
        <v>561</v>
      </c>
      <c r="R45" s="109" t="s">
        <v>561</v>
      </c>
      <c r="S45" s="109" t="s">
        <v>561</v>
      </c>
      <c r="T45" s="109" t="s">
        <v>561</v>
      </c>
      <c r="U45" s="109" t="s">
        <v>561</v>
      </c>
      <c r="V45" s="109" t="s">
        <v>561</v>
      </c>
      <c r="W45" s="109" t="s">
        <v>561</v>
      </c>
      <c r="X45" s="109" t="s">
        <v>561</v>
      </c>
      <c r="Y45" s="109" t="s">
        <v>561</v>
      </c>
      <c r="Z45" s="109" t="s">
        <v>561</v>
      </c>
      <c r="AA45" s="109" t="s">
        <v>561</v>
      </c>
    </row>
    <row r="46" spans="1:27" ht="10.5" hidden="1" customHeight="1">
      <c r="A46" s="78">
        <v>46</v>
      </c>
      <c r="B46" s="78">
        <v>46</v>
      </c>
      <c r="E46" s="109" t="s">
        <v>147</v>
      </c>
      <c r="F46" s="109"/>
      <c r="G46" s="109" t="s">
        <v>561</v>
      </c>
      <c r="H46" s="109" t="s">
        <v>561</v>
      </c>
      <c r="I46" s="109" t="s">
        <v>561</v>
      </c>
      <c r="J46" s="109" t="s">
        <v>561</v>
      </c>
      <c r="K46" s="109" t="s">
        <v>561</v>
      </c>
      <c r="L46" s="109" t="s">
        <v>561</v>
      </c>
      <c r="M46" s="109" t="s">
        <v>611</v>
      </c>
      <c r="N46" s="109" t="s">
        <v>612</v>
      </c>
      <c r="O46" s="109" t="s">
        <v>606</v>
      </c>
      <c r="P46" s="109" t="s">
        <v>610</v>
      </c>
      <c r="Q46" s="109" t="s">
        <v>561</v>
      </c>
      <c r="R46" s="109" t="s">
        <v>561</v>
      </c>
      <c r="S46" s="109" t="s">
        <v>561</v>
      </c>
      <c r="T46" s="109" t="s">
        <v>561</v>
      </c>
      <c r="U46" s="109" t="s">
        <v>561</v>
      </c>
      <c r="V46" s="109" t="s">
        <v>561</v>
      </c>
      <c r="W46" s="109" t="s">
        <v>561</v>
      </c>
      <c r="X46" s="109" t="s">
        <v>561</v>
      </c>
      <c r="Y46" s="109" t="s">
        <v>561</v>
      </c>
      <c r="Z46" s="109" t="s">
        <v>561</v>
      </c>
      <c r="AA46" s="109" t="s">
        <v>561</v>
      </c>
    </row>
    <row r="47" spans="1:27" ht="10.5" hidden="1" customHeight="1">
      <c r="A47" s="78">
        <v>47</v>
      </c>
      <c r="B47" s="78">
        <v>47</v>
      </c>
      <c r="E47" s="109" t="s">
        <v>147</v>
      </c>
      <c r="F47" s="109"/>
      <c r="G47" s="109" t="s">
        <v>561</v>
      </c>
      <c r="H47" s="109" t="s">
        <v>561</v>
      </c>
      <c r="I47" s="109" t="s">
        <v>561</v>
      </c>
      <c r="J47" s="109" t="s">
        <v>561</v>
      </c>
      <c r="K47" s="109" t="s">
        <v>561</v>
      </c>
      <c r="L47" s="109" t="s">
        <v>561</v>
      </c>
      <c r="M47" s="109" t="s">
        <v>611</v>
      </c>
      <c r="N47" s="109" t="s">
        <v>607</v>
      </c>
      <c r="O47" s="109" t="s">
        <v>606</v>
      </c>
      <c r="P47" s="109" t="s">
        <v>610</v>
      </c>
      <c r="Q47" s="109" t="s">
        <v>561</v>
      </c>
      <c r="R47" s="109" t="s">
        <v>561</v>
      </c>
      <c r="S47" s="109" t="s">
        <v>561</v>
      </c>
      <c r="T47" s="109" t="s">
        <v>561</v>
      </c>
      <c r="U47" s="109" t="s">
        <v>561</v>
      </c>
      <c r="V47" s="109" t="s">
        <v>561</v>
      </c>
      <c r="W47" s="109" t="s">
        <v>561</v>
      </c>
      <c r="X47" s="109" t="s">
        <v>561</v>
      </c>
      <c r="Y47" s="109" t="s">
        <v>561</v>
      </c>
      <c r="Z47" s="109" t="s">
        <v>561</v>
      </c>
      <c r="AA47" s="109" t="s">
        <v>561</v>
      </c>
    </row>
    <row r="48" spans="1:27" ht="10.5" hidden="1" customHeight="1">
      <c r="A48" s="78">
        <v>48</v>
      </c>
      <c r="B48" s="78">
        <v>48</v>
      </c>
      <c r="E48" s="109" t="s">
        <v>147</v>
      </c>
      <c r="F48" s="109"/>
      <c r="G48" s="109" t="s">
        <v>561</v>
      </c>
      <c r="H48" s="109" t="s">
        <v>561</v>
      </c>
      <c r="I48" s="109" t="s">
        <v>561</v>
      </c>
      <c r="J48" s="109" t="s">
        <v>561</v>
      </c>
      <c r="K48" s="109" t="s">
        <v>561</v>
      </c>
      <c r="L48" s="109" t="s">
        <v>561</v>
      </c>
      <c r="M48" s="109" t="s">
        <v>611</v>
      </c>
      <c r="N48" s="109" t="s">
        <v>602</v>
      </c>
      <c r="O48" s="109" t="s">
        <v>606</v>
      </c>
      <c r="P48" s="109" t="s">
        <v>610</v>
      </c>
      <c r="Q48" s="109" t="s">
        <v>561</v>
      </c>
      <c r="R48" s="109" t="s">
        <v>561</v>
      </c>
      <c r="S48" s="109" t="s">
        <v>561</v>
      </c>
      <c r="T48" s="109" t="s">
        <v>561</v>
      </c>
      <c r="U48" s="109" t="s">
        <v>561</v>
      </c>
      <c r="V48" s="109" t="s">
        <v>561</v>
      </c>
      <c r="W48" s="109" t="s">
        <v>561</v>
      </c>
      <c r="X48" s="109" t="s">
        <v>561</v>
      </c>
      <c r="Y48" s="109" t="s">
        <v>561</v>
      </c>
      <c r="Z48" s="109" t="s">
        <v>561</v>
      </c>
      <c r="AA48" s="109" t="s">
        <v>561</v>
      </c>
    </row>
    <row r="49" spans="1:27" ht="10.5" hidden="1" customHeight="1">
      <c r="A49" s="78">
        <v>49</v>
      </c>
      <c r="B49" s="78">
        <v>49</v>
      </c>
      <c r="E49" s="109" t="s">
        <v>147</v>
      </c>
      <c r="F49" s="109"/>
      <c r="G49" s="109" t="s">
        <v>561</v>
      </c>
      <c r="H49" s="109" t="s">
        <v>561</v>
      </c>
      <c r="I49" s="109" t="s">
        <v>561</v>
      </c>
      <c r="J49" s="109" t="s">
        <v>561</v>
      </c>
      <c r="K49" s="109" t="s">
        <v>561</v>
      </c>
      <c r="L49" s="109" t="s">
        <v>561</v>
      </c>
      <c r="M49" s="109" t="s">
        <v>572</v>
      </c>
      <c r="N49" s="109" t="s">
        <v>565</v>
      </c>
      <c r="O49" s="109" t="s">
        <v>606</v>
      </c>
      <c r="P49" s="109" t="s">
        <v>609</v>
      </c>
      <c r="Q49" s="109" t="s">
        <v>561</v>
      </c>
      <c r="R49" s="109" t="s">
        <v>561</v>
      </c>
      <c r="S49" s="109" t="s">
        <v>561</v>
      </c>
      <c r="T49" s="109" t="s">
        <v>561</v>
      </c>
      <c r="U49" s="109" t="s">
        <v>561</v>
      </c>
      <c r="V49" s="109" t="s">
        <v>561</v>
      </c>
      <c r="W49" s="109" t="s">
        <v>561</v>
      </c>
      <c r="X49" s="109" t="s">
        <v>561</v>
      </c>
      <c r="Y49" s="109" t="s">
        <v>561</v>
      </c>
      <c r="Z49" s="109" t="s">
        <v>561</v>
      </c>
      <c r="AA49" s="109" t="s">
        <v>561</v>
      </c>
    </row>
    <row r="50" spans="1:27" ht="10.5" hidden="1" customHeight="1">
      <c r="A50" s="78">
        <v>50</v>
      </c>
      <c r="B50" s="78">
        <v>50</v>
      </c>
      <c r="E50" s="109" t="s">
        <v>147</v>
      </c>
      <c r="F50" s="109"/>
      <c r="G50" s="109" t="s">
        <v>561</v>
      </c>
      <c r="H50" s="109" t="s">
        <v>561</v>
      </c>
      <c r="I50" s="109" t="s">
        <v>561</v>
      </c>
      <c r="J50" s="109" t="s">
        <v>561</v>
      </c>
      <c r="K50" s="109" t="s">
        <v>561</v>
      </c>
      <c r="L50" s="109" t="s">
        <v>561</v>
      </c>
      <c r="M50" s="109" t="s">
        <v>572</v>
      </c>
      <c r="N50" s="109" t="s">
        <v>565</v>
      </c>
      <c r="O50" s="109" t="s">
        <v>606</v>
      </c>
      <c r="P50" s="109" t="s">
        <v>609</v>
      </c>
      <c r="Q50" s="109" t="s">
        <v>561</v>
      </c>
      <c r="R50" s="109" t="s">
        <v>561</v>
      </c>
      <c r="S50" s="109" t="s">
        <v>561</v>
      </c>
      <c r="T50" s="109" t="s">
        <v>561</v>
      </c>
      <c r="U50" s="109" t="s">
        <v>561</v>
      </c>
      <c r="V50" s="109" t="s">
        <v>561</v>
      </c>
      <c r="W50" s="109" t="s">
        <v>561</v>
      </c>
      <c r="X50" s="109" t="s">
        <v>561</v>
      </c>
      <c r="Y50" s="109" t="s">
        <v>561</v>
      </c>
      <c r="Z50" s="109" t="s">
        <v>561</v>
      </c>
      <c r="AA50" s="109" t="s">
        <v>561</v>
      </c>
    </row>
    <row r="51" spans="1:27" ht="10.5" hidden="1" customHeight="1">
      <c r="A51" s="78">
        <v>51</v>
      </c>
      <c r="B51" s="78">
        <v>51</v>
      </c>
      <c r="E51" s="109" t="s">
        <v>147</v>
      </c>
      <c r="F51" s="109"/>
      <c r="G51" s="109" t="s">
        <v>561</v>
      </c>
      <c r="H51" s="109" t="s">
        <v>561</v>
      </c>
      <c r="I51" s="109" t="s">
        <v>561</v>
      </c>
      <c r="J51" s="109" t="s">
        <v>561</v>
      </c>
      <c r="K51" s="109" t="s">
        <v>561</v>
      </c>
      <c r="L51" s="109" t="s">
        <v>561</v>
      </c>
      <c r="M51" s="109" t="s">
        <v>572</v>
      </c>
      <c r="N51" s="109" t="s">
        <v>574</v>
      </c>
      <c r="O51" s="109" t="s">
        <v>606</v>
      </c>
      <c r="P51" s="109" t="s">
        <v>609</v>
      </c>
      <c r="Q51" s="109" t="s">
        <v>561</v>
      </c>
      <c r="R51" s="109" t="s">
        <v>561</v>
      </c>
      <c r="S51" s="109" t="s">
        <v>561</v>
      </c>
      <c r="T51" s="109" t="s">
        <v>561</v>
      </c>
      <c r="U51" s="109" t="s">
        <v>561</v>
      </c>
      <c r="V51" s="109" t="s">
        <v>561</v>
      </c>
      <c r="W51" s="109" t="s">
        <v>561</v>
      </c>
      <c r="X51" s="109" t="s">
        <v>561</v>
      </c>
      <c r="Y51" s="109" t="s">
        <v>561</v>
      </c>
      <c r="Z51" s="109" t="s">
        <v>561</v>
      </c>
      <c r="AA51" s="109" t="s">
        <v>561</v>
      </c>
    </row>
    <row r="52" spans="1:27" ht="10.5" hidden="1" customHeight="1">
      <c r="A52" s="78">
        <v>52</v>
      </c>
      <c r="B52" s="78">
        <v>52</v>
      </c>
      <c r="E52" s="109" t="s">
        <v>147</v>
      </c>
      <c r="F52" s="109"/>
      <c r="G52" s="109" t="s">
        <v>561</v>
      </c>
      <c r="H52" s="109" t="s">
        <v>561</v>
      </c>
      <c r="I52" s="109" t="s">
        <v>561</v>
      </c>
      <c r="J52" s="109" t="s">
        <v>561</v>
      </c>
      <c r="K52" s="109" t="s">
        <v>561</v>
      </c>
      <c r="L52" s="109" t="s">
        <v>561</v>
      </c>
      <c r="M52" s="109" t="s">
        <v>605</v>
      </c>
      <c r="N52" s="109" t="s">
        <v>597</v>
      </c>
      <c r="O52" s="109" t="s">
        <v>606</v>
      </c>
      <c r="P52" s="109" t="s">
        <v>609</v>
      </c>
      <c r="Q52" s="109" t="s">
        <v>561</v>
      </c>
      <c r="R52" s="109" t="s">
        <v>561</v>
      </c>
      <c r="S52" s="109" t="s">
        <v>561</v>
      </c>
      <c r="T52" s="109" t="s">
        <v>561</v>
      </c>
      <c r="U52" s="109" t="s">
        <v>561</v>
      </c>
      <c r="V52" s="109" t="s">
        <v>561</v>
      </c>
      <c r="W52" s="109" t="s">
        <v>561</v>
      </c>
      <c r="X52" s="109" t="s">
        <v>561</v>
      </c>
      <c r="Y52" s="109" t="s">
        <v>561</v>
      </c>
      <c r="Z52" s="109" t="s">
        <v>561</v>
      </c>
      <c r="AA52" s="109" t="s">
        <v>561</v>
      </c>
    </row>
    <row r="53" spans="1:27" ht="10.5" hidden="1" customHeight="1">
      <c r="A53" s="78">
        <v>53</v>
      </c>
      <c r="B53" s="78">
        <v>53</v>
      </c>
      <c r="E53" s="109" t="s">
        <v>147</v>
      </c>
      <c r="F53" s="109"/>
      <c r="G53" s="109" t="s">
        <v>561</v>
      </c>
      <c r="H53" s="109" t="s">
        <v>561</v>
      </c>
      <c r="I53" s="109" t="s">
        <v>561</v>
      </c>
      <c r="J53" s="109" t="s">
        <v>561</v>
      </c>
      <c r="K53" s="109" t="s">
        <v>561</v>
      </c>
      <c r="L53" s="109" t="s">
        <v>561</v>
      </c>
      <c r="M53" s="109" t="s">
        <v>605</v>
      </c>
      <c r="N53" s="109" t="s">
        <v>608</v>
      </c>
      <c r="O53" s="109" t="s">
        <v>606</v>
      </c>
      <c r="P53" s="109" t="s">
        <v>609</v>
      </c>
      <c r="Q53" s="109" t="s">
        <v>561</v>
      </c>
      <c r="R53" s="109" t="s">
        <v>561</v>
      </c>
      <c r="S53" s="109" t="s">
        <v>561</v>
      </c>
      <c r="T53" s="109" t="s">
        <v>561</v>
      </c>
      <c r="U53" s="109" t="s">
        <v>561</v>
      </c>
      <c r="V53" s="109" t="s">
        <v>561</v>
      </c>
      <c r="W53" s="109" t="s">
        <v>561</v>
      </c>
      <c r="X53" s="109" t="s">
        <v>561</v>
      </c>
      <c r="Y53" s="109" t="s">
        <v>561</v>
      </c>
      <c r="Z53" s="109" t="s">
        <v>561</v>
      </c>
      <c r="AA53" s="109" t="s">
        <v>561</v>
      </c>
    </row>
    <row r="54" spans="1:27" ht="10.5" hidden="1" customHeight="1">
      <c r="A54" s="78">
        <v>54</v>
      </c>
      <c r="B54" s="78">
        <v>54</v>
      </c>
      <c r="E54" s="109" t="s">
        <v>147</v>
      </c>
      <c r="F54" s="109"/>
      <c r="G54" s="109" t="s">
        <v>561</v>
      </c>
      <c r="H54" s="109" t="s">
        <v>561</v>
      </c>
      <c r="I54" s="109" t="s">
        <v>561</v>
      </c>
      <c r="J54" s="109" t="s">
        <v>561</v>
      </c>
      <c r="K54" s="109" t="s">
        <v>561</v>
      </c>
      <c r="L54" s="109" t="s">
        <v>561</v>
      </c>
      <c r="M54" s="109" t="s">
        <v>605</v>
      </c>
      <c r="N54" s="109" t="s">
        <v>608</v>
      </c>
      <c r="O54" s="109" t="s">
        <v>606</v>
      </c>
      <c r="P54" s="109" t="s">
        <v>604</v>
      </c>
      <c r="Q54" s="109" t="s">
        <v>561</v>
      </c>
      <c r="R54" s="109" t="s">
        <v>561</v>
      </c>
      <c r="S54" s="109" t="s">
        <v>561</v>
      </c>
      <c r="T54" s="109" t="s">
        <v>561</v>
      </c>
      <c r="U54" s="109" t="s">
        <v>561</v>
      </c>
      <c r="V54" s="109" t="s">
        <v>561</v>
      </c>
      <c r="W54" s="109" t="s">
        <v>561</v>
      </c>
      <c r="X54" s="109" t="s">
        <v>561</v>
      </c>
      <c r="Y54" s="109" t="s">
        <v>561</v>
      </c>
      <c r="Z54" s="109" t="s">
        <v>561</v>
      </c>
      <c r="AA54" s="109" t="s">
        <v>561</v>
      </c>
    </row>
    <row r="55" spans="1:27" ht="10.5" hidden="1" customHeight="1">
      <c r="A55" s="78">
        <v>55</v>
      </c>
      <c r="B55" s="78">
        <v>55</v>
      </c>
      <c r="E55" s="109" t="s">
        <v>147</v>
      </c>
      <c r="F55" s="109"/>
      <c r="G55" s="109" t="s">
        <v>561</v>
      </c>
      <c r="H55" s="109" t="s">
        <v>561</v>
      </c>
      <c r="I55" s="109" t="s">
        <v>561</v>
      </c>
      <c r="J55" s="109" t="s">
        <v>561</v>
      </c>
      <c r="K55" s="109" t="s">
        <v>561</v>
      </c>
      <c r="L55" s="109" t="s">
        <v>561</v>
      </c>
      <c r="M55" s="109" t="s">
        <v>605</v>
      </c>
      <c r="N55" s="109" t="s">
        <v>608</v>
      </c>
      <c r="O55" s="109" t="s">
        <v>606</v>
      </c>
      <c r="P55" s="109" t="s">
        <v>604</v>
      </c>
      <c r="Q55" s="109" t="s">
        <v>561</v>
      </c>
      <c r="R55" s="109" t="s">
        <v>561</v>
      </c>
      <c r="S55" s="109" t="s">
        <v>561</v>
      </c>
      <c r="T55" s="109" t="s">
        <v>561</v>
      </c>
      <c r="U55" s="109" t="s">
        <v>561</v>
      </c>
      <c r="V55" s="109" t="s">
        <v>561</v>
      </c>
      <c r="W55" s="109" t="s">
        <v>561</v>
      </c>
      <c r="X55" s="109" t="s">
        <v>561</v>
      </c>
      <c r="Y55" s="109" t="s">
        <v>561</v>
      </c>
      <c r="Z55" s="109" t="s">
        <v>561</v>
      </c>
      <c r="AA55" s="109" t="s">
        <v>561</v>
      </c>
    </row>
    <row r="56" spans="1:27" ht="10.5" hidden="1" customHeight="1">
      <c r="A56" s="78">
        <v>56</v>
      </c>
      <c r="B56" s="78">
        <v>56</v>
      </c>
      <c r="E56" s="109" t="s">
        <v>147</v>
      </c>
      <c r="F56" s="109"/>
      <c r="G56" s="109" t="s">
        <v>561</v>
      </c>
      <c r="H56" s="109" t="s">
        <v>561</v>
      </c>
      <c r="I56" s="109" t="s">
        <v>561</v>
      </c>
      <c r="J56" s="109" t="s">
        <v>561</v>
      </c>
      <c r="K56" s="109" t="s">
        <v>561</v>
      </c>
      <c r="L56" s="109" t="s">
        <v>561</v>
      </c>
      <c r="M56" s="109" t="s">
        <v>605</v>
      </c>
      <c r="N56" s="109" t="s">
        <v>608</v>
      </c>
      <c r="O56" s="109" t="s">
        <v>606</v>
      </c>
      <c r="P56" s="109" t="s">
        <v>604</v>
      </c>
      <c r="Q56" s="109" t="s">
        <v>561</v>
      </c>
      <c r="R56" s="109" t="s">
        <v>561</v>
      </c>
      <c r="S56" s="109" t="s">
        <v>561</v>
      </c>
      <c r="T56" s="109" t="s">
        <v>561</v>
      </c>
      <c r="U56" s="109" t="s">
        <v>561</v>
      </c>
      <c r="V56" s="109" t="s">
        <v>561</v>
      </c>
      <c r="W56" s="109" t="s">
        <v>561</v>
      </c>
      <c r="X56" s="109" t="s">
        <v>561</v>
      </c>
      <c r="Y56" s="109" t="s">
        <v>561</v>
      </c>
      <c r="Z56" s="109" t="s">
        <v>561</v>
      </c>
      <c r="AA56" s="109" t="s">
        <v>561</v>
      </c>
    </row>
    <row r="57" spans="1:27" ht="10.5" hidden="1" customHeight="1">
      <c r="A57" s="78">
        <v>57</v>
      </c>
      <c r="B57" s="78">
        <v>57</v>
      </c>
      <c r="E57" s="109" t="s">
        <v>147</v>
      </c>
      <c r="F57" s="109"/>
      <c r="G57" s="109" t="s">
        <v>561</v>
      </c>
      <c r="H57" s="109" t="s">
        <v>561</v>
      </c>
      <c r="I57" s="109" t="s">
        <v>561</v>
      </c>
      <c r="J57" s="109" t="s">
        <v>561</v>
      </c>
      <c r="K57" s="109" t="s">
        <v>561</v>
      </c>
      <c r="L57" s="109" t="s">
        <v>561</v>
      </c>
      <c r="M57" s="109" t="s">
        <v>605</v>
      </c>
      <c r="N57" s="109" t="s">
        <v>607</v>
      </c>
      <c r="O57" s="109" t="s">
        <v>606</v>
      </c>
      <c r="P57" s="109" t="s">
        <v>604</v>
      </c>
      <c r="Q57" s="109" t="s">
        <v>561</v>
      </c>
      <c r="R57" s="109" t="s">
        <v>561</v>
      </c>
      <c r="S57" s="109" t="s">
        <v>561</v>
      </c>
      <c r="T57" s="109" t="s">
        <v>561</v>
      </c>
      <c r="U57" s="109" t="s">
        <v>561</v>
      </c>
      <c r="V57" s="109" t="s">
        <v>561</v>
      </c>
      <c r="W57" s="109" t="s">
        <v>561</v>
      </c>
      <c r="X57" s="109" t="s">
        <v>561</v>
      </c>
      <c r="Y57" s="109" t="s">
        <v>561</v>
      </c>
      <c r="Z57" s="109" t="s">
        <v>561</v>
      </c>
      <c r="AA57" s="109" t="s">
        <v>561</v>
      </c>
    </row>
    <row r="58" spans="1:27" ht="10.5" hidden="1" customHeight="1">
      <c r="A58" s="78">
        <v>58</v>
      </c>
      <c r="B58" s="78">
        <v>58</v>
      </c>
      <c r="E58" s="109" t="s">
        <v>147</v>
      </c>
      <c r="F58" s="109"/>
      <c r="G58" s="109" t="s">
        <v>561</v>
      </c>
      <c r="H58" s="109" t="s">
        <v>561</v>
      </c>
      <c r="I58" s="109" t="s">
        <v>561</v>
      </c>
      <c r="J58" s="109" t="s">
        <v>561</v>
      </c>
      <c r="K58" s="109" t="s">
        <v>561</v>
      </c>
      <c r="L58" s="109" t="s">
        <v>561</v>
      </c>
      <c r="M58" s="109" t="s">
        <v>605</v>
      </c>
      <c r="N58" s="109" t="s">
        <v>602</v>
      </c>
      <c r="O58" s="109" t="s">
        <v>601</v>
      </c>
      <c r="P58" s="109" t="s">
        <v>604</v>
      </c>
      <c r="Q58" s="109" t="s">
        <v>561</v>
      </c>
      <c r="R58" s="109" t="s">
        <v>561</v>
      </c>
      <c r="S58" s="109" t="s">
        <v>561</v>
      </c>
      <c r="T58" s="109" t="s">
        <v>561</v>
      </c>
      <c r="U58" s="109" t="s">
        <v>561</v>
      </c>
      <c r="V58" s="109" t="s">
        <v>561</v>
      </c>
      <c r="W58" s="109" t="s">
        <v>561</v>
      </c>
      <c r="X58" s="109" t="s">
        <v>561</v>
      </c>
      <c r="Y58" s="109" t="s">
        <v>561</v>
      </c>
      <c r="Z58" s="109" t="s">
        <v>561</v>
      </c>
      <c r="AA58" s="109" t="s">
        <v>561</v>
      </c>
    </row>
    <row r="59" spans="1:27" ht="10.5" hidden="1" customHeight="1">
      <c r="A59" s="78">
        <v>59</v>
      </c>
      <c r="B59" s="78">
        <v>59</v>
      </c>
      <c r="E59" s="109" t="s">
        <v>147</v>
      </c>
      <c r="F59" s="109"/>
      <c r="G59" s="109" t="s">
        <v>561</v>
      </c>
      <c r="H59" s="109" t="s">
        <v>561</v>
      </c>
      <c r="I59" s="109" t="s">
        <v>561</v>
      </c>
      <c r="J59" s="109" t="s">
        <v>561</v>
      </c>
      <c r="K59" s="109" t="s">
        <v>561</v>
      </c>
      <c r="L59" s="109" t="s">
        <v>561</v>
      </c>
      <c r="M59" s="109" t="s">
        <v>605</v>
      </c>
      <c r="N59" s="109" t="s">
        <v>565</v>
      </c>
      <c r="O59" s="109" t="s">
        <v>601</v>
      </c>
      <c r="P59" s="109" t="s">
        <v>604</v>
      </c>
      <c r="Q59" s="109" t="s">
        <v>561</v>
      </c>
      <c r="R59" s="109" t="s">
        <v>561</v>
      </c>
      <c r="S59" s="109" t="s">
        <v>561</v>
      </c>
      <c r="T59" s="109" t="s">
        <v>561</v>
      </c>
      <c r="U59" s="109" t="s">
        <v>561</v>
      </c>
      <c r="V59" s="109" t="s">
        <v>561</v>
      </c>
      <c r="W59" s="109" t="s">
        <v>561</v>
      </c>
      <c r="X59" s="109" t="s">
        <v>561</v>
      </c>
      <c r="Y59" s="109" t="s">
        <v>561</v>
      </c>
      <c r="Z59" s="109" t="s">
        <v>561</v>
      </c>
      <c r="AA59" s="109" t="s">
        <v>561</v>
      </c>
    </row>
    <row r="60" spans="1:27" ht="10.5" hidden="1" customHeight="1">
      <c r="A60" s="78">
        <v>60</v>
      </c>
      <c r="B60" s="78">
        <v>60</v>
      </c>
      <c r="E60" s="109" t="s">
        <v>147</v>
      </c>
      <c r="F60" s="109"/>
      <c r="G60" s="109" t="s">
        <v>561</v>
      </c>
      <c r="H60" s="109" t="s">
        <v>561</v>
      </c>
      <c r="I60" s="109" t="s">
        <v>561</v>
      </c>
      <c r="J60" s="109" t="s">
        <v>561</v>
      </c>
      <c r="K60" s="109" t="s">
        <v>561</v>
      </c>
      <c r="L60" s="109" t="s">
        <v>561</v>
      </c>
      <c r="M60" s="109" t="s">
        <v>605</v>
      </c>
      <c r="N60" s="109" t="s">
        <v>565</v>
      </c>
      <c r="O60" s="109" t="s">
        <v>601</v>
      </c>
      <c r="P60" s="109" t="s">
        <v>604</v>
      </c>
      <c r="Q60" s="109" t="s">
        <v>561</v>
      </c>
      <c r="R60" s="109" t="s">
        <v>561</v>
      </c>
      <c r="S60" s="109" t="s">
        <v>561</v>
      </c>
      <c r="T60" s="109" t="s">
        <v>561</v>
      </c>
      <c r="U60" s="109" t="s">
        <v>561</v>
      </c>
      <c r="V60" s="109" t="s">
        <v>561</v>
      </c>
      <c r="W60" s="109" t="s">
        <v>561</v>
      </c>
      <c r="X60" s="109" t="s">
        <v>561</v>
      </c>
      <c r="Y60" s="109" t="s">
        <v>561</v>
      </c>
      <c r="Z60" s="109" t="s">
        <v>561</v>
      </c>
      <c r="AA60" s="109" t="s">
        <v>561</v>
      </c>
    </row>
    <row r="61" spans="1:27" ht="10.5" hidden="1" customHeight="1">
      <c r="A61" s="78">
        <v>61</v>
      </c>
      <c r="B61" s="78">
        <v>61</v>
      </c>
      <c r="E61" s="109" t="s">
        <v>147</v>
      </c>
      <c r="F61" s="109"/>
      <c r="G61" s="109" t="s">
        <v>561</v>
      </c>
      <c r="H61" s="109" t="s">
        <v>561</v>
      </c>
      <c r="I61" s="109" t="s">
        <v>561</v>
      </c>
      <c r="J61" s="109" t="s">
        <v>561</v>
      </c>
      <c r="K61" s="109" t="s">
        <v>561</v>
      </c>
      <c r="L61" s="109" t="s">
        <v>561</v>
      </c>
      <c r="M61" s="109" t="s">
        <v>605</v>
      </c>
      <c r="N61" s="109" t="s">
        <v>574</v>
      </c>
      <c r="O61" s="109" t="s">
        <v>601</v>
      </c>
      <c r="P61" s="109" t="s">
        <v>604</v>
      </c>
      <c r="Q61" s="109" t="s">
        <v>561</v>
      </c>
      <c r="R61" s="109" t="s">
        <v>561</v>
      </c>
      <c r="S61" s="109" t="s">
        <v>561</v>
      </c>
      <c r="T61" s="109" t="s">
        <v>561</v>
      </c>
      <c r="U61" s="109" t="s">
        <v>561</v>
      </c>
      <c r="V61" s="109" t="s">
        <v>561</v>
      </c>
      <c r="W61" s="109" t="s">
        <v>561</v>
      </c>
      <c r="X61" s="109" t="s">
        <v>561</v>
      </c>
      <c r="Y61" s="109" t="s">
        <v>561</v>
      </c>
      <c r="Z61" s="109" t="s">
        <v>561</v>
      </c>
      <c r="AA61" s="109" t="s">
        <v>561</v>
      </c>
    </row>
    <row r="62" spans="1:27" ht="10.5" hidden="1" customHeight="1">
      <c r="A62" s="78">
        <v>62</v>
      </c>
      <c r="B62" s="78">
        <v>62</v>
      </c>
      <c r="E62" s="109" t="s">
        <v>147</v>
      </c>
      <c r="F62" s="109"/>
      <c r="G62" s="109" t="s">
        <v>561</v>
      </c>
      <c r="H62" s="109" t="s">
        <v>561</v>
      </c>
      <c r="I62" s="109" t="s">
        <v>561</v>
      </c>
      <c r="J62" s="109" t="s">
        <v>561</v>
      </c>
      <c r="K62" s="109" t="s">
        <v>561</v>
      </c>
      <c r="L62" s="109" t="s">
        <v>561</v>
      </c>
      <c r="M62" s="109" t="s">
        <v>605</v>
      </c>
      <c r="N62" s="109" t="s">
        <v>597</v>
      </c>
      <c r="O62" s="109" t="s">
        <v>601</v>
      </c>
      <c r="P62" s="109" t="s">
        <v>604</v>
      </c>
      <c r="Q62" s="109" t="s">
        <v>561</v>
      </c>
      <c r="R62" s="109" t="s">
        <v>561</v>
      </c>
      <c r="S62" s="109" t="s">
        <v>561</v>
      </c>
      <c r="T62" s="109" t="s">
        <v>561</v>
      </c>
      <c r="U62" s="109" t="s">
        <v>561</v>
      </c>
      <c r="V62" s="109" t="s">
        <v>561</v>
      </c>
      <c r="W62" s="109" t="s">
        <v>561</v>
      </c>
      <c r="X62" s="109" t="s">
        <v>561</v>
      </c>
      <c r="Y62" s="109" t="s">
        <v>561</v>
      </c>
      <c r="Z62" s="109" t="s">
        <v>561</v>
      </c>
      <c r="AA62" s="109" t="s">
        <v>561</v>
      </c>
    </row>
    <row r="63" spans="1:27" ht="10.5" hidden="1" customHeight="1">
      <c r="A63" s="78">
        <v>63</v>
      </c>
      <c r="B63" s="78">
        <v>63</v>
      </c>
      <c r="E63" s="109" t="s">
        <v>147</v>
      </c>
      <c r="F63" s="109"/>
      <c r="G63" s="109" t="s">
        <v>561</v>
      </c>
      <c r="H63" s="109" t="s">
        <v>561</v>
      </c>
      <c r="I63" s="109" t="s">
        <v>561</v>
      </c>
      <c r="J63" s="109" t="s">
        <v>561</v>
      </c>
      <c r="K63" s="109" t="s">
        <v>561</v>
      </c>
      <c r="L63" s="109" t="s">
        <v>561</v>
      </c>
      <c r="M63" s="109" t="s">
        <v>603</v>
      </c>
      <c r="N63" s="109" t="s">
        <v>597</v>
      </c>
      <c r="O63" s="109" t="s">
        <v>601</v>
      </c>
      <c r="P63" s="109" t="s">
        <v>604</v>
      </c>
      <c r="Q63" s="109" t="s">
        <v>561</v>
      </c>
      <c r="R63" s="109" t="s">
        <v>561</v>
      </c>
      <c r="S63" s="109" t="s">
        <v>561</v>
      </c>
      <c r="T63" s="109" t="s">
        <v>561</v>
      </c>
      <c r="U63" s="109" t="s">
        <v>561</v>
      </c>
      <c r="V63" s="109" t="s">
        <v>561</v>
      </c>
      <c r="W63" s="109" t="s">
        <v>561</v>
      </c>
      <c r="X63" s="109" t="s">
        <v>561</v>
      </c>
      <c r="Y63" s="109" t="s">
        <v>561</v>
      </c>
      <c r="Z63" s="109" t="s">
        <v>561</v>
      </c>
      <c r="AA63" s="109" t="s">
        <v>561</v>
      </c>
    </row>
    <row r="64" spans="1:27" ht="10.5" hidden="1" customHeight="1">
      <c r="A64" s="78">
        <v>64</v>
      </c>
      <c r="B64" s="78">
        <v>64</v>
      </c>
      <c r="E64" s="109" t="s">
        <v>147</v>
      </c>
      <c r="F64" s="109"/>
      <c r="G64" s="109" t="s">
        <v>561</v>
      </c>
      <c r="H64" s="109" t="s">
        <v>561</v>
      </c>
      <c r="I64" s="109" t="s">
        <v>561</v>
      </c>
      <c r="J64" s="109" t="s">
        <v>561</v>
      </c>
      <c r="K64" s="109" t="s">
        <v>561</v>
      </c>
      <c r="L64" s="109" t="s">
        <v>561</v>
      </c>
      <c r="M64" s="109" t="s">
        <v>603</v>
      </c>
      <c r="N64" s="109" t="s">
        <v>597</v>
      </c>
      <c r="O64" s="109" t="s">
        <v>601</v>
      </c>
      <c r="P64" s="109" t="s">
        <v>28</v>
      </c>
      <c r="Q64" s="109" t="s">
        <v>561</v>
      </c>
      <c r="R64" s="109" t="s">
        <v>561</v>
      </c>
      <c r="S64" s="109" t="s">
        <v>561</v>
      </c>
      <c r="T64" s="109" t="s">
        <v>561</v>
      </c>
      <c r="U64" s="109" t="s">
        <v>561</v>
      </c>
      <c r="V64" s="109" t="s">
        <v>561</v>
      </c>
      <c r="W64" s="109" t="s">
        <v>561</v>
      </c>
      <c r="X64" s="109" t="s">
        <v>561</v>
      </c>
      <c r="Y64" s="109" t="s">
        <v>561</v>
      </c>
      <c r="Z64" s="109" t="s">
        <v>561</v>
      </c>
      <c r="AA64" s="109" t="s">
        <v>561</v>
      </c>
    </row>
    <row r="65" spans="1:27" ht="10.5" hidden="1" customHeight="1">
      <c r="A65" s="78">
        <v>65</v>
      </c>
      <c r="B65" s="78">
        <v>65</v>
      </c>
      <c r="E65" s="109" t="s">
        <v>147</v>
      </c>
      <c r="F65" s="109"/>
      <c r="G65" s="109" t="s">
        <v>561</v>
      </c>
      <c r="H65" s="109" t="s">
        <v>561</v>
      </c>
      <c r="I65" s="109" t="s">
        <v>561</v>
      </c>
      <c r="J65" s="109" t="s">
        <v>561</v>
      </c>
      <c r="K65" s="109" t="s">
        <v>561</v>
      </c>
      <c r="L65" s="109" t="s">
        <v>561</v>
      </c>
      <c r="M65" s="109" t="s">
        <v>603</v>
      </c>
      <c r="N65" s="109" t="s">
        <v>597</v>
      </c>
      <c r="O65" s="109" t="s">
        <v>601</v>
      </c>
      <c r="P65" s="109" t="s">
        <v>28</v>
      </c>
      <c r="Q65" s="109" t="s">
        <v>561</v>
      </c>
      <c r="R65" s="109" t="s">
        <v>561</v>
      </c>
      <c r="S65" s="109" t="s">
        <v>561</v>
      </c>
      <c r="T65" s="109" t="s">
        <v>561</v>
      </c>
      <c r="U65" s="109" t="s">
        <v>561</v>
      </c>
      <c r="V65" s="109" t="s">
        <v>561</v>
      </c>
      <c r="W65" s="109" t="s">
        <v>561</v>
      </c>
      <c r="X65" s="109" t="s">
        <v>561</v>
      </c>
      <c r="Y65" s="109" t="s">
        <v>561</v>
      </c>
      <c r="Z65" s="109" t="s">
        <v>561</v>
      </c>
      <c r="AA65" s="109" t="s">
        <v>561</v>
      </c>
    </row>
    <row r="66" spans="1:27" ht="10.5" hidden="1" customHeight="1">
      <c r="A66" s="78">
        <v>66</v>
      </c>
      <c r="B66" s="78">
        <v>66</v>
      </c>
      <c r="E66" s="109" t="s">
        <v>147</v>
      </c>
      <c r="F66" s="109"/>
      <c r="G66" s="109" t="s">
        <v>561</v>
      </c>
      <c r="H66" s="109" t="s">
        <v>561</v>
      </c>
      <c r="I66" s="109" t="s">
        <v>561</v>
      </c>
      <c r="J66" s="109" t="s">
        <v>561</v>
      </c>
      <c r="K66" s="109" t="s">
        <v>561</v>
      </c>
      <c r="L66" s="109" t="s">
        <v>561</v>
      </c>
      <c r="M66" s="109" t="s">
        <v>603</v>
      </c>
      <c r="N66" s="109" t="s">
        <v>602</v>
      </c>
      <c r="O66" s="109" t="s">
        <v>601</v>
      </c>
      <c r="P66" s="109" t="s">
        <v>28</v>
      </c>
      <c r="Q66" s="109" t="s">
        <v>561</v>
      </c>
      <c r="R66" s="109" t="s">
        <v>561</v>
      </c>
      <c r="S66" s="109" t="s">
        <v>561</v>
      </c>
      <c r="T66" s="109" t="s">
        <v>561</v>
      </c>
      <c r="U66" s="109" t="s">
        <v>561</v>
      </c>
      <c r="V66" s="109" t="s">
        <v>561</v>
      </c>
      <c r="W66" s="109" t="s">
        <v>561</v>
      </c>
      <c r="X66" s="109" t="s">
        <v>561</v>
      </c>
      <c r="Y66" s="109" t="s">
        <v>561</v>
      </c>
      <c r="Z66" s="109" t="s">
        <v>561</v>
      </c>
      <c r="AA66" s="109" t="s">
        <v>561</v>
      </c>
    </row>
    <row r="67" spans="1:27" ht="10.5" hidden="1" customHeight="1">
      <c r="A67" s="78">
        <v>67</v>
      </c>
      <c r="B67" s="78">
        <v>67</v>
      </c>
      <c r="E67" s="109" t="s">
        <v>147</v>
      </c>
      <c r="F67" s="109"/>
      <c r="G67" s="109" t="s">
        <v>561</v>
      </c>
      <c r="H67" s="109" t="s">
        <v>561</v>
      </c>
      <c r="I67" s="109" t="s">
        <v>561</v>
      </c>
      <c r="J67" s="109" t="s">
        <v>561</v>
      </c>
      <c r="K67" s="109" t="s">
        <v>561</v>
      </c>
      <c r="L67" s="109" t="s">
        <v>561</v>
      </c>
      <c r="M67" s="109" t="s">
        <v>603</v>
      </c>
      <c r="N67" s="109" t="s">
        <v>602</v>
      </c>
      <c r="O67" s="109" t="s">
        <v>601</v>
      </c>
      <c r="P67" s="109" t="s">
        <v>28</v>
      </c>
      <c r="Q67" s="109" t="s">
        <v>561</v>
      </c>
      <c r="R67" s="109" t="s">
        <v>561</v>
      </c>
      <c r="S67" s="109" t="s">
        <v>561</v>
      </c>
      <c r="T67" s="109" t="s">
        <v>561</v>
      </c>
      <c r="U67" s="109" t="s">
        <v>561</v>
      </c>
      <c r="V67" s="109" t="s">
        <v>561</v>
      </c>
      <c r="W67" s="109" t="s">
        <v>561</v>
      </c>
      <c r="X67" s="109" t="s">
        <v>561</v>
      </c>
      <c r="Y67" s="109" t="s">
        <v>561</v>
      </c>
      <c r="Z67" s="109" t="s">
        <v>561</v>
      </c>
      <c r="AA67" s="109" t="s">
        <v>561</v>
      </c>
    </row>
    <row r="68" spans="1:27" ht="10.5" hidden="1" customHeight="1">
      <c r="A68" s="78">
        <v>68</v>
      </c>
      <c r="B68" s="78">
        <v>68</v>
      </c>
      <c r="E68" s="109" t="s">
        <v>147</v>
      </c>
      <c r="F68" s="109"/>
      <c r="G68" s="109" t="s">
        <v>561</v>
      </c>
      <c r="H68" s="109" t="s">
        <v>561</v>
      </c>
      <c r="I68" s="109" t="s">
        <v>561</v>
      </c>
      <c r="J68" s="109" t="s">
        <v>561</v>
      </c>
      <c r="K68" s="109" t="s">
        <v>561</v>
      </c>
      <c r="L68" s="109" t="s">
        <v>561</v>
      </c>
      <c r="M68" s="109" t="s">
        <v>599</v>
      </c>
      <c r="N68" s="109" t="s">
        <v>602</v>
      </c>
      <c r="O68" s="109" t="s">
        <v>601</v>
      </c>
      <c r="P68" s="109" t="s">
        <v>28</v>
      </c>
      <c r="Q68" s="109" t="s">
        <v>561</v>
      </c>
      <c r="R68" s="109" t="s">
        <v>561</v>
      </c>
      <c r="S68" s="109" t="s">
        <v>561</v>
      </c>
      <c r="T68" s="109" t="s">
        <v>561</v>
      </c>
      <c r="U68" s="109" t="s">
        <v>561</v>
      </c>
      <c r="V68" s="109" t="s">
        <v>561</v>
      </c>
      <c r="W68" s="109" t="s">
        <v>561</v>
      </c>
      <c r="X68" s="109" t="s">
        <v>561</v>
      </c>
      <c r="Y68" s="109" t="s">
        <v>561</v>
      </c>
      <c r="Z68" s="109" t="s">
        <v>561</v>
      </c>
      <c r="AA68" s="109" t="s">
        <v>561</v>
      </c>
    </row>
    <row r="69" spans="1:27" ht="10.5" hidden="1" customHeight="1">
      <c r="A69" s="78">
        <v>69</v>
      </c>
      <c r="B69" s="78">
        <v>69</v>
      </c>
      <c r="E69" s="109" t="s">
        <v>147</v>
      </c>
      <c r="F69" s="109"/>
      <c r="G69" s="109" t="s">
        <v>561</v>
      </c>
      <c r="H69" s="109" t="s">
        <v>561</v>
      </c>
      <c r="I69" s="109" t="s">
        <v>561</v>
      </c>
      <c r="J69" s="109" t="s">
        <v>561</v>
      </c>
      <c r="K69" s="109" t="s">
        <v>561</v>
      </c>
      <c r="L69" s="109" t="s">
        <v>561</v>
      </c>
      <c r="M69" s="109" t="s">
        <v>599</v>
      </c>
      <c r="N69" s="109" t="s">
        <v>565</v>
      </c>
      <c r="O69" s="109" t="s">
        <v>601</v>
      </c>
      <c r="P69" s="109" t="s">
        <v>34</v>
      </c>
      <c r="Q69" s="109" t="s">
        <v>561</v>
      </c>
      <c r="R69" s="109" t="s">
        <v>561</v>
      </c>
      <c r="S69" s="109" t="s">
        <v>561</v>
      </c>
      <c r="T69" s="109" t="s">
        <v>561</v>
      </c>
      <c r="U69" s="109" t="s">
        <v>561</v>
      </c>
      <c r="V69" s="109" t="s">
        <v>561</v>
      </c>
      <c r="W69" s="109" t="s">
        <v>561</v>
      </c>
      <c r="X69" s="109" t="s">
        <v>561</v>
      </c>
      <c r="Y69" s="109" t="s">
        <v>561</v>
      </c>
      <c r="Z69" s="109" t="s">
        <v>561</v>
      </c>
      <c r="AA69" s="109" t="s">
        <v>561</v>
      </c>
    </row>
    <row r="70" spans="1:27" ht="10.5" hidden="1" customHeight="1">
      <c r="A70" s="78">
        <v>70</v>
      </c>
      <c r="B70" s="78">
        <v>70</v>
      </c>
      <c r="E70" s="109" t="s">
        <v>137</v>
      </c>
      <c r="F70" s="109"/>
      <c r="G70" s="78" t="s">
        <v>600</v>
      </c>
      <c r="H70" s="109" t="s">
        <v>561</v>
      </c>
      <c r="I70" s="109" t="s">
        <v>561</v>
      </c>
      <c r="J70" s="109" t="s">
        <v>561</v>
      </c>
      <c r="K70" s="109" t="s">
        <v>561</v>
      </c>
      <c r="L70" s="109" t="s">
        <v>561</v>
      </c>
      <c r="M70" s="109" t="s">
        <v>599</v>
      </c>
      <c r="N70" s="109" t="s">
        <v>565</v>
      </c>
      <c r="O70" s="109" t="s">
        <v>601</v>
      </c>
      <c r="P70" s="109" t="s">
        <v>34</v>
      </c>
      <c r="Q70" s="109" t="s">
        <v>561</v>
      </c>
      <c r="R70" s="109" t="s">
        <v>561</v>
      </c>
      <c r="S70" s="109" t="s">
        <v>561</v>
      </c>
      <c r="T70" s="109" t="s">
        <v>561</v>
      </c>
      <c r="U70" s="109" t="s">
        <v>561</v>
      </c>
      <c r="V70" s="109" t="s">
        <v>561</v>
      </c>
      <c r="W70" s="109" t="s">
        <v>561</v>
      </c>
      <c r="X70" s="109" t="s">
        <v>561</v>
      </c>
      <c r="Y70" s="109" t="s">
        <v>561</v>
      </c>
      <c r="Z70" s="109" t="s">
        <v>561</v>
      </c>
      <c r="AA70" s="109" t="s">
        <v>561</v>
      </c>
    </row>
    <row r="71" spans="1:27" ht="10.5" hidden="1" customHeight="1">
      <c r="A71" s="78">
        <v>71</v>
      </c>
      <c r="B71" s="78">
        <v>71</v>
      </c>
      <c r="E71" s="109" t="s">
        <v>137</v>
      </c>
      <c r="F71" s="109"/>
      <c r="G71" s="78" t="s">
        <v>600</v>
      </c>
      <c r="H71" s="109" t="s">
        <v>561</v>
      </c>
      <c r="I71" s="109" t="s">
        <v>561</v>
      </c>
      <c r="J71" s="109" t="s">
        <v>561</v>
      </c>
      <c r="K71" s="109" t="s">
        <v>561</v>
      </c>
      <c r="L71" s="109" t="s">
        <v>561</v>
      </c>
      <c r="M71" s="109" t="s">
        <v>599</v>
      </c>
      <c r="N71" s="109" t="s">
        <v>574</v>
      </c>
      <c r="O71" s="109" t="s">
        <v>601</v>
      </c>
      <c r="P71" s="109" t="s">
        <v>34</v>
      </c>
      <c r="Q71" s="109" t="s">
        <v>561</v>
      </c>
      <c r="R71" s="109" t="s">
        <v>561</v>
      </c>
      <c r="S71" s="109" t="s">
        <v>561</v>
      </c>
      <c r="T71" s="109" t="s">
        <v>561</v>
      </c>
      <c r="U71" s="109" t="s">
        <v>561</v>
      </c>
      <c r="V71" s="109" t="s">
        <v>561</v>
      </c>
      <c r="W71" s="109" t="s">
        <v>561</v>
      </c>
      <c r="X71" s="109" t="s">
        <v>561</v>
      </c>
      <c r="Y71" s="109" t="s">
        <v>561</v>
      </c>
      <c r="Z71" s="109" t="s">
        <v>561</v>
      </c>
      <c r="AA71" s="109" t="s">
        <v>561</v>
      </c>
    </row>
    <row r="72" spans="1:27" ht="10.5" hidden="1" customHeight="1">
      <c r="A72" s="78">
        <v>72</v>
      </c>
      <c r="B72" s="78">
        <v>72</v>
      </c>
      <c r="E72" s="109" t="s">
        <v>137</v>
      </c>
      <c r="F72" s="109"/>
      <c r="G72" s="78" t="s">
        <v>600</v>
      </c>
      <c r="H72" s="109" t="s">
        <v>561</v>
      </c>
      <c r="I72" s="109" t="s">
        <v>561</v>
      </c>
      <c r="J72" s="109" t="s">
        <v>561</v>
      </c>
      <c r="K72" s="109" t="s">
        <v>561</v>
      </c>
      <c r="L72" s="109" t="s">
        <v>561</v>
      </c>
      <c r="M72" s="109" t="s">
        <v>599</v>
      </c>
      <c r="N72" s="109" t="s">
        <v>597</v>
      </c>
      <c r="O72" s="109" t="s">
        <v>601</v>
      </c>
      <c r="P72" s="109" t="s">
        <v>34</v>
      </c>
      <c r="Q72" s="109" t="s">
        <v>561</v>
      </c>
      <c r="R72" s="109" t="s">
        <v>561</v>
      </c>
      <c r="S72" s="109" t="s">
        <v>561</v>
      </c>
      <c r="T72" s="109" t="s">
        <v>561</v>
      </c>
      <c r="U72" s="109" t="s">
        <v>561</v>
      </c>
      <c r="V72" s="109" t="s">
        <v>561</v>
      </c>
      <c r="W72" s="109" t="s">
        <v>561</v>
      </c>
      <c r="X72" s="109" t="s">
        <v>561</v>
      </c>
      <c r="Y72" s="109" t="s">
        <v>561</v>
      </c>
      <c r="Z72" s="109" t="s">
        <v>561</v>
      </c>
      <c r="AA72" s="109" t="s">
        <v>561</v>
      </c>
    </row>
    <row r="73" spans="1:27" ht="10.5" hidden="1" customHeight="1">
      <c r="A73" s="78">
        <v>73</v>
      </c>
      <c r="B73" s="78">
        <v>73</v>
      </c>
      <c r="E73" s="109" t="s">
        <v>137</v>
      </c>
      <c r="F73" s="109"/>
      <c r="G73" s="78" t="s">
        <v>600</v>
      </c>
      <c r="H73" s="109" t="s">
        <v>561</v>
      </c>
      <c r="I73" s="109" t="s">
        <v>561</v>
      </c>
      <c r="J73" s="109" t="s">
        <v>561</v>
      </c>
      <c r="K73" s="109" t="s">
        <v>561</v>
      </c>
      <c r="L73" s="109" t="s">
        <v>561</v>
      </c>
      <c r="M73" s="109" t="s">
        <v>599</v>
      </c>
      <c r="N73" s="109" t="s">
        <v>597</v>
      </c>
      <c r="O73" s="109" t="s">
        <v>598</v>
      </c>
      <c r="P73" s="109" t="s">
        <v>42</v>
      </c>
      <c r="Q73" s="109" t="s">
        <v>561</v>
      </c>
      <c r="R73" s="109" t="s">
        <v>561</v>
      </c>
      <c r="S73" s="109" t="s">
        <v>561</v>
      </c>
      <c r="T73" s="109" t="s">
        <v>561</v>
      </c>
      <c r="U73" s="109" t="s">
        <v>561</v>
      </c>
      <c r="V73" s="109" t="s">
        <v>561</v>
      </c>
      <c r="W73" s="109" t="s">
        <v>561</v>
      </c>
      <c r="X73" s="109" t="s">
        <v>561</v>
      </c>
      <c r="Y73" s="109" t="s">
        <v>561</v>
      </c>
      <c r="Z73" s="109" t="s">
        <v>561</v>
      </c>
      <c r="AA73" s="109" t="s">
        <v>561</v>
      </c>
    </row>
    <row r="74" spans="1:27" ht="10.5" hidden="1" customHeight="1">
      <c r="A74" s="78">
        <v>74</v>
      </c>
      <c r="B74" s="78">
        <v>74</v>
      </c>
      <c r="E74" s="109" t="s">
        <v>137</v>
      </c>
      <c r="F74" s="109"/>
      <c r="G74" s="78" t="s">
        <v>600</v>
      </c>
      <c r="H74" s="109" t="s">
        <v>561</v>
      </c>
      <c r="I74" s="109" t="s">
        <v>561</v>
      </c>
      <c r="J74" s="109" t="s">
        <v>561</v>
      </c>
      <c r="K74" s="109" t="s">
        <v>561</v>
      </c>
      <c r="L74" s="109" t="s">
        <v>561</v>
      </c>
      <c r="M74" s="109" t="s">
        <v>599</v>
      </c>
      <c r="N74" s="109" t="s">
        <v>597</v>
      </c>
      <c r="O74" s="109" t="s">
        <v>598</v>
      </c>
      <c r="P74" s="109" t="s">
        <v>42</v>
      </c>
      <c r="Q74" s="109" t="s">
        <v>561</v>
      </c>
      <c r="R74" s="109" t="s">
        <v>561</v>
      </c>
      <c r="S74" s="109" t="s">
        <v>561</v>
      </c>
      <c r="T74" s="109" t="s">
        <v>561</v>
      </c>
      <c r="U74" s="109" t="s">
        <v>561</v>
      </c>
      <c r="V74" s="109" t="s">
        <v>561</v>
      </c>
      <c r="W74" s="109" t="s">
        <v>561</v>
      </c>
      <c r="X74" s="109" t="s">
        <v>561</v>
      </c>
      <c r="Y74" s="109" t="s">
        <v>561</v>
      </c>
      <c r="Z74" s="109" t="s">
        <v>561</v>
      </c>
      <c r="AA74" s="109" t="s">
        <v>561</v>
      </c>
    </row>
    <row r="75" spans="1:27" ht="10.5" hidden="1" customHeight="1">
      <c r="A75" s="78">
        <v>75</v>
      </c>
      <c r="B75" s="78">
        <v>75</v>
      </c>
      <c r="E75" s="109" t="s">
        <v>137</v>
      </c>
      <c r="F75" s="109"/>
      <c r="G75" s="78" t="s">
        <v>600</v>
      </c>
      <c r="H75" s="109" t="s">
        <v>561</v>
      </c>
      <c r="I75" s="109" t="s">
        <v>561</v>
      </c>
      <c r="J75" s="109" t="s">
        <v>561</v>
      </c>
      <c r="K75" s="109" t="s">
        <v>561</v>
      </c>
      <c r="L75" s="109" t="s">
        <v>561</v>
      </c>
      <c r="M75" s="109" t="s">
        <v>599</v>
      </c>
      <c r="N75" s="109" t="s">
        <v>597</v>
      </c>
      <c r="O75" s="109" t="s">
        <v>598</v>
      </c>
      <c r="P75" s="109" t="s">
        <v>42</v>
      </c>
      <c r="Q75" s="109" t="s">
        <v>561</v>
      </c>
      <c r="R75" s="109" t="s">
        <v>561</v>
      </c>
      <c r="S75" s="109" t="s">
        <v>561</v>
      </c>
      <c r="T75" s="109" t="s">
        <v>561</v>
      </c>
      <c r="U75" s="109" t="s">
        <v>561</v>
      </c>
      <c r="V75" s="109" t="s">
        <v>561</v>
      </c>
      <c r="W75" s="109" t="s">
        <v>561</v>
      </c>
      <c r="X75" s="109" t="s">
        <v>561</v>
      </c>
      <c r="Y75" s="109" t="s">
        <v>561</v>
      </c>
      <c r="Z75" s="109" t="s">
        <v>561</v>
      </c>
      <c r="AA75" s="109" t="s">
        <v>561</v>
      </c>
    </row>
    <row r="76" spans="1:27" ht="10.5" hidden="1" customHeight="1">
      <c r="A76" s="78">
        <v>76</v>
      </c>
      <c r="B76" s="78">
        <v>76</v>
      </c>
      <c r="E76" s="109" t="s">
        <v>137</v>
      </c>
      <c r="F76" s="109"/>
      <c r="G76" s="78" t="s">
        <v>600</v>
      </c>
      <c r="H76" s="109" t="s">
        <v>561</v>
      </c>
      <c r="I76" s="109" t="s">
        <v>561</v>
      </c>
      <c r="J76" s="109" t="s">
        <v>561</v>
      </c>
      <c r="K76" s="109" t="s">
        <v>561</v>
      </c>
      <c r="L76" s="109" t="s">
        <v>561</v>
      </c>
      <c r="M76" s="109" t="s">
        <v>599</v>
      </c>
      <c r="N76" s="109" t="s">
        <v>565</v>
      </c>
      <c r="O76" s="109" t="s">
        <v>598</v>
      </c>
      <c r="P76" s="109" t="s">
        <v>42</v>
      </c>
      <c r="Q76" s="109" t="s">
        <v>561</v>
      </c>
      <c r="R76" s="109" t="s">
        <v>561</v>
      </c>
      <c r="S76" s="109" t="s">
        <v>561</v>
      </c>
      <c r="T76" s="109" t="s">
        <v>561</v>
      </c>
      <c r="U76" s="109" t="s">
        <v>561</v>
      </c>
      <c r="V76" s="109" t="s">
        <v>561</v>
      </c>
      <c r="W76" s="109" t="s">
        <v>561</v>
      </c>
      <c r="X76" s="109" t="s">
        <v>561</v>
      </c>
      <c r="Y76" s="109" t="s">
        <v>561</v>
      </c>
      <c r="Z76" s="109" t="s">
        <v>561</v>
      </c>
      <c r="AA76" s="109" t="s">
        <v>561</v>
      </c>
    </row>
    <row r="77" spans="1:27" ht="10.5" hidden="1" customHeight="1">
      <c r="A77" s="78">
        <v>77</v>
      </c>
      <c r="B77" s="78">
        <v>77</v>
      </c>
      <c r="E77" s="109" t="s">
        <v>137</v>
      </c>
      <c r="F77" s="109"/>
      <c r="G77" s="78" t="s">
        <v>600</v>
      </c>
      <c r="H77" s="109" t="s">
        <v>561</v>
      </c>
      <c r="I77" s="109" t="s">
        <v>561</v>
      </c>
      <c r="J77" s="109" t="s">
        <v>561</v>
      </c>
      <c r="K77" s="109" t="s">
        <v>561</v>
      </c>
      <c r="L77" s="109" t="s">
        <v>561</v>
      </c>
      <c r="M77" s="109" t="s">
        <v>599</v>
      </c>
      <c r="N77" s="109" t="s">
        <v>565</v>
      </c>
      <c r="O77" s="109" t="s">
        <v>598</v>
      </c>
      <c r="P77" s="109" t="s">
        <v>42</v>
      </c>
      <c r="Q77" s="109" t="s">
        <v>561</v>
      </c>
      <c r="R77" s="109" t="s">
        <v>561</v>
      </c>
      <c r="S77" s="109" t="s">
        <v>561</v>
      </c>
      <c r="T77" s="109" t="s">
        <v>561</v>
      </c>
      <c r="U77" s="109" t="s">
        <v>561</v>
      </c>
      <c r="V77" s="109" t="s">
        <v>561</v>
      </c>
      <c r="W77" s="109" t="s">
        <v>561</v>
      </c>
      <c r="X77" s="109" t="s">
        <v>561</v>
      </c>
      <c r="Y77" s="109" t="s">
        <v>561</v>
      </c>
      <c r="Z77" s="109" t="s">
        <v>561</v>
      </c>
      <c r="AA77" s="109" t="s">
        <v>561</v>
      </c>
    </row>
    <row r="78" spans="1:27" ht="10.5" hidden="1" customHeight="1">
      <c r="A78" s="78">
        <v>78</v>
      </c>
      <c r="B78" s="78">
        <v>78</v>
      </c>
      <c r="E78" s="109" t="s">
        <v>137</v>
      </c>
      <c r="F78" s="109"/>
      <c r="G78" s="78" t="s">
        <v>600</v>
      </c>
      <c r="H78" s="109" t="s">
        <v>561</v>
      </c>
      <c r="I78" s="109" t="s">
        <v>561</v>
      </c>
      <c r="J78" s="109" t="s">
        <v>561</v>
      </c>
      <c r="K78" s="109" t="s">
        <v>561</v>
      </c>
      <c r="L78" s="109" t="s">
        <v>561</v>
      </c>
      <c r="M78" s="109" t="s">
        <v>599</v>
      </c>
      <c r="N78" s="109" t="s">
        <v>565</v>
      </c>
      <c r="O78" s="109" t="s">
        <v>598</v>
      </c>
      <c r="P78" s="109" t="s">
        <v>42</v>
      </c>
      <c r="Q78" s="109" t="s">
        <v>561</v>
      </c>
      <c r="R78" s="109" t="s">
        <v>561</v>
      </c>
      <c r="S78" s="109" t="s">
        <v>561</v>
      </c>
      <c r="T78" s="109" t="s">
        <v>561</v>
      </c>
      <c r="U78" s="109" t="s">
        <v>561</v>
      </c>
      <c r="V78" s="109" t="s">
        <v>561</v>
      </c>
      <c r="W78" s="109" t="s">
        <v>561</v>
      </c>
      <c r="X78" s="109" t="s">
        <v>561</v>
      </c>
      <c r="Y78" s="109" t="s">
        <v>561</v>
      </c>
      <c r="Z78" s="109" t="s">
        <v>561</v>
      </c>
      <c r="AA78" s="109" t="s">
        <v>561</v>
      </c>
    </row>
    <row r="79" spans="1:27" ht="10.5" hidden="1" customHeight="1">
      <c r="A79" s="78">
        <v>79</v>
      </c>
      <c r="B79" s="78">
        <v>79</v>
      </c>
      <c r="E79" s="109" t="s">
        <v>137</v>
      </c>
      <c r="F79" s="109"/>
      <c r="G79" s="78" t="s">
        <v>600</v>
      </c>
      <c r="H79" s="109" t="s">
        <v>561</v>
      </c>
      <c r="I79" s="109" t="s">
        <v>595</v>
      </c>
      <c r="J79" s="109" t="s">
        <v>561</v>
      </c>
      <c r="K79" s="109" t="s">
        <v>561</v>
      </c>
      <c r="L79" s="109" t="s">
        <v>561</v>
      </c>
      <c r="M79" s="109" t="s">
        <v>599</v>
      </c>
      <c r="N79" s="109" t="s">
        <v>565</v>
      </c>
      <c r="O79" s="109" t="s">
        <v>598</v>
      </c>
      <c r="P79" s="109" t="s">
        <v>42</v>
      </c>
      <c r="Q79" s="109" t="s">
        <v>561</v>
      </c>
      <c r="R79" s="109" t="s">
        <v>561</v>
      </c>
      <c r="S79" s="109" t="s">
        <v>561</v>
      </c>
      <c r="T79" s="109" t="s">
        <v>561</v>
      </c>
      <c r="U79" s="109" t="s">
        <v>561</v>
      </c>
      <c r="V79" s="109" t="s">
        <v>561</v>
      </c>
      <c r="W79" s="109" t="s">
        <v>561</v>
      </c>
      <c r="X79" s="109" t="s">
        <v>561</v>
      </c>
      <c r="Y79" s="109" t="s">
        <v>561</v>
      </c>
      <c r="Z79" s="109" t="s">
        <v>561</v>
      </c>
      <c r="AA79" s="109" t="s">
        <v>561</v>
      </c>
    </row>
    <row r="80" spans="1:27" ht="10.5" hidden="1" customHeight="1">
      <c r="A80" s="78">
        <v>80</v>
      </c>
      <c r="B80" s="78">
        <v>80</v>
      </c>
      <c r="E80" s="109" t="s">
        <v>137</v>
      </c>
      <c r="F80" s="109"/>
      <c r="G80" s="78" t="s">
        <v>591</v>
      </c>
      <c r="I80" s="109" t="s">
        <v>595</v>
      </c>
      <c r="J80" s="109" t="s">
        <v>561</v>
      </c>
      <c r="K80" s="109" t="s">
        <v>561</v>
      </c>
      <c r="L80" s="109" t="s">
        <v>561</v>
      </c>
      <c r="M80" s="109" t="s">
        <v>599</v>
      </c>
      <c r="N80" s="109" t="s">
        <v>574</v>
      </c>
      <c r="O80" s="109" t="s">
        <v>598</v>
      </c>
      <c r="P80" s="109" t="s">
        <v>42</v>
      </c>
      <c r="Q80" s="109" t="s">
        <v>592</v>
      </c>
      <c r="R80" s="109" t="s">
        <v>561</v>
      </c>
      <c r="S80" s="109" t="s">
        <v>561</v>
      </c>
      <c r="T80" s="109" t="s">
        <v>561</v>
      </c>
      <c r="U80" s="109" t="s">
        <v>561</v>
      </c>
      <c r="V80" s="109" t="s">
        <v>561</v>
      </c>
      <c r="W80" s="109" t="s">
        <v>561</v>
      </c>
      <c r="X80" s="109" t="s">
        <v>561</v>
      </c>
      <c r="Y80" s="109" t="s">
        <v>561</v>
      </c>
      <c r="Z80" s="109" t="s">
        <v>561</v>
      </c>
      <c r="AA80" s="109" t="s">
        <v>561</v>
      </c>
    </row>
    <row r="81" spans="1:27" ht="10.5" hidden="1" customHeight="1">
      <c r="A81" s="78">
        <v>81</v>
      </c>
      <c r="B81" s="78">
        <v>81</v>
      </c>
      <c r="E81" s="109" t="s">
        <v>137</v>
      </c>
      <c r="F81" s="109"/>
      <c r="G81" s="78" t="s">
        <v>591</v>
      </c>
      <c r="I81" s="109" t="s">
        <v>595</v>
      </c>
      <c r="J81" s="109" t="s">
        <v>561</v>
      </c>
      <c r="K81" s="109" t="s">
        <v>561</v>
      </c>
      <c r="L81" s="109" t="s">
        <v>561</v>
      </c>
      <c r="M81" s="109" t="s">
        <v>572</v>
      </c>
      <c r="N81" s="109" t="s">
        <v>574</v>
      </c>
      <c r="O81" s="109" t="s">
        <v>598</v>
      </c>
      <c r="P81" s="109" t="s">
        <v>48</v>
      </c>
      <c r="Q81" s="109" t="s">
        <v>592</v>
      </c>
      <c r="R81" s="109" t="s">
        <v>561</v>
      </c>
      <c r="S81" s="109" t="s">
        <v>561</v>
      </c>
      <c r="T81" s="109" t="s">
        <v>561</v>
      </c>
      <c r="U81" s="109" t="s">
        <v>561</v>
      </c>
      <c r="V81" s="109" t="s">
        <v>561</v>
      </c>
      <c r="W81" s="109" t="s">
        <v>561</v>
      </c>
      <c r="X81" s="109" t="s">
        <v>561</v>
      </c>
      <c r="Y81" s="109" t="s">
        <v>561</v>
      </c>
      <c r="Z81" s="109" t="s">
        <v>561</v>
      </c>
      <c r="AA81" s="109" t="s">
        <v>561</v>
      </c>
    </row>
    <row r="82" spans="1:27" ht="10.5" hidden="1" customHeight="1">
      <c r="A82" s="78">
        <v>82</v>
      </c>
      <c r="B82" s="78">
        <v>82</v>
      </c>
      <c r="E82" s="109" t="s">
        <v>137</v>
      </c>
      <c r="F82" s="109"/>
      <c r="G82" s="78" t="s">
        <v>591</v>
      </c>
      <c r="I82" s="109" t="s">
        <v>595</v>
      </c>
      <c r="J82" s="109" t="s">
        <v>561</v>
      </c>
      <c r="K82" s="109" t="s">
        <v>561</v>
      </c>
      <c r="L82" s="109" t="s">
        <v>561</v>
      </c>
      <c r="M82" s="109" t="s">
        <v>575</v>
      </c>
      <c r="N82" s="109" t="s">
        <v>597</v>
      </c>
      <c r="O82" s="109" t="s">
        <v>593</v>
      </c>
      <c r="P82" s="109" t="s">
        <v>48</v>
      </c>
      <c r="Q82" s="109" t="s">
        <v>592</v>
      </c>
      <c r="R82" s="109" t="s">
        <v>561</v>
      </c>
      <c r="S82" s="109" t="s">
        <v>561</v>
      </c>
      <c r="T82" s="109" t="s">
        <v>561</v>
      </c>
      <c r="U82" s="109" t="s">
        <v>561</v>
      </c>
      <c r="V82" s="109" t="s">
        <v>561</v>
      </c>
      <c r="W82" s="109" t="s">
        <v>561</v>
      </c>
      <c r="X82" s="109" t="s">
        <v>561</v>
      </c>
      <c r="Y82" s="109" t="s">
        <v>561</v>
      </c>
      <c r="Z82" s="109" t="s">
        <v>561</v>
      </c>
      <c r="AA82" s="109" t="s">
        <v>561</v>
      </c>
    </row>
    <row r="83" spans="1:27" ht="10.5" hidden="1" customHeight="1">
      <c r="A83" s="78">
        <v>83</v>
      </c>
      <c r="B83" s="78">
        <v>83</v>
      </c>
      <c r="E83" s="109" t="s">
        <v>137</v>
      </c>
      <c r="F83" s="109"/>
      <c r="G83" s="78" t="s">
        <v>591</v>
      </c>
      <c r="H83" s="109" t="s">
        <v>590</v>
      </c>
      <c r="I83" s="109" t="s">
        <v>595</v>
      </c>
      <c r="J83" s="109" t="s">
        <v>561</v>
      </c>
      <c r="K83" s="109" t="s">
        <v>561</v>
      </c>
      <c r="L83" s="109" t="s">
        <v>561</v>
      </c>
      <c r="M83" s="109" t="s">
        <v>586</v>
      </c>
      <c r="N83" s="109" t="s">
        <v>565</v>
      </c>
      <c r="O83" s="109" t="s">
        <v>593</v>
      </c>
      <c r="P83" s="109" t="s">
        <v>48</v>
      </c>
      <c r="Q83" s="109" t="s">
        <v>592</v>
      </c>
      <c r="R83" s="109" t="s">
        <v>561</v>
      </c>
      <c r="S83" s="109" t="s">
        <v>561</v>
      </c>
      <c r="T83" s="109" t="s">
        <v>561</v>
      </c>
      <c r="U83" s="109" t="s">
        <v>561</v>
      </c>
      <c r="V83" s="109" t="s">
        <v>561</v>
      </c>
      <c r="W83" s="109" t="s">
        <v>561</v>
      </c>
      <c r="X83" s="109" t="s">
        <v>561</v>
      </c>
      <c r="Y83" s="109" t="s">
        <v>561</v>
      </c>
      <c r="Z83" s="109" t="s">
        <v>561</v>
      </c>
      <c r="AA83" s="109" t="s">
        <v>561</v>
      </c>
    </row>
    <row r="84" spans="1:27" ht="10.5" hidden="1" customHeight="1">
      <c r="A84" s="78">
        <v>84</v>
      </c>
      <c r="B84" s="78">
        <v>84</v>
      </c>
      <c r="E84" s="109" t="s">
        <v>137</v>
      </c>
      <c r="F84" s="109"/>
      <c r="G84" s="78" t="s">
        <v>591</v>
      </c>
      <c r="H84" s="109" t="s">
        <v>590</v>
      </c>
      <c r="I84" s="109" t="s">
        <v>595</v>
      </c>
      <c r="J84" s="109" t="s">
        <v>561</v>
      </c>
      <c r="K84" s="109" t="s">
        <v>561</v>
      </c>
      <c r="L84" s="109" t="s">
        <v>561</v>
      </c>
      <c r="M84" s="109" t="s">
        <v>596</v>
      </c>
      <c r="N84" s="109" t="s">
        <v>565</v>
      </c>
      <c r="O84" s="109" t="s">
        <v>593</v>
      </c>
      <c r="P84" s="109" t="s">
        <v>48</v>
      </c>
      <c r="Q84" s="109" t="s">
        <v>592</v>
      </c>
      <c r="R84" s="109" t="s">
        <v>561</v>
      </c>
      <c r="S84" s="109" t="s">
        <v>561</v>
      </c>
      <c r="T84" s="109" t="s">
        <v>561</v>
      </c>
      <c r="U84" s="109" t="s">
        <v>561</v>
      </c>
      <c r="V84" s="109" t="s">
        <v>561</v>
      </c>
      <c r="W84" s="109" t="s">
        <v>561</v>
      </c>
      <c r="X84" s="109" t="s">
        <v>561</v>
      </c>
      <c r="Y84" s="109" t="s">
        <v>561</v>
      </c>
      <c r="Z84" s="109" t="s">
        <v>561</v>
      </c>
      <c r="AA84" s="109" t="s">
        <v>561</v>
      </c>
    </row>
    <row r="85" spans="1:27" ht="10.5" hidden="1" customHeight="1">
      <c r="A85" s="78">
        <v>85</v>
      </c>
      <c r="B85" s="78">
        <v>85</v>
      </c>
      <c r="E85" s="109" t="s">
        <v>137</v>
      </c>
      <c r="F85" s="109"/>
      <c r="G85" s="78" t="s">
        <v>591</v>
      </c>
      <c r="H85" s="109" t="s">
        <v>590</v>
      </c>
      <c r="I85" s="109" t="s">
        <v>595</v>
      </c>
      <c r="J85" s="109" t="s">
        <v>561</v>
      </c>
      <c r="K85" s="109" t="s">
        <v>561</v>
      </c>
      <c r="L85" s="109" t="s">
        <v>561</v>
      </c>
      <c r="M85" s="109" t="s">
        <v>594</v>
      </c>
      <c r="N85" s="109" t="s">
        <v>565</v>
      </c>
      <c r="O85" s="109" t="s">
        <v>593</v>
      </c>
      <c r="P85" s="109" t="s">
        <v>48</v>
      </c>
      <c r="Q85" s="109" t="s">
        <v>592</v>
      </c>
      <c r="R85" s="109" t="s">
        <v>561</v>
      </c>
      <c r="S85" s="109" t="s">
        <v>561</v>
      </c>
      <c r="T85" s="109" t="s">
        <v>561</v>
      </c>
      <c r="U85" s="109" t="s">
        <v>561</v>
      </c>
      <c r="V85" s="109" t="s">
        <v>561</v>
      </c>
      <c r="W85" s="109" t="s">
        <v>561</v>
      </c>
      <c r="X85" s="109" t="s">
        <v>561</v>
      </c>
      <c r="Y85" s="109" t="s">
        <v>561</v>
      </c>
      <c r="Z85" s="109" t="s">
        <v>561</v>
      </c>
      <c r="AA85" s="109" t="s">
        <v>561</v>
      </c>
    </row>
    <row r="86" spans="1:27" ht="10.5" hidden="1" customHeight="1">
      <c r="A86" s="78">
        <v>86</v>
      </c>
      <c r="B86" s="78">
        <v>86</v>
      </c>
      <c r="E86" s="109" t="s">
        <v>130</v>
      </c>
      <c r="F86" s="109"/>
      <c r="G86" s="78" t="s">
        <v>591</v>
      </c>
      <c r="H86" s="109" t="s">
        <v>590</v>
      </c>
      <c r="I86" s="109" t="s">
        <v>589</v>
      </c>
      <c r="J86" s="109" t="s">
        <v>567</v>
      </c>
      <c r="K86" s="109" t="s">
        <v>561</v>
      </c>
      <c r="L86" s="109" t="s">
        <v>561</v>
      </c>
      <c r="M86" s="109" t="s">
        <v>566</v>
      </c>
      <c r="N86" s="109" t="s">
        <v>565</v>
      </c>
      <c r="O86" s="109" t="s">
        <v>587</v>
      </c>
      <c r="P86" s="109" t="s">
        <v>48</v>
      </c>
      <c r="Q86" s="109" t="s">
        <v>588</v>
      </c>
      <c r="R86" s="109" t="s">
        <v>561</v>
      </c>
      <c r="S86" s="109" t="s">
        <v>561</v>
      </c>
      <c r="T86" s="109" t="s">
        <v>561</v>
      </c>
      <c r="U86" s="109" t="s">
        <v>561</v>
      </c>
      <c r="V86" s="109" t="s">
        <v>561</v>
      </c>
      <c r="W86" s="109" t="s">
        <v>561</v>
      </c>
      <c r="X86" s="109" t="s">
        <v>561</v>
      </c>
      <c r="Y86" s="109" t="s">
        <v>561</v>
      </c>
      <c r="Z86" s="109" t="s">
        <v>561</v>
      </c>
      <c r="AA86" s="109" t="s">
        <v>561</v>
      </c>
    </row>
    <row r="87" spans="1:27" ht="10.5" hidden="1" customHeight="1">
      <c r="A87" s="78">
        <v>87</v>
      </c>
      <c r="B87" s="78">
        <v>87</v>
      </c>
      <c r="E87" s="109" t="s">
        <v>130</v>
      </c>
      <c r="F87" s="109"/>
      <c r="G87" s="78" t="s">
        <v>591</v>
      </c>
      <c r="H87" s="109" t="s">
        <v>590</v>
      </c>
      <c r="I87" s="109" t="s">
        <v>589</v>
      </c>
      <c r="J87" s="109" t="s">
        <v>567</v>
      </c>
      <c r="K87" s="109" t="s">
        <v>561</v>
      </c>
      <c r="L87" s="109" t="s">
        <v>561</v>
      </c>
      <c r="M87" s="109" t="s">
        <v>586</v>
      </c>
      <c r="N87" s="109" t="s">
        <v>565</v>
      </c>
      <c r="O87" s="109" t="s">
        <v>587</v>
      </c>
      <c r="P87" s="109" t="s">
        <v>48</v>
      </c>
      <c r="Q87" s="109" t="s">
        <v>588</v>
      </c>
      <c r="R87" s="109" t="s">
        <v>561</v>
      </c>
      <c r="S87" s="109" t="s">
        <v>561</v>
      </c>
      <c r="T87" s="109" t="s">
        <v>561</v>
      </c>
      <c r="U87" s="109" t="s">
        <v>561</v>
      </c>
      <c r="V87" s="109" t="s">
        <v>561</v>
      </c>
      <c r="W87" s="109" t="s">
        <v>561</v>
      </c>
      <c r="X87" s="109" t="s">
        <v>561</v>
      </c>
      <c r="Y87" s="109" t="s">
        <v>561</v>
      </c>
      <c r="Z87" s="109" t="s">
        <v>561</v>
      </c>
      <c r="AA87" s="109" t="s">
        <v>561</v>
      </c>
    </row>
    <row r="88" spans="1:27" ht="10.5" hidden="1" customHeight="1">
      <c r="A88" s="78">
        <v>88</v>
      </c>
      <c r="B88" s="78">
        <v>88</v>
      </c>
      <c r="E88" s="109" t="s">
        <v>130</v>
      </c>
      <c r="F88" s="109"/>
      <c r="G88" s="78" t="s">
        <v>591</v>
      </c>
      <c r="H88" s="109" t="s">
        <v>590</v>
      </c>
      <c r="I88" s="109" t="s">
        <v>589</v>
      </c>
      <c r="J88" s="109" t="s">
        <v>567</v>
      </c>
      <c r="K88" s="109" t="s">
        <v>561</v>
      </c>
      <c r="L88" s="109" t="s">
        <v>561</v>
      </c>
      <c r="M88" s="109" t="s">
        <v>586</v>
      </c>
      <c r="N88" s="109" t="s">
        <v>565</v>
      </c>
      <c r="O88" s="109" t="s">
        <v>587</v>
      </c>
      <c r="P88" s="109" t="s">
        <v>48</v>
      </c>
      <c r="Q88" s="109" t="s">
        <v>588</v>
      </c>
      <c r="R88" s="109" t="s">
        <v>561</v>
      </c>
      <c r="S88" s="109" t="s">
        <v>561</v>
      </c>
      <c r="T88" s="109" t="s">
        <v>561</v>
      </c>
      <c r="U88" s="109" t="s">
        <v>561</v>
      </c>
      <c r="V88" s="109" t="s">
        <v>561</v>
      </c>
      <c r="W88" s="109" t="s">
        <v>561</v>
      </c>
      <c r="X88" s="109" t="s">
        <v>561</v>
      </c>
      <c r="Y88" s="109" t="s">
        <v>561</v>
      </c>
      <c r="Z88" s="109" t="s">
        <v>561</v>
      </c>
      <c r="AA88" s="109" t="s">
        <v>561</v>
      </c>
    </row>
    <row r="89" spans="1:27" ht="10.5" hidden="1" customHeight="1">
      <c r="A89" s="78">
        <v>89</v>
      </c>
      <c r="B89" s="78">
        <v>89</v>
      </c>
      <c r="E89" s="109" t="s">
        <v>130</v>
      </c>
      <c r="F89" s="109"/>
      <c r="G89" s="78" t="s">
        <v>591</v>
      </c>
      <c r="H89" s="109" t="s">
        <v>590</v>
      </c>
      <c r="I89" s="109" t="s">
        <v>589</v>
      </c>
      <c r="J89" s="109" t="s">
        <v>567</v>
      </c>
      <c r="K89" s="109" t="s">
        <v>561</v>
      </c>
      <c r="L89" s="109" t="s">
        <v>561</v>
      </c>
      <c r="M89" s="109" t="s">
        <v>586</v>
      </c>
      <c r="N89" s="109" t="s">
        <v>565</v>
      </c>
      <c r="O89" s="109" t="s">
        <v>587</v>
      </c>
      <c r="P89" s="109" t="s">
        <v>48</v>
      </c>
      <c r="Q89" s="109" t="s">
        <v>588</v>
      </c>
      <c r="R89" s="109" t="s">
        <v>561</v>
      </c>
      <c r="S89" s="109" t="s">
        <v>561</v>
      </c>
      <c r="T89" s="109" t="s">
        <v>561</v>
      </c>
      <c r="U89" s="109" t="s">
        <v>561</v>
      </c>
      <c r="V89" s="109" t="s">
        <v>561</v>
      </c>
      <c r="W89" s="109" t="s">
        <v>561</v>
      </c>
      <c r="X89" s="109" t="s">
        <v>561</v>
      </c>
      <c r="Y89" s="109" t="s">
        <v>561</v>
      </c>
      <c r="Z89" s="109" t="s">
        <v>561</v>
      </c>
      <c r="AA89" s="109" t="s">
        <v>561</v>
      </c>
    </row>
    <row r="90" spans="1:27" ht="10.5" hidden="1" customHeight="1">
      <c r="A90" s="78">
        <v>90</v>
      </c>
      <c r="B90" s="78">
        <v>90</v>
      </c>
      <c r="E90" s="109" t="s">
        <v>130</v>
      </c>
      <c r="F90" s="109"/>
      <c r="G90" s="78" t="s">
        <v>585</v>
      </c>
      <c r="H90" s="109" t="s">
        <v>584</v>
      </c>
      <c r="I90" s="109" t="s">
        <v>589</v>
      </c>
      <c r="J90" s="109" t="s">
        <v>567</v>
      </c>
      <c r="K90" s="109" t="s">
        <v>561</v>
      </c>
      <c r="L90" s="109" t="s">
        <v>561</v>
      </c>
      <c r="M90" s="109" t="s">
        <v>586</v>
      </c>
      <c r="N90" s="109" t="s">
        <v>565</v>
      </c>
      <c r="O90" s="109" t="s">
        <v>587</v>
      </c>
      <c r="P90" s="109" t="s">
        <v>33</v>
      </c>
      <c r="Q90" s="109" t="s">
        <v>588</v>
      </c>
      <c r="R90" s="109" t="s">
        <v>561</v>
      </c>
      <c r="S90" s="109" t="s">
        <v>561</v>
      </c>
      <c r="T90" s="109" t="s">
        <v>561</v>
      </c>
      <c r="U90" s="109" t="s">
        <v>561</v>
      </c>
      <c r="V90" s="109" t="s">
        <v>561</v>
      </c>
      <c r="W90" s="109" t="s">
        <v>561</v>
      </c>
      <c r="X90" s="109" t="s">
        <v>561</v>
      </c>
      <c r="Y90" s="109" t="s">
        <v>561</v>
      </c>
      <c r="Z90" s="109" t="s">
        <v>561</v>
      </c>
      <c r="AA90" s="109" t="s">
        <v>561</v>
      </c>
    </row>
    <row r="91" spans="1:27" ht="10.5" hidden="1" customHeight="1">
      <c r="A91" s="78">
        <v>91</v>
      </c>
      <c r="B91" s="78">
        <v>91</v>
      </c>
      <c r="E91" s="109" t="s">
        <v>130</v>
      </c>
      <c r="F91" s="109"/>
      <c r="G91" s="78" t="s">
        <v>585</v>
      </c>
      <c r="H91" s="109" t="s">
        <v>584</v>
      </c>
      <c r="I91" s="109" t="s">
        <v>589</v>
      </c>
      <c r="J91" s="109" t="s">
        <v>567</v>
      </c>
      <c r="K91" s="109" t="s">
        <v>547</v>
      </c>
      <c r="L91" s="109" t="s">
        <v>561</v>
      </c>
      <c r="M91" s="109" t="s">
        <v>586</v>
      </c>
      <c r="N91" s="109" t="s">
        <v>574</v>
      </c>
      <c r="O91" s="109" t="s">
        <v>587</v>
      </c>
      <c r="P91" s="109" t="s">
        <v>33</v>
      </c>
      <c r="Q91" s="109" t="s">
        <v>588</v>
      </c>
      <c r="R91" s="109" t="s">
        <v>561</v>
      </c>
      <c r="S91" s="109" t="s">
        <v>561</v>
      </c>
      <c r="T91" s="109" t="s">
        <v>561</v>
      </c>
      <c r="U91" s="109" t="s">
        <v>561</v>
      </c>
      <c r="V91" s="109" t="s">
        <v>561</v>
      </c>
      <c r="W91" s="109" t="s">
        <v>561</v>
      </c>
      <c r="X91" s="109" t="s">
        <v>561</v>
      </c>
      <c r="Y91" s="109" t="s">
        <v>561</v>
      </c>
      <c r="Z91" s="109" t="s">
        <v>561</v>
      </c>
      <c r="AA91" s="109" t="s">
        <v>561</v>
      </c>
    </row>
    <row r="92" spans="1:27" ht="10.5" hidden="1" customHeight="1">
      <c r="A92" s="78">
        <v>92</v>
      </c>
      <c r="B92" s="78">
        <v>92</v>
      </c>
      <c r="E92" s="109" t="s">
        <v>130</v>
      </c>
      <c r="F92" s="109"/>
      <c r="G92" s="78" t="s">
        <v>585</v>
      </c>
      <c r="H92" s="109" t="s">
        <v>584</v>
      </c>
      <c r="I92" s="109" t="s">
        <v>581</v>
      </c>
      <c r="J92" s="109" t="s">
        <v>580</v>
      </c>
      <c r="K92" s="78" t="s">
        <v>583</v>
      </c>
      <c r="L92" s="109" t="s">
        <v>561</v>
      </c>
      <c r="M92" s="109" t="s">
        <v>586</v>
      </c>
      <c r="N92" s="109" t="s">
        <v>574</v>
      </c>
      <c r="O92" s="109" t="s">
        <v>587</v>
      </c>
      <c r="P92" s="109" t="s">
        <v>33</v>
      </c>
      <c r="Q92" s="109" t="s">
        <v>582</v>
      </c>
      <c r="R92" s="109" t="s">
        <v>561</v>
      </c>
      <c r="S92" s="109" t="s">
        <v>561</v>
      </c>
      <c r="T92" s="109" t="s">
        <v>561</v>
      </c>
      <c r="U92" s="109" t="s">
        <v>561</v>
      </c>
      <c r="V92" s="109" t="s">
        <v>561</v>
      </c>
      <c r="W92" s="109" t="s">
        <v>561</v>
      </c>
      <c r="X92" s="109" t="s">
        <v>561</v>
      </c>
      <c r="Y92" s="109" t="s">
        <v>561</v>
      </c>
      <c r="Z92" s="109" t="s">
        <v>561</v>
      </c>
      <c r="AA92" s="109" t="s">
        <v>561</v>
      </c>
    </row>
    <row r="93" spans="1:27" ht="10.5" hidden="1" customHeight="1">
      <c r="A93" s="78">
        <v>93</v>
      </c>
      <c r="B93" s="78">
        <v>93</v>
      </c>
      <c r="E93" s="109" t="s">
        <v>130</v>
      </c>
      <c r="F93" s="109"/>
      <c r="G93" s="78" t="s">
        <v>585</v>
      </c>
      <c r="H93" s="109" t="s">
        <v>584</v>
      </c>
      <c r="I93" s="109" t="s">
        <v>581</v>
      </c>
      <c r="J93" s="109" t="s">
        <v>580</v>
      </c>
      <c r="K93" s="78" t="s">
        <v>583</v>
      </c>
      <c r="L93" s="109" t="s">
        <v>561</v>
      </c>
      <c r="M93" s="109" t="s">
        <v>586</v>
      </c>
      <c r="N93" s="109" t="s">
        <v>574</v>
      </c>
      <c r="O93" s="109" t="s">
        <v>579</v>
      </c>
      <c r="P93" s="109" t="s">
        <v>33</v>
      </c>
      <c r="Q93" s="109" t="s">
        <v>582</v>
      </c>
      <c r="R93" s="109" t="s">
        <v>561</v>
      </c>
      <c r="S93" s="109" t="s">
        <v>561</v>
      </c>
      <c r="T93" s="109" t="s">
        <v>561</v>
      </c>
      <c r="U93" s="109" t="s">
        <v>561</v>
      </c>
      <c r="V93" s="109" t="s">
        <v>561</v>
      </c>
      <c r="W93" s="109" t="s">
        <v>561</v>
      </c>
      <c r="X93" s="109" t="s">
        <v>561</v>
      </c>
      <c r="Y93" s="109" t="s">
        <v>561</v>
      </c>
      <c r="Z93" s="109" t="s">
        <v>561</v>
      </c>
      <c r="AA93" s="109" t="s">
        <v>561</v>
      </c>
    </row>
    <row r="94" spans="1:27" ht="10.5" hidden="1" customHeight="1">
      <c r="A94" s="78">
        <v>94</v>
      </c>
      <c r="B94" s="78">
        <v>94</v>
      </c>
      <c r="E94" s="109" t="s">
        <v>130</v>
      </c>
      <c r="F94" s="109"/>
      <c r="G94" s="78" t="s">
        <v>585</v>
      </c>
      <c r="H94" s="109" t="s">
        <v>584</v>
      </c>
      <c r="I94" s="109" t="s">
        <v>581</v>
      </c>
      <c r="J94" s="109" t="s">
        <v>580</v>
      </c>
      <c r="K94" s="78" t="s">
        <v>583</v>
      </c>
      <c r="L94" s="109" t="s">
        <v>561</v>
      </c>
      <c r="M94" s="109" t="s">
        <v>566</v>
      </c>
      <c r="N94" s="109" t="s">
        <v>574</v>
      </c>
      <c r="O94" s="109" t="s">
        <v>579</v>
      </c>
      <c r="P94" s="109" t="s">
        <v>33</v>
      </c>
      <c r="Q94" s="109" t="s">
        <v>582</v>
      </c>
      <c r="R94" s="109" t="s">
        <v>561</v>
      </c>
      <c r="S94" s="109" t="s">
        <v>561</v>
      </c>
      <c r="T94" s="109" t="s">
        <v>561</v>
      </c>
      <c r="U94" s="109" t="s">
        <v>561</v>
      </c>
      <c r="V94" s="109" t="s">
        <v>561</v>
      </c>
      <c r="W94" s="109" t="s">
        <v>561</v>
      </c>
      <c r="X94" s="109" t="s">
        <v>561</v>
      </c>
      <c r="Y94" s="109" t="s">
        <v>561</v>
      </c>
      <c r="Z94" s="109" t="s">
        <v>561</v>
      </c>
      <c r="AA94" s="109" t="s">
        <v>561</v>
      </c>
    </row>
    <row r="95" spans="1:27" ht="10.5" hidden="1" customHeight="1">
      <c r="A95" s="78">
        <v>95</v>
      </c>
      <c r="B95" s="78">
        <v>95</v>
      </c>
      <c r="E95" s="109" t="s">
        <v>130</v>
      </c>
      <c r="F95" s="109"/>
      <c r="G95" s="78" t="s">
        <v>577</v>
      </c>
      <c r="H95" s="78" t="s">
        <v>578</v>
      </c>
      <c r="I95" s="109" t="s">
        <v>581</v>
      </c>
      <c r="J95" s="109" t="s">
        <v>580</v>
      </c>
      <c r="K95" s="78" t="s">
        <v>583</v>
      </c>
      <c r="L95" s="109" t="s">
        <v>561</v>
      </c>
      <c r="M95" s="109" t="s">
        <v>566</v>
      </c>
      <c r="N95" s="109" t="s">
        <v>574</v>
      </c>
      <c r="O95" s="109" t="s">
        <v>579</v>
      </c>
      <c r="P95" s="109" t="s">
        <v>33</v>
      </c>
      <c r="Q95" s="109" t="s">
        <v>582</v>
      </c>
      <c r="R95" s="109" t="s">
        <v>561</v>
      </c>
      <c r="S95" s="109" t="s">
        <v>561</v>
      </c>
      <c r="T95" s="109" t="s">
        <v>561</v>
      </c>
      <c r="U95" s="109" t="s">
        <v>561</v>
      </c>
      <c r="V95" s="109" t="s">
        <v>561</v>
      </c>
      <c r="W95" s="109" t="s">
        <v>561</v>
      </c>
      <c r="X95" s="109" t="s">
        <v>561</v>
      </c>
      <c r="Y95" s="109" t="s">
        <v>561</v>
      </c>
      <c r="Z95" s="109" t="s">
        <v>561</v>
      </c>
      <c r="AA95" s="109" t="s">
        <v>561</v>
      </c>
    </row>
    <row r="96" spans="1:27" ht="10.5" hidden="1" customHeight="1">
      <c r="A96" s="78">
        <v>96</v>
      </c>
      <c r="B96" s="78">
        <v>96</v>
      </c>
      <c r="E96" s="109" t="s">
        <v>130</v>
      </c>
      <c r="F96" s="109"/>
      <c r="G96" s="78" t="s">
        <v>577</v>
      </c>
      <c r="H96" s="78" t="s">
        <v>578</v>
      </c>
      <c r="I96" s="109" t="s">
        <v>581</v>
      </c>
      <c r="J96" s="109" t="s">
        <v>580</v>
      </c>
      <c r="K96" s="78" t="s">
        <v>576</v>
      </c>
      <c r="L96" s="109" t="s">
        <v>561</v>
      </c>
      <c r="M96" s="109" t="s">
        <v>566</v>
      </c>
      <c r="N96" s="109" t="s">
        <v>574</v>
      </c>
      <c r="O96" s="109" t="s">
        <v>579</v>
      </c>
      <c r="P96" s="109" t="s">
        <v>563</v>
      </c>
      <c r="Q96" s="109" t="s">
        <v>573</v>
      </c>
      <c r="R96" s="109" t="s">
        <v>561</v>
      </c>
      <c r="S96" s="109" t="s">
        <v>561</v>
      </c>
      <c r="T96" s="109" t="s">
        <v>561</v>
      </c>
      <c r="U96" s="109" t="s">
        <v>561</v>
      </c>
      <c r="V96" s="109" t="s">
        <v>561</v>
      </c>
      <c r="W96" s="109" t="s">
        <v>561</v>
      </c>
      <c r="X96" s="109" t="s">
        <v>561</v>
      </c>
      <c r="Y96" s="109" t="s">
        <v>561</v>
      </c>
      <c r="Z96" s="109" t="s">
        <v>561</v>
      </c>
      <c r="AA96" s="109" t="s">
        <v>561</v>
      </c>
    </row>
    <row r="97" spans="1:27" ht="10.5" hidden="1" customHeight="1">
      <c r="A97" s="78">
        <v>97</v>
      </c>
      <c r="B97" s="78">
        <v>97</v>
      </c>
      <c r="E97" s="109" t="s">
        <v>571</v>
      </c>
      <c r="F97" s="109"/>
      <c r="G97" s="78" t="s">
        <v>577</v>
      </c>
      <c r="H97" s="78" t="s">
        <v>578</v>
      </c>
      <c r="I97" s="109" t="s">
        <v>569</v>
      </c>
      <c r="J97" s="109" t="s">
        <v>568</v>
      </c>
      <c r="K97" s="78" t="s">
        <v>576</v>
      </c>
      <c r="L97" s="109" t="s">
        <v>561</v>
      </c>
      <c r="M97" s="109" t="s">
        <v>566</v>
      </c>
      <c r="N97" s="109" t="s">
        <v>574</v>
      </c>
      <c r="O97" s="78" t="s">
        <v>564</v>
      </c>
      <c r="P97" s="109" t="s">
        <v>563</v>
      </c>
      <c r="Q97" s="109" t="s">
        <v>573</v>
      </c>
      <c r="R97" s="109" t="s">
        <v>561</v>
      </c>
      <c r="S97" s="109" t="s">
        <v>561</v>
      </c>
      <c r="T97" s="109" t="s">
        <v>561</v>
      </c>
      <c r="U97" s="109" t="s">
        <v>561</v>
      </c>
      <c r="V97" s="109" t="s">
        <v>561</v>
      </c>
      <c r="W97" s="109" t="s">
        <v>561</v>
      </c>
      <c r="X97" s="109" t="s">
        <v>561</v>
      </c>
      <c r="Y97" s="109" t="s">
        <v>561</v>
      </c>
      <c r="Z97" s="109" t="s">
        <v>561</v>
      </c>
      <c r="AA97" s="109" t="s">
        <v>561</v>
      </c>
    </row>
    <row r="98" spans="1:27" ht="10.5" hidden="1" customHeight="1">
      <c r="A98" s="78">
        <v>98</v>
      </c>
      <c r="B98" s="78">
        <v>98</v>
      </c>
      <c r="E98" s="109" t="s">
        <v>571</v>
      </c>
      <c r="F98" s="109"/>
      <c r="G98" s="78" t="s">
        <v>577</v>
      </c>
      <c r="H98" s="109" t="s">
        <v>341</v>
      </c>
      <c r="I98" s="109" t="s">
        <v>569</v>
      </c>
      <c r="J98" s="109" t="s">
        <v>568</v>
      </c>
      <c r="K98" s="78" t="s">
        <v>576</v>
      </c>
      <c r="L98" s="109" t="s">
        <v>561</v>
      </c>
      <c r="M98" s="109" t="s">
        <v>575</v>
      </c>
      <c r="N98" s="109" t="s">
        <v>574</v>
      </c>
      <c r="O98" s="78" t="s">
        <v>564</v>
      </c>
      <c r="P98" s="109" t="s">
        <v>563</v>
      </c>
      <c r="Q98" s="109" t="s">
        <v>573</v>
      </c>
      <c r="R98" s="109" t="s">
        <v>561</v>
      </c>
      <c r="S98" s="109" t="s">
        <v>561</v>
      </c>
      <c r="T98" s="109" t="s">
        <v>561</v>
      </c>
      <c r="U98" s="109" t="s">
        <v>561</v>
      </c>
      <c r="V98" s="109" t="s">
        <v>561</v>
      </c>
      <c r="W98" s="109" t="s">
        <v>561</v>
      </c>
      <c r="X98" s="109" t="s">
        <v>561</v>
      </c>
      <c r="Y98" s="109" t="s">
        <v>561</v>
      </c>
      <c r="Z98" s="109" t="s">
        <v>561</v>
      </c>
      <c r="AA98" s="109" t="s">
        <v>561</v>
      </c>
    </row>
    <row r="99" spans="1:27" ht="10.5" hidden="1" customHeight="1">
      <c r="A99" s="78">
        <v>99</v>
      </c>
      <c r="B99" s="78">
        <v>99</v>
      </c>
      <c r="E99" s="109" t="s">
        <v>571</v>
      </c>
      <c r="F99" s="109"/>
      <c r="G99" s="78" t="s">
        <v>570</v>
      </c>
      <c r="H99" s="109" t="s">
        <v>341</v>
      </c>
      <c r="I99" s="109" t="s">
        <v>569</v>
      </c>
      <c r="J99" s="109" t="s">
        <v>568</v>
      </c>
      <c r="K99" s="78" t="s">
        <v>567</v>
      </c>
      <c r="L99" s="109" t="s">
        <v>561</v>
      </c>
      <c r="M99" s="109" t="s">
        <v>572</v>
      </c>
      <c r="N99" s="109" t="s">
        <v>565</v>
      </c>
      <c r="O99" s="78" t="s">
        <v>564</v>
      </c>
      <c r="P99" s="109" t="s">
        <v>563</v>
      </c>
      <c r="Q99" s="109" t="s">
        <v>562</v>
      </c>
      <c r="R99" s="109" t="s">
        <v>561</v>
      </c>
      <c r="S99" s="109" t="s">
        <v>561</v>
      </c>
      <c r="T99" s="109" t="s">
        <v>561</v>
      </c>
      <c r="U99" s="109" t="s">
        <v>561</v>
      </c>
      <c r="V99" s="109" t="s">
        <v>561</v>
      </c>
      <c r="W99" s="109" t="s">
        <v>561</v>
      </c>
      <c r="X99" s="109" t="s">
        <v>561</v>
      </c>
      <c r="Y99" s="109" t="s">
        <v>561</v>
      </c>
      <c r="Z99" s="109" t="s">
        <v>561</v>
      </c>
      <c r="AA99" s="109" t="s">
        <v>561</v>
      </c>
    </row>
    <row r="100" spans="1:27" ht="10.5" hidden="1" customHeight="1" thickBot="1">
      <c r="A100" s="78">
        <v>100</v>
      </c>
      <c r="B100" s="78">
        <v>100</v>
      </c>
      <c r="E100" s="109" t="s">
        <v>571</v>
      </c>
      <c r="F100" s="109"/>
      <c r="G100" s="78" t="s">
        <v>570</v>
      </c>
      <c r="H100" s="109" t="s">
        <v>341</v>
      </c>
      <c r="I100" s="109" t="s">
        <v>569</v>
      </c>
      <c r="J100" s="109" t="s">
        <v>568</v>
      </c>
      <c r="K100" s="78" t="s">
        <v>567</v>
      </c>
      <c r="L100" s="109" t="s">
        <v>561</v>
      </c>
      <c r="M100" s="109" t="s">
        <v>566</v>
      </c>
      <c r="N100" s="109" t="s">
        <v>565</v>
      </c>
      <c r="O100" s="78" t="s">
        <v>564</v>
      </c>
      <c r="P100" s="109" t="s">
        <v>563</v>
      </c>
      <c r="Q100" s="109" t="s">
        <v>562</v>
      </c>
      <c r="R100" s="109" t="s">
        <v>561</v>
      </c>
      <c r="S100" s="109" t="s">
        <v>561</v>
      </c>
      <c r="T100" s="109" t="s">
        <v>561</v>
      </c>
      <c r="U100" s="109" t="s">
        <v>561</v>
      </c>
      <c r="V100" s="109" t="s">
        <v>561</v>
      </c>
      <c r="W100" s="109" t="s">
        <v>561</v>
      </c>
      <c r="X100" s="109" t="s">
        <v>561</v>
      </c>
      <c r="Y100" s="109" t="s">
        <v>561</v>
      </c>
      <c r="Z100" s="109" t="s">
        <v>561</v>
      </c>
      <c r="AA100" s="109" t="s">
        <v>561</v>
      </c>
    </row>
    <row r="101" spans="1:27" s="107" customFormat="1" ht="10.8" hidden="1" thickBot="1">
      <c r="A101" s="108" t="s">
        <v>560</v>
      </c>
      <c r="B101" s="107" t="s">
        <v>559</v>
      </c>
      <c r="E101" s="107" t="s">
        <v>558</v>
      </c>
      <c r="G101" s="107" t="s">
        <v>548</v>
      </c>
      <c r="H101" s="107" t="s">
        <v>87</v>
      </c>
      <c r="I101" s="107" t="s">
        <v>550</v>
      </c>
      <c r="J101" s="107" t="s">
        <v>161</v>
      </c>
      <c r="K101" s="107" t="s">
        <v>152</v>
      </c>
      <c r="M101" s="107" t="s">
        <v>553</v>
      </c>
      <c r="N101" s="107" t="s">
        <v>552</v>
      </c>
      <c r="O101" s="107" t="s">
        <v>551</v>
      </c>
      <c r="P101" s="107" t="s">
        <v>547</v>
      </c>
      <c r="Q101" s="107" t="s">
        <v>546</v>
      </c>
    </row>
    <row r="102" spans="1:27" ht="9.9" hidden="1" customHeight="1">
      <c r="B102" s="78">
        <f>LOOKUP(100,dé100,test)</f>
        <v>100</v>
      </c>
    </row>
    <row r="103" spans="1:27" s="106" customFormat="1" ht="11.25" customHeight="1" thickBot="1">
      <c r="C103" s="106" t="s">
        <v>557</v>
      </c>
      <c r="D103" s="106" t="s">
        <v>556</v>
      </c>
      <c r="E103" s="106" t="s">
        <v>555</v>
      </c>
      <c r="F103" s="106" t="s">
        <v>554</v>
      </c>
      <c r="G103" s="106" t="s">
        <v>553</v>
      </c>
      <c r="H103" s="106" t="s">
        <v>552</v>
      </c>
      <c r="I103" s="106" t="s">
        <v>551</v>
      </c>
      <c r="J103" s="106" t="s">
        <v>161</v>
      </c>
      <c r="K103" s="106" t="s">
        <v>152</v>
      </c>
      <c r="L103" s="106" t="s">
        <v>550</v>
      </c>
      <c r="M103" s="106" t="s">
        <v>549</v>
      </c>
      <c r="N103" s="106" t="s">
        <v>87</v>
      </c>
      <c r="O103" s="106" t="s">
        <v>548</v>
      </c>
      <c r="P103" s="106" t="s">
        <v>547</v>
      </c>
      <c r="Q103" s="106" t="s">
        <v>546</v>
      </c>
    </row>
    <row r="104" spans="1:27" ht="9.9" customHeight="1">
      <c r="A104" s="105" t="s">
        <v>2436</v>
      </c>
      <c r="B104" s="104">
        <v>10</v>
      </c>
      <c r="C104" s="103">
        <f t="shared" ref="C104:C151" ca="1" si="0">ROUND(B104/(5+RANDBETWEEN(1,5)),0)</f>
        <v>1</v>
      </c>
      <c r="D104" s="101">
        <f t="shared" ref="D104:D151" ca="1" si="1">ROUND(B104*(100+RANDBETWEEN(1,50)-RANDBETWEEN(1,50))/100,0)</f>
        <v>12</v>
      </c>
      <c r="E104" s="102" t="str">
        <f t="shared" ref="E104:F131" ca="1" si="2">LOOKUP(RANDBETWEEN(1,100),dé100,richesse)</f>
        <v>-</v>
      </c>
      <c r="F104" s="102" t="str">
        <f t="shared" ca="1" si="2"/>
        <v>-</v>
      </c>
      <c r="G104" s="100" t="str">
        <f t="shared" ref="G104:G151" ca="1" si="3">IF(RANDBETWEEN(1,10)&lt;=C104,LOOKUP(RANDBETWEEN(1,100),dé100,primaire)," ")</f>
        <v xml:space="preserve"> </v>
      </c>
      <c r="H104" s="100" t="str">
        <f t="shared" ref="H104:H151" ca="1" si="4">IF(RANDBETWEEN(1,50)&lt;=C104,LOOKUP(RANDBETWEEN(1,100),dé100,secondaire)," ")</f>
        <v xml:space="preserve"> </v>
      </c>
      <c r="I104" s="100" t="str">
        <f t="shared" ref="I104:I151" ca="1" si="5">IF(RANDBETWEEN(1,500)&lt;=C104,LOOKUP(RANDBETWEEN(1,100),dé100,tertiaire)," ")</f>
        <v xml:space="preserve"> </v>
      </c>
      <c r="J104" s="100" t="str">
        <f t="shared" ref="J104:J151" ca="1" si="6">LOOKUP(RANDBETWEEN(1,100),dé100,politique)</f>
        <v xml:space="preserve"> </v>
      </c>
      <c r="K104" s="100" t="str">
        <f t="shared" ref="K104:K151" ca="1" si="7">LOOKUP(RANDBETWEEN(1,100),dé100,religion)</f>
        <v xml:space="preserve"> </v>
      </c>
      <c r="L104" s="100" t="str">
        <f t="shared" ref="L104:L151" ca="1" si="8">LOOKUP(RANDBETWEEN(1,100),dé100,caractère)</f>
        <v xml:space="preserve"> </v>
      </c>
      <c r="M104" s="101">
        <f t="shared" ref="M104:M151" ca="1" si="9">ROUND(C104/(RANDBETWEEN(1,5)+5),0)</f>
        <v>0</v>
      </c>
      <c r="N104" s="100" t="str">
        <f t="shared" ref="N104:N151" ca="1" si="10">LOOKUP(RANDBETWEEN(1,100),dé100,commerce)</f>
        <v>désert</v>
      </c>
      <c r="O104" s="100" t="str">
        <f t="shared" ref="O104:O151" ca="1" si="11">LOOKUP(RANDBETWEEN(1,100),dé100,danger)</f>
        <v>brigands</v>
      </c>
      <c r="P104" s="100" t="str">
        <f t="shared" ref="P104:P151" ca="1" si="12">IF(RANDBETWEEN(1,10)=1,LOOKUP(RANDBETWEEN(1,100),dé100,secret)," ")</f>
        <v xml:space="preserve"> </v>
      </c>
      <c r="Q104" s="99" t="str">
        <f t="shared" ref="Q104:Q151" ca="1" si="13">IF(RANDBETWEEN(1,10)=1,LOOKUP(RANDBETWEEN(1,100),dé100,architecture)," ")</f>
        <v xml:space="preserve"> </v>
      </c>
    </row>
    <row r="105" spans="1:27" ht="9.9" customHeight="1">
      <c r="A105" s="98" t="s">
        <v>2436</v>
      </c>
      <c r="B105" s="97">
        <v>10</v>
      </c>
      <c r="C105" s="96">
        <f t="shared" ca="1" si="0"/>
        <v>2</v>
      </c>
      <c r="D105" s="94">
        <f t="shared" ca="1" si="1"/>
        <v>8</v>
      </c>
      <c r="E105" s="95" t="str">
        <f t="shared" ca="1" si="2"/>
        <v>++</v>
      </c>
      <c r="F105" s="95" t="str">
        <f t="shared" ca="1" si="2"/>
        <v>+</v>
      </c>
      <c r="G105" s="93" t="str">
        <f t="shared" ca="1" si="3"/>
        <v xml:space="preserve"> </v>
      </c>
      <c r="H105" s="93" t="str">
        <f t="shared" ca="1" si="4"/>
        <v xml:space="preserve"> </v>
      </c>
      <c r="I105" s="93" t="str">
        <f t="shared" ca="1" si="5"/>
        <v xml:space="preserve"> </v>
      </c>
      <c r="J105" s="93" t="str">
        <f t="shared" ca="1" si="6"/>
        <v xml:space="preserve"> </v>
      </c>
      <c r="K105" s="93" t="str">
        <f t="shared" ca="1" si="7"/>
        <v xml:space="preserve"> </v>
      </c>
      <c r="L105" s="93" t="str">
        <f t="shared" ca="1" si="8"/>
        <v>xénophobe</v>
      </c>
      <c r="M105" s="94">
        <f t="shared" ca="1" si="9"/>
        <v>0</v>
      </c>
      <c r="N105" s="93" t="str">
        <f t="shared" ca="1" si="10"/>
        <v xml:space="preserve"> </v>
      </c>
      <c r="O105" s="93" t="str">
        <f t="shared" ca="1" si="11"/>
        <v>meutres</v>
      </c>
      <c r="P105" s="93" t="str">
        <f t="shared" ca="1" si="12"/>
        <v>guerre</v>
      </c>
      <c r="Q105" s="92" t="str">
        <f t="shared" ca="1" si="13"/>
        <v xml:space="preserve"> </v>
      </c>
    </row>
    <row r="106" spans="1:27" ht="9.9" customHeight="1">
      <c r="A106" s="98" t="s">
        <v>2436</v>
      </c>
      <c r="B106" s="97">
        <v>10</v>
      </c>
      <c r="C106" s="96">
        <f t="shared" ca="1" si="0"/>
        <v>1</v>
      </c>
      <c r="D106" s="94">
        <f t="shared" ca="1" si="1"/>
        <v>8</v>
      </c>
      <c r="E106" s="95" t="str">
        <f t="shared" ca="1" si="2"/>
        <v>-</v>
      </c>
      <c r="F106" s="95" t="str">
        <f t="shared" ca="1" si="2"/>
        <v>-</v>
      </c>
      <c r="G106" s="93" t="str">
        <f t="shared" ca="1" si="3"/>
        <v xml:space="preserve"> </v>
      </c>
      <c r="H106" s="93" t="str">
        <f t="shared" ca="1" si="4"/>
        <v>Construction</v>
      </c>
      <c r="I106" s="93" t="str">
        <f t="shared" ca="1" si="5"/>
        <v xml:space="preserve"> </v>
      </c>
      <c r="J106" s="93" t="str">
        <f t="shared" ca="1" si="6"/>
        <v xml:space="preserve"> </v>
      </c>
      <c r="K106" s="93" t="str">
        <f t="shared" ca="1" si="7"/>
        <v xml:space="preserve"> </v>
      </c>
      <c r="L106" s="93" t="str">
        <f t="shared" ca="1" si="8"/>
        <v xml:space="preserve"> </v>
      </c>
      <c r="M106" s="94">
        <f t="shared" ca="1" si="9"/>
        <v>0</v>
      </c>
      <c r="N106" s="93" t="str">
        <f t="shared" ca="1" si="10"/>
        <v xml:space="preserve"> </v>
      </c>
      <c r="O106" s="93" t="str">
        <f t="shared" ca="1" si="11"/>
        <v xml:space="preserve"> </v>
      </c>
      <c r="P106" s="93" t="str">
        <f t="shared" ca="1" si="12"/>
        <v xml:space="preserve"> </v>
      </c>
      <c r="Q106" s="92" t="str">
        <f t="shared" ca="1" si="13"/>
        <v xml:space="preserve"> </v>
      </c>
    </row>
    <row r="107" spans="1:27" ht="9.9" customHeight="1">
      <c r="A107" s="98" t="s">
        <v>2436</v>
      </c>
      <c r="B107" s="97">
        <v>10</v>
      </c>
      <c r="C107" s="96">
        <f t="shared" ca="1" si="0"/>
        <v>1</v>
      </c>
      <c r="D107" s="94">
        <f t="shared" ca="1" si="1"/>
        <v>14</v>
      </c>
      <c r="E107" s="95" t="str">
        <f t="shared" ca="1" si="2"/>
        <v>=</v>
      </c>
      <c r="F107" s="95" t="str">
        <f t="shared" ca="1" si="2"/>
        <v>=</v>
      </c>
      <c r="G107" s="93" t="str">
        <f t="shared" ca="1" si="3"/>
        <v>Agriculture</v>
      </c>
      <c r="H107" s="93" t="str">
        <f t="shared" ca="1" si="4"/>
        <v xml:space="preserve"> </v>
      </c>
      <c r="I107" s="93" t="str">
        <f t="shared" ca="1" si="5"/>
        <v xml:space="preserve"> </v>
      </c>
      <c r="J107" s="93" t="str">
        <f t="shared" ca="1" si="6"/>
        <v>loyal</v>
      </c>
      <c r="K107" s="93" t="str">
        <f t="shared" ca="1" si="7"/>
        <v xml:space="preserve"> </v>
      </c>
      <c r="L107" s="93" t="str">
        <f t="shared" ca="1" si="8"/>
        <v xml:space="preserve"> </v>
      </c>
      <c r="M107" s="94">
        <f t="shared" ca="1" si="9"/>
        <v>0</v>
      </c>
      <c r="N107" s="93" t="str">
        <f t="shared" ca="1" si="10"/>
        <v xml:space="preserve"> </v>
      </c>
      <c r="O107" s="93" t="str">
        <f t="shared" ca="1" si="11"/>
        <v xml:space="preserve"> </v>
      </c>
      <c r="P107" s="93" t="str">
        <f t="shared" ca="1" si="12"/>
        <v xml:space="preserve"> </v>
      </c>
      <c r="Q107" s="92" t="str">
        <f t="shared" ca="1" si="13"/>
        <v xml:space="preserve"> </v>
      </c>
    </row>
    <row r="108" spans="1:27" ht="9.9" customHeight="1">
      <c r="A108" s="98" t="s">
        <v>2436</v>
      </c>
      <c r="B108" s="97">
        <v>10</v>
      </c>
      <c r="C108" s="96">
        <f t="shared" ca="1" si="0"/>
        <v>1</v>
      </c>
      <c r="D108" s="94">
        <f t="shared" ca="1" si="1"/>
        <v>9</v>
      </c>
      <c r="E108" s="95" t="str">
        <f t="shared" ca="1" si="2"/>
        <v>=</v>
      </c>
      <c r="F108" s="95" t="str">
        <f t="shared" ca="1" si="2"/>
        <v>=</v>
      </c>
      <c r="G108" s="93" t="str">
        <f t="shared" ca="1" si="3"/>
        <v xml:space="preserve"> </v>
      </c>
      <c r="H108" s="93" t="str">
        <f t="shared" ca="1" si="4"/>
        <v xml:space="preserve"> </v>
      </c>
      <c r="I108" s="93" t="str">
        <f t="shared" ca="1" si="5"/>
        <v xml:space="preserve"> </v>
      </c>
      <c r="J108" s="93" t="str">
        <f t="shared" ca="1" si="6"/>
        <v>fidèle</v>
      </c>
      <c r="K108" s="93" t="str">
        <f t="shared" ca="1" si="7"/>
        <v xml:space="preserve"> </v>
      </c>
      <c r="L108" s="93" t="str">
        <f t="shared" ca="1" si="8"/>
        <v>xénophobe</v>
      </c>
      <c r="M108" s="94">
        <f t="shared" ca="1" si="9"/>
        <v>0</v>
      </c>
      <c r="N108" s="93" t="str">
        <f t="shared" ca="1" si="10"/>
        <v xml:space="preserve"> </v>
      </c>
      <c r="O108" s="93" t="str">
        <f t="shared" ca="1" si="11"/>
        <v xml:space="preserve"> </v>
      </c>
      <c r="P108" s="93" t="str">
        <f t="shared" ca="1" si="12"/>
        <v xml:space="preserve"> </v>
      </c>
      <c r="Q108" s="92" t="str">
        <f t="shared" ca="1" si="13"/>
        <v xml:space="preserve"> </v>
      </c>
    </row>
    <row r="109" spans="1:27" ht="9.9" customHeight="1">
      <c r="A109" s="98" t="s">
        <v>2436</v>
      </c>
      <c r="B109" s="97">
        <v>10</v>
      </c>
      <c r="C109" s="96">
        <f t="shared" ca="1" si="0"/>
        <v>1</v>
      </c>
      <c r="D109" s="94">
        <f t="shared" ca="1" si="1"/>
        <v>10</v>
      </c>
      <c r="E109" s="95" t="str">
        <f t="shared" ca="1" si="2"/>
        <v>+</v>
      </c>
      <c r="F109" s="95" t="str">
        <f t="shared" ca="1" si="2"/>
        <v>++</v>
      </c>
      <c r="G109" s="93" t="str">
        <f t="shared" ca="1" si="3"/>
        <v xml:space="preserve"> </v>
      </c>
      <c r="H109" s="93" t="str">
        <f t="shared" ca="1" si="4"/>
        <v xml:space="preserve"> </v>
      </c>
      <c r="I109" s="93" t="str">
        <f t="shared" ca="1" si="5"/>
        <v xml:space="preserve"> </v>
      </c>
      <c r="J109" s="93" t="str">
        <f t="shared" ca="1" si="6"/>
        <v>fidèle</v>
      </c>
      <c r="K109" s="93" t="str">
        <f t="shared" ca="1" si="7"/>
        <v xml:space="preserve"> </v>
      </c>
      <c r="L109" s="93" t="str">
        <f t="shared" ca="1" si="8"/>
        <v xml:space="preserve"> </v>
      </c>
      <c r="M109" s="94">
        <f t="shared" ca="1" si="9"/>
        <v>0</v>
      </c>
      <c r="N109" s="93" t="str">
        <f t="shared" ca="1" si="10"/>
        <v>centre</v>
      </c>
      <c r="O109" s="93" t="str">
        <f t="shared" ca="1" si="11"/>
        <v>protection</v>
      </c>
      <c r="P109" s="93" t="str">
        <f t="shared" ca="1" si="12"/>
        <v xml:space="preserve"> </v>
      </c>
      <c r="Q109" s="92" t="str">
        <f t="shared" ca="1" si="13"/>
        <v xml:space="preserve"> </v>
      </c>
    </row>
    <row r="110" spans="1:27" ht="9.9" customHeight="1">
      <c r="A110" s="98" t="s">
        <v>2436</v>
      </c>
      <c r="B110" s="97">
        <v>10</v>
      </c>
      <c r="C110" s="96">
        <f t="shared" ca="1" si="0"/>
        <v>1</v>
      </c>
      <c r="D110" s="94">
        <f t="shared" ca="1" si="1"/>
        <v>11</v>
      </c>
      <c r="E110" s="95" t="str">
        <f t="shared" ca="1" si="2"/>
        <v>- -</v>
      </c>
      <c r="F110" s="95" t="str">
        <f t="shared" ca="1" si="2"/>
        <v>++</v>
      </c>
      <c r="G110" s="93" t="str">
        <f t="shared" ca="1" si="3"/>
        <v xml:space="preserve"> </v>
      </c>
      <c r="H110" s="93" t="str">
        <f t="shared" ca="1" si="4"/>
        <v xml:space="preserve"> </v>
      </c>
      <c r="I110" s="93" t="str">
        <f t="shared" ca="1" si="5"/>
        <v xml:space="preserve"> </v>
      </c>
      <c r="J110" s="93" t="str">
        <f t="shared" ca="1" si="6"/>
        <v xml:space="preserve"> </v>
      </c>
      <c r="K110" s="93" t="str">
        <f t="shared" ca="1" si="7"/>
        <v xml:space="preserve"> </v>
      </c>
      <c r="L110" s="93" t="str">
        <f t="shared" ca="1" si="8"/>
        <v xml:space="preserve"> </v>
      </c>
      <c r="M110" s="94">
        <f t="shared" ca="1" si="9"/>
        <v>0</v>
      </c>
      <c r="N110" s="93" t="str">
        <f t="shared" ca="1" si="10"/>
        <v xml:space="preserve"> </v>
      </c>
      <c r="O110" s="93" t="str">
        <f t="shared" ca="1" si="11"/>
        <v xml:space="preserve"> </v>
      </c>
      <c r="P110" s="93" t="str">
        <f t="shared" ca="1" si="12"/>
        <v>étrangers</v>
      </c>
      <c r="Q110" s="92" t="str">
        <f t="shared" ca="1" si="13"/>
        <v xml:space="preserve"> </v>
      </c>
    </row>
    <row r="111" spans="1:27" ht="9.9" customHeight="1">
      <c r="A111" s="98" t="s">
        <v>2436</v>
      </c>
      <c r="B111" s="97">
        <v>10</v>
      </c>
      <c r="C111" s="96">
        <f t="shared" ca="1" si="0"/>
        <v>2</v>
      </c>
      <c r="D111" s="94">
        <f t="shared" ca="1" si="1"/>
        <v>10</v>
      </c>
      <c r="E111" s="95" t="str">
        <f t="shared" ca="1" si="2"/>
        <v>-</v>
      </c>
      <c r="F111" s="95" t="str">
        <f t="shared" ca="1" si="2"/>
        <v>=</v>
      </c>
      <c r="G111" s="93" t="str">
        <f t="shared" ca="1" si="3"/>
        <v xml:space="preserve"> </v>
      </c>
      <c r="H111" s="93" t="str">
        <f t="shared" ca="1" si="4"/>
        <v xml:space="preserve"> </v>
      </c>
      <c r="I111" s="93" t="str">
        <f t="shared" ca="1" si="5"/>
        <v xml:space="preserve"> </v>
      </c>
      <c r="J111" s="93" t="str">
        <f t="shared" ca="1" si="6"/>
        <v>félon</v>
      </c>
      <c r="K111" s="93" t="str">
        <f t="shared" ca="1" si="7"/>
        <v xml:space="preserve"> </v>
      </c>
      <c r="L111" s="93" t="str">
        <f t="shared" ca="1" si="8"/>
        <v>fermé</v>
      </c>
      <c r="M111" s="94">
        <f t="shared" ca="1" si="9"/>
        <v>0</v>
      </c>
      <c r="N111" s="93" t="str">
        <f t="shared" ca="1" si="10"/>
        <v xml:space="preserve"> </v>
      </c>
      <c r="O111" s="93" t="str">
        <f t="shared" ca="1" si="11"/>
        <v xml:space="preserve"> </v>
      </c>
      <c r="P111" s="93" t="str">
        <f t="shared" ca="1" si="12"/>
        <v xml:space="preserve"> </v>
      </c>
      <c r="Q111" s="92" t="str">
        <f t="shared" ca="1" si="13"/>
        <v xml:space="preserve"> </v>
      </c>
    </row>
    <row r="112" spans="1:27" ht="9.9" customHeight="1">
      <c r="A112" s="98" t="s">
        <v>2436</v>
      </c>
      <c r="B112" s="97">
        <v>10</v>
      </c>
      <c r="C112" s="96">
        <f t="shared" ca="1" si="0"/>
        <v>1</v>
      </c>
      <c r="D112" s="94">
        <f t="shared" ca="1" si="1"/>
        <v>10</v>
      </c>
      <c r="E112" s="95" t="str">
        <f t="shared" ca="1" si="2"/>
        <v>+</v>
      </c>
      <c r="F112" s="95" t="str">
        <f t="shared" ca="1" si="2"/>
        <v>+</v>
      </c>
      <c r="G112" s="93" t="str">
        <f t="shared" ca="1" si="3"/>
        <v xml:space="preserve"> </v>
      </c>
      <c r="H112" s="93" t="str">
        <f t="shared" ca="1" si="4"/>
        <v xml:space="preserve"> </v>
      </c>
      <c r="I112" s="93" t="str">
        <f t="shared" ca="1" si="5"/>
        <v xml:space="preserve"> </v>
      </c>
      <c r="J112" s="93" t="str">
        <f t="shared" ca="1" si="6"/>
        <v xml:space="preserve"> </v>
      </c>
      <c r="K112" s="93" t="str">
        <f t="shared" ca="1" si="7"/>
        <v>athé</v>
      </c>
      <c r="L112" s="93" t="str">
        <f t="shared" ca="1" si="8"/>
        <v>fermé</v>
      </c>
      <c r="M112" s="94">
        <f t="shared" ca="1" si="9"/>
        <v>0</v>
      </c>
      <c r="N112" s="93" t="str">
        <f t="shared" ca="1" si="10"/>
        <v xml:space="preserve"> </v>
      </c>
      <c r="O112" s="93" t="str">
        <f t="shared" ca="1" si="11"/>
        <v xml:space="preserve"> </v>
      </c>
      <c r="P112" s="93" t="str">
        <f t="shared" ca="1" si="12"/>
        <v xml:space="preserve"> </v>
      </c>
      <c r="Q112" s="92" t="str">
        <f t="shared" ca="1" si="13"/>
        <v xml:space="preserve"> </v>
      </c>
    </row>
    <row r="113" spans="1:17" ht="9.9" customHeight="1">
      <c r="A113" s="91" t="s">
        <v>545</v>
      </c>
      <c r="B113" s="90">
        <v>100</v>
      </c>
      <c r="C113" s="89">
        <f t="shared" ca="1" si="0"/>
        <v>11</v>
      </c>
      <c r="D113" s="87">
        <f t="shared" ca="1" si="1"/>
        <v>114</v>
      </c>
      <c r="E113" s="88" t="str">
        <f t="shared" ca="1" si="2"/>
        <v>=</v>
      </c>
      <c r="F113" s="88" t="str">
        <f t="shared" ca="1" si="2"/>
        <v>=</v>
      </c>
      <c r="G113" s="86" t="str">
        <f t="shared" ca="1" si="3"/>
        <v>Agriculture</v>
      </c>
      <c r="H113" s="86" t="str">
        <f t="shared" ca="1" si="4"/>
        <v xml:space="preserve"> </v>
      </c>
      <c r="I113" s="86" t="str">
        <f t="shared" ca="1" si="5"/>
        <v xml:space="preserve"> </v>
      </c>
      <c r="J113" s="86" t="str">
        <f t="shared" ca="1" si="6"/>
        <v>fidèle</v>
      </c>
      <c r="K113" s="86" t="str">
        <f t="shared" ca="1" si="7"/>
        <v xml:space="preserve"> </v>
      </c>
      <c r="L113" s="86" t="str">
        <f t="shared" ca="1" si="8"/>
        <v xml:space="preserve"> </v>
      </c>
      <c r="M113" s="87">
        <f t="shared" ca="1" si="9"/>
        <v>1</v>
      </c>
      <c r="N113" s="86" t="str">
        <f t="shared" ca="1" si="10"/>
        <v>rien à vendre</v>
      </c>
      <c r="O113" s="86" t="str">
        <f t="shared" ca="1" si="11"/>
        <v>corruption</v>
      </c>
      <c r="P113" s="86" t="str">
        <f t="shared" ca="1" si="12"/>
        <v xml:space="preserve"> </v>
      </c>
      <c r="Q113" s="85" t="str">
        <f t="shared" ca="1" si="13"/>
        <v xml:space="preserve"> </v>
      </c>
    </row>
    <row r="114" spans="1:17" ht="9.9" customHeight="1">
      <c r="A114" s="91" t="s">
        <v>545</v>
      </c>
      <c r="B114" s="90">
        <v>100</v>
      </c>
      <c r="C114" s="89">
        <f t="shared" ref="C114:C121" ca="1" si="14">ROUND(B114/(5+RANDBETWEEN(1,5)),0)</f>
        <v>17</v>
      </c>
      <c r="D114" s="87">
        <f t="shared" ref="D114:D121" ca="1" si="15">ROUND(B114*(100+RANDBETWEEN(1,50)-RANDBETWEEN(1,50))/100,0)</f>
        <v>135</v>
      </c>
      <c r="E114" s="88" t="str">
        <f t="shared" ca="1" si="2"/>
        <v>+</v>
      </c>
      <c r="F114" s="88" t="str">
        <f t="shared" ca="1" si="2"/>
        <v>+</v>
      </c>
      <c r="G114" s="86" t="str">
        <f t="shared" ref="G114:G121" ca="1" si="16">IF(RANDBETWEEN(1,10)&lt;=C114,LOOKUP(RANDBETWEEN(1,100),dé100,primaire)," ")</f>
        <v>Cueillette</v>
      </c>
      <c r="H114" s="86" t="str">
        <f t="shared" ref="H114:H121" ca="1" si="17">IF(RANDBETWEEN(1,50)&lt;=C114,LOOKUP(RANDBETWEEN(1,100),dé100,secondaire)," ")</f>
        <v xml:space="preserve"> </v>
      </c>
      <c r="I114" s="86" t="str">
        <f t="shared" ref="I114:I121" ca="1" si="18">IF(RANDBETWEEN(1,500)&lt;=C114,LOOKUP(RANDBETWEEN(1,100),dé100,tertiaire)," ")</f>
        <v xml:space="preserve"> </v>
      </c>
      <c r="J114" s="86" t="str">
        <f t="shared" ca="1" si="6"/>
        <v>rebelle</v>
      </c>
      <c r="K114" s="86" t="str">
        <f t="shared" ca="1" si="7"/>
        <v xml:space="preserve"> </v>
      </c>
      <c r="L114" s="86" t="str">
        <f t="shared" ca="1" si="8"/>
        <v>méfiant</v>
      </c>
      <c r="M114" s="87">
        <f t="shared" ref="M114:M121" ca="1" si="19">ROUND(C114/(RANDBETWEEN(1,5)+5),0)</f>
        <v>2</v>
      </c>
      <c r="N114" s="86" t="str">
        <f t="shared" ca="1" si="10"/>
        <v xml:space="preserve"> </v>
      </c>
      <c r="O114" s="86" t="str">
        <f t="shared" ca="1" si="11"/>
        <v>meutres</v>
      </c>
      <c r="P114" s="86" t="str">
        <f t="shared" ca="1" si="12"/>
        <v xml:space="preserve"> </v>
      </c>
      <c r="Q114" s="85" t="str">
        <f t="shared" ca="1" si="13"/>
        <v>statue</v>
      </c>
    </row>
    <row r="115" spans="1:17" ht="9.9" customHeight="1">
      <c r="A115" s="91" t="s">
        <v>545</v>
      </c>
      <c r="B115" s="90">
        <v>100</v>
      </c>
      <c r="C115" s="89">
        <f t="shared" ca="1" si="14"/>
        <v>10</v>
      </c>
      <c r="D115" s="87">
        <f t="shared" ca="1" si="15"/>
        <v>87</v>
      </c>
      <c r="E115" s="88" t="str">
        <f t="shared" ca="1" si="2"/>
        <v>=</v>
      </c>
      <c r="F115" s="88" t="str">
        <f t="shared" ca="1" si="2"/>
        <v>-</v>
      </c>
      <c r="G115" s="86" t="str">
        <f t="shared" ca="1" si="16"/>
        <v>Cueillette</v>
      </c>
      <c r="H115" s="86" t="str">
        <f t="shared" ca="1" si="17"/>
        <v xml:space="preserve"> </v>
      </c>
      <c r="I115" s="86" t="str">
        <f t="shared" ca="1" si="18"/>
        <v xml:space="preserve"> </v>
      </c>
      <c r="J115" s="86" t="str">
        <f t="shared" ca="1" si="6"/>
        <v xml:space="preserve"> </v>
      </c>
      <c r="K115" s="86" t="str">
        <f t="shared" ca="1" si="7"/>
        <v>athé</v>
      </c>
      <c r="L115" s="86" t="str">
        <f t="shared" ca="1" si="8"/>
        <v>curieux</v>
      </c>
      <c r="M115" s="87">
        <f t="shared" ca="1" si="19"/>
        <v>1</v>
      </c>
      <c r="N115" s="86" t="str">
        <f t="shared" ca="1" si="10"/>
        <v>désert</v>
      </c>
      <c r="O115" s="86" t="str">
        <f t="shared" ca="1" si="11"/>
        <v>meutres</v>
      </c>
      <c r="P115" s="86" t="str">
        <f t="shared" ca="1" si="12"/>
        <v xml:space="preserve"> </v>
      </c>
      <c r="Q115" s="85" t="str">
        <f t="shared" ca="1" si="13"/>
        <v xml:space="preserve"> </v>
      </c>
    </row>
    <row r="116" spans="1:17" ht="9.9" customHeight="1">
      <c r="A116" s="91" t="s">
        <v>545</v>
      </c>
      <c r="B116" s="90">
        <v>100</v>
      </c>
      <c r="C116" s="89">
        <f t="shared" ca="1" si="14"/>
        <v>13</v>
      </c>
      <c r="D116" s="87">
        <f t="shared" ca="1" si="15"/>
        <v>94</v>
      </c>
      <c r="E116" s="88" t="str">
        <f t="shared" ca="1" si="2"/>
        <v>=</v>
      </c>
      <c r="F116" s="88" t="str">
        <f t="shared" ca="1" si="2"/>
        <v>-</v>
      </c>
      <c r="G116" s="86" t="str">
        <f t="shared" ca="1" si="16"/>
        <v>Agriculture</v>
      </c>
      <c r="H116" s="86" t="str">
        <f t="shared" ca="1" si="17"/>
        <v xml:space="preserve"> </v>
      </c>
      <c r="I116" s="86" t="str">
        <f t="shared" ca="1" si="18"/>
        <v xml:space="preserve"> </v>
      </c>
      <c r="J116" s="86" t="str">
        <f t="shared" ca="1" si="6"/>
        <v xml:space="preserve"> </v>
      </c>
      <c r="K116" s="86" t="str">
        <f t="shared" ca="1" si="7"/>
        <v xml:space="preserve"> </v>
      </c>
      <c r="L116" s="86" t="str">
        <f t="shared" ca="1" si="8"/>
        <v>accueillant</v>
      </c>
      <c r="M116" s="87">
        <f t="shared" ca="1" si="19"/>
        <v>1</v>
      </c>
      <c r="N116" s="86" t="str">
        <f t="shared" ca="1" si="10"/>
        <v>rien à vendre</v>
      </c>
      <c r="O116" s="86" t="str">
        <f t="shared" ca="1" si="11"/>
        <v>créatures</v>
      </c>
      <c r="P116" s="86" t="str">
        <f t="shared" ca="1" si="12"/>
        <v xml:space="preserve"> </v>
      </c>
      <c r="Q116" s="85" t="str">
        <f t="shared" ca="1" si="13"/>
        <v xml:space="preserve"> </v>
      </c>
    </row>
    <row r="117" spans="1:17" ht="9.9" customHeight="1">
      <c r="A117" s="91" t="s">
        <v>545</v>
      </c>
      <c r="B117" s="90">
        <v>100</v>
      </c>
      <c r="C117" s="89">
        <f t="shared" ca="1" si="14"/>
        <v>10</v>
      </c>
      <c r="D117" s="87">
        <f t="shared" ca="1" si="15"/>
        <v>106</v>
      </c>
      <c r="E117" s="88" t="str">
        <f t="shared" ca="1" si="2"/>
        <v>=</v>
      </c>
      <c r="F117" s="88" t="str">
        <f t="shared" ca="1" si="2"/>
        <v>-</v>
      </c>
      <c r="G117" s="86" t="str">
        <f t="shared" ca="1" si="16"/>
        <v>Elevage</v>
      </c>
      <c r="H117" s="86" t="str">
        <f t="shared" ca="1" si="17"/>
        <v xml:space="preserve"> </v>
      </c>
      <c r="I117" s="86" t="str">
        <f t="shared" ca="1" si="18"/>
        <v xml:space="preserve"> </v>
      </c>
      <c r="J117" s="86" t="str">
        <f t="shared" ca="1" si="6"/>
        <v>loyal</v>
      </c>
      <c r="K117" s="86" t="str">
        <f t="shared" ca="1" si="7"/>
        <v xml:space="preserve"> </v>
      </c>
      <c r="L117" s="86" t="str">
        <f t="shared" ca="1" si="8"/>
        <v>accueillant</v>
      </c>
      <c r="M117" s="87">
        <f t="shared" ca="1" si="19"/>
        <v>1</v>
      </c>
      <c r="N117" s="86" t="str">
        <f t="shared" ca="1" si="10"/>
        <v>pas de marché</v>
      </c>
      <c r="O117" s="86" t="str">
        <f t="shared" ca="1" si="11"/>
        <v>protection</v>
      </c>
      <c r="P117" s="86" t="str">
        <f t="shared" ca="1" si="12"/>
        <v xml:space="preserve"> </v>
      </c>
      <c r="Q117" s="85" t="str">
        <f t="shared" ca="1" si="13"/>
        <v xml:space="preserve"> </v>
      </c>
    </row>
    <row r="118" spans="1:17" ht="9.9" customHeight="1">
      <c r="A118" s="91" t="s">
        <v>545</v>
      </c>
      <c r="B118" s="90">
        <v>100</v>
      </c>
      <c r="C118" s="89">
        <f t="shared" ca="1" si="14"/>
        <v>14</v>
      </c>
      <c r="D118" s="87">
        <f t="shared" ca="1" si="15"/>
        <v>110</v>
      </c>
      <c r="E118" s="88" t="str">
        <f t="shared" ca="1" si="2"/>
        <v>++</v>
      </c>
      <c r="F118" s="88" t="str">
        <f t="shared" ca="1" si="2"/>
        <v>+</v>
      </c>
      <c r="G118" s="86" t="str">
        <f t="shared" ca="1" si="16"/>
        <v>Bois</v>
      </c>
      <c r="H118" s="86" t="str">
        <f t="shared" ca="1" si="17"/>
        <v xml:space="preserve"> </v>
      </c>
      <c r="I118" s="86" t="str">
        <f t="shared" ca="1" si="18"/>
        <v xml:space="preserve"> </v>
      </c>
      <c r="J118" s="86" t="str">
        <f t="shared" ca="1" si="6"/>
        <v xml:space="preserve"> </v>
      </c>
      <c r="K118" s="86" t="str">
        <f t="shared" ca="1" si="7"/>
        <v>pratiques</v>
      </c>
      <c r="L118" s="86" t="str">
        <f t="shared" ca="1" si="8"/>
        <v>très accueillant</v>
      </c>
      <c r="M118" s="87">
        <f t="shared" ca="1" si="19"/>
        <v>2</v>
      </c>
      <c r="N118" s="86" t="str">
        <f t="shared" ca="1" si="10"/>
        <v xml:space="preserve"> </v>
      </c>
      <c r="O118" s="86" t="str">
        <f t="shared" ca="1" si="11"/>
        <v>protection</v>
      </c>
      <c r="P118" s="86" t="str">
        <f t="shared" ca="1" si="12"/>
        <v xml:space="preserve"> </v>
      </c>
      <c r="Q118" s="85" t="str">
        <f t="shared" ca="1" si="13"/>
        <v xml:space="preserve"> </v>
      </c>
    </row>
    <row r="119" spans="1:17" ht="9.9" customHeight="1">
      <c r="A119" s="91" t="s">
        <v>545</v>
      </c>
      <c r="B119" s="90">
        <v>100</v>
      </c>
      <c r="C119" s="89">
        <f t="shared" ca="1" si="14"/>
        <v>11</v>
      </c>
      <c r="D119" s="87">
        <f t="shared" ca="1" si="15"/>
        <v>105</v>
      </c>
      <c r="E119" s="88" t="str">
        <f t="shared" ca="1" si="2"/>
        <v>++</v>
      </c>
      <c r="F119" s="88" t="str">
        <f t="shared" ca="1" si="2"/>
        <v>+</v>
      </c>
      <c r="G119" s="86" t="str">
        <f t="shared" ca="1" si="16"/>
        <v>Elevage</v>
      </c>
      <c r="H119" s="86" t="str">
        <f t="shared" ca="1" si="17"/>
        <v xml:space="preserve"> </v>
      </c>
      <c r="I119" s="86" t="str">
        <f t="shared" ca="1" si="18"/>
        <v>Architecture</v>
      </c>
      <c r="J119" s="86" t="str">
        <f t="shared" ca="1" si="6"/>
        <v xml:space="preserve"> </v>
      </c>
      <c r="K119" s="86" t="str">
        <f t="shared" ca="1" si="7"/>
        <v>païen</v>
      </c>
      <c r="L119" s="86" t="str">
        <f t="shared" ca="1" si="8"/>
        <v>fermé</v>
      </c>
      <c r="M119" s="87">
        <f t="shared" ca="1" si="19"/>
        <v>1</v>
      </c>
      <c r="N119" s="86" t="str">
        <f t="shared" ca="1" si="10"/>
        <v>pas de marché</v>
      </c>
      <c r="O119" s="86" t="str">
        <f t="shared" ca="1" si="11"/>
        <v>protection</v>
      </c>
      <c r="P119" s="86" t="str">
        <f t="shared" ca="1" si="12"/>
        <v xml:space="preserve"> </v>
      </c>
      <c r="Q119" s="85" t="str">
        <f t="shared" ca="1" si="13"/>
        <v xml:space="preserve"> </v>
      </c>
    </row>
    <row r="120" spans="1:17" ht="9.9" customHeight="1">
      <c r="A120" s="91" t="s">
        <v>545</v>
      </c>
      <c r="B120" s="90">
        <v>100</v>
      </c>
      <c r="C120" s="89">
        <f t="shared" ca="1" si="14"/>
        <v>11</v>
      </c>
      <c r="D120" s="87">
        <f t="shared" ca="1" si="15"/>
        <v>119</v>
      </c>
      <c r="E120" s="88" t="str">
        <f t="shared" ca="1" si="2"/>
        <v>+</v>
      </c>
      <c r="F120" s="88" t="str">
        <f t="shared" ca="1" si="2"/>
        <v>-</v>
      </c>
      <c r="G120" s="86" t="str">
        <f t="shared" ca="1" si="16"/>
        <v>Agriculture</v>
      </c>
      <c r="H120" s="86" t="str">
        <f t="shared" ca="1" si="17"/>
        <v>Artisanat</v>
      </c>
      <c r="I120" s="86" t="str">
        <f t="shared" ca="1" si="18"/>
        <v xml:space="preserve"> </v>
      </c>
      <c r="J120" s="86" t="str">
        <f t="shared" ca="1" si="6"/>
        <v xml:space="preserve"> </v>
      </c>
      <c r="K120" s="86" t="str">
        <f t="shared" ca="1" si="7"/>
        <v xml:space="preserve"> </v>
      </c>
      <c r="L120" s="86" t="str">
        <f t="shared" ca="1" si="8"/>
        <v>xénophobe</v>
      </c>
      <c r="M120" s="87">
        <f t="shared" ca="1" si="19"/>
        <v>2</v>
      </c>
      <c r="N120" s="86" t="str">
        <f t="shared" ca="1" si="10"/>
        <v>pas de marché</v>
      </c>
      <c r="O120" s="86" t="str">
        <f t="shared" ca="1" si="11"/>
        <v xml:space="preserve"> </v>
      </c>
      <c r="P120" s="86" t="str">
        <f t="shared" ca="1" si="12"/>
        <v xml:space="preserve"> </v>
      </c>
      <c r="Q120" s="85" t="str">
        <f t="shared" ca="1" si="13"/>
        <v xml:space="preserve"> </v>
      </c>
    </row>
    <row r="121" spans="1:17" ht="9.9" customHeight="1">
      <c r="A121" s="91" t="s">
        <v>545</v>
      </c>
      <c r="B121" s="90">
        <v>100</v>
      </c>
      <c r="C121" s="89">
        <f t="shared" ca="1" si="14"/>
        <v>14</v>
      </c>
      <c r="D121" s="87">
        <f t="shared" ca="1" si="15"/>
        <v>95</v>
      </c>
      <c r="E121" s="88" t="str">
        <f t="shared" ca="1" si="2"/>
        <v>-</v>
      </c>
      <c r="F121" s="88" t="str">
        <f t="shared" ca="1" si="2"/>
        <v>- -</v>
      </c>
      <c r="G121" s="86" t="str">
        <f t="shared" ca="1" si="16"/>
        <v>Bois</v>
      </c>
      <c r="H121" s="86" t="str">
        <f t="shared" ca="1" si="17"/>
        <v xml:space="preserve"> </v>
      </c>
      <c r="I121" s="86" t="str">
        <f t="shared" ca="1" si="18"/>
        <v xml:space="preserve"> </v>
      </c>
      <c r="J121" s="86" t="str">
        <f t="shared" ca="1" si="6"/>
        <v>fidèle</v>
      </c>
      <c r="K121" s="86" t="str">
        <f t="shared" ca="1" si="7"/>
        <v>opposé</v>
      </c>
      <c r="L121" s="86" t="str">
        <f t="shared" ca="1" si="8"/>
        <v>tolérant</v>
      </c>
      <c r="M121" s="87">
        <f t="shared" ca="1" si="19"/>
        <v>2</v>
      </c>
      <c r="N121" s="86" t="str">
        <f t="shared" ca="1" si="10"/>
        <v xml:space="preserve"> </v>
      </c>
      <c r="O121" s="86" t="str">
        <f t="shared" ca="1" si="11"/>
        <v xml:space="preserve"> </v>
      </c>
      <c r="P121" s="86" t="str">
        <f t="shared" ca="1" si="12"/>
        <v xml:space="preserve"> </v>
      </c>
      <c r="Q121" s="85" t="str">
        <f t="shared" ca="1" si="13"/>
        <v xml:space="preserve"> </v>
      </c>
    </row>
    <row r="122" spans="1:17" ht="9.9" customHeight="1">
      <c r="A122" s="91" t="s">
        <v>545</v>
      </c>
      <c r="B122" s="90">
        <v>100</v>
      </c>
      <c r="C122" s="89">
        <f t="shared" ca="1" si="0"/>
        <v>14</v>
      </c>
      <c r="D122" s="87">
        <f t="shared" ca="1" si="1"/>
        <v>127</v>
      </c>
      <c r="E122" s="88" t="str">
        <f t="shared" ca="1" si="2"/>
        <v>+</v>
      </c>
      <c r="F122" s="88" t="str">
        <f t="shared" ca="1" si="2"/>
        <v>- - -</v>
      </c>
      <c r="G122" s="86" t="str">
        <f t="shared" ca="1" si="3"/>
        <v>Minerai</v>
      </c>
      <c r="H122" s="86" t="str">
        <f t="shared" ca="1" si="4"/>
        <v xml:space="preserve"> </v>
      </c>
      <c r="I122" s="86" t="str">
        <f t="shared" ca="1" si="5"/>
        <v xml:space="preserve"> </v>
      </c>
      <c r="J122" s="86" t="str">
        <f t="shared" ca="1" si="6"/>
        <v xml:space="preserve"> </v>
      </c>
      <c r="K122" s="86" t="str">
        <f t="shared" ca="1" si="7"/>
        <v xml:space="preserve"> </v>
      </c>
      <c r="L122" s="86" t="str">
        <f t="shared" ca="1" si="8"/>
        <v xml:space="preserve"> </v>
      </c>
      <c r="M122" s="87">
        <f t="shared" ca="1" si="9"/>
        <v>2</v>
      </c>
      <c r="N122" s="86" t="str">
        <f t="shared" ca="1" si="10"/>
        <v>guilde</v>
      </c>
      <c r="O122" s="86" t="str">
        <f t="shared" ca="1" si="11"/>
        <v>tranquille</v>
      </c>
      <c r="P122" s="86" t="str">
        <f t="shared" ca="1" si="12"/>
        <v xml:space="preserve"> </v>
      </c>
      <c r="Q122" s="85" t="str">
        <f t="shared" ca="1" si="13"/>
        <v xml:space="preserve"> </v>
      </c>
    </row>
    <row r="123" spans="1:17" ht="9.9" customHeight="1">
      <c r="A123" s="91" t="s">
        <v>545</v>
      </c>
      <c r="B123" s="90">
        <v>100</v>
      </c>
      <c r="C123" s="89">
        <f t="shared" ca="1" si="0"/>
        <v>11</v>
      </c>
      <c r="D123" s="87">
        <f t="shared" ca="1" si="1"/>
        <v>86</v>
      </c>
      <c r="E123" s="88" t="str">
        <f t="shared" ca="1" si="2"/>
        <v>++</v>
      </c>
      <c r="F123" s="88" t="str">
        <f t="shared" ca="1" si="2"/>
        <v>- -</v>
      </c>
      <c r="G123" s="86" t="str">
        <f t="shared" ca="1" si="3"/>
        <v>Pêche</v>
      </c>
      <c r="H123" s="86" t="str">
        <f t="shared" ca="1" si="4"/>
        <v xml:space="preserve"> </v>
      </c>
      <c r="I123" s="86" t="str">
        <f t="shared" ca="1" si="5"/>
        <v xml:space="preserve"> </v>
      </c>
      <c r="J123" s="86" t="str">
        <f t="shared" ca="1" si="6"/>
        <v xml:space="preserve"> </v>
      </c>
      <c r="K123" s="86" t="str">
        <f t="shared" ca="1" si="7"/>
        <v>fervent</v>
      </c>
      <c r="L123" s="86" t="str">
        <f t="shared" ca="1" si="8"/>
        <v>repoussant</v>
      </c>
      <c r="M123" s="87">
        <f t="shared" ca="1" si="9"/>
        <v>2</v>
      </c>
      <c r="N123" s="86" t="str">
        <f t="shared" ca="1" si="10"/>
        <v>centre</v>
      </c>
      <c r="O123" s="86" t="str">
        <f t="shared" ca="1" si="11"/>
        <v>protection</v>
      </c>
      <c r="P123" s="86" t="str">
        <f t="shared" ca="1" si="12"/>
        <v xml:space="preserve"> </v>
      </c>
      <c r="Q123" s="85" t="str">
        <f t="shared" ca="1" si="13"/>
        <v xml:space="preserve"> </v>
      </c>
    </row>
    <row r="124" spans="1:17" ht="9.9" customHeight="1">
      <c r="A124" s="91" t="s">
        <v>545</v>
      </c>
      <c r="B124" s="90">
        <v>100</v>
      </c>
      <c r="C124" s="89">
        <f t="shared" ca="1" si="0"/>
        <v>14</v>
      </c>
      <c r="D124" s="87">
        <f t="shared" ca="1" si="1"/>
        <v>81</v>
      </c>
      <c r="E124" s="88" t="str">
        <f t="shared" ca="1" si="2"/>
        <v>+</v>
      </c>
      <c r="F124" s="88" t="str">
        <f t="shared" ca="1" si="2"/>
        <v>+</v>
      </c>
      <c r="G124" s="86" t="str">
        <f t="shared" ca="1" si="3"/>
        <v>Chasse</v>
      </c>
      <c r="H124" s="86" t="str">
        <f t="shared" ca="1" si="4"/>
        <v xml:space="preserve"> </v>
      </c>
      <c r="I124" s="86" t="str">
        <f t="shared" ca="1" si="5"/>
        <v xml:space="preserve"> </v>
      </c>
      <c r="J124" s="86" t="str">
        <f t="shared" ca="1" si="6"/>
        <v xml:space="preserve"> </v>
      </c>
      <c r="K124" s="86" t="str">
        <f t="shared" ca="1" si="7"/>
        <v xml:space="preserve"> </v>
      </c>
      <c r="L124" s="86" t="str">
        <f t="shared" ca="1" si="8"/>
        <v xml:space="preserve"> </v>
      </c>
      <c r="M124" s="87">
        <f t="shared" ca="1" si="9"/>
        <v>2</v>
      </c>
      <c r="N124" s="86" t="str">
        <f t="shared" ca="1" si="10"/>
        <v>peu d'échanges</v>
      </c>
      <c r="O124" s="86" t="str">
        <f t="shared" ca="1" si="11"/>
        <v>créatures</v>
      </c>
      <c r="P124" s="86" t="str">
        <f t="shared" ca="1" si="12"/>
        <v xml:space="preserve"> </v>
      </c>
      <c r="Q124" s="85" t="str">
        <f t="shared" ca="1" si="13"/>
        <v xml:space="preserve"> </v>
      </c>
    </row>
    <row r="125" spans="1:17" ht="9.9" customHeight="1">
      <c r="A125" s="91" t="s">
        <v>545</v>
      </c>
      <c r="B125" s="90">
        <v>100</v>
      </c>
      <c r="C125" s="89">
        <f t="shared" ca="1" si="0"/>
        <v>10</v>
      </c>
      <c r="D125" s="87">
        <f t="shared" ca="1" si="1"/>
        <v>79</v>
      </c>
      <c r="E125" s="88" t="str">
        <f t="shared" ca="1" si="2"/>
        <v>=</v>
      </c>
      <c r="F125" s="88" t="str">
        <f t="shared" ca="1" si="2"/>
        <v>-</v>
      </c>
      <c r="G125" s="86" t="str">
        <f t="shared" ca="1" si="3"/>
        <v>Elevage</v>
      </c>
      <c r="H125" s="86" t="str">
        <f t="shared" ca="1" si="4"/>
        <v xml:space="preserve"> </v>
      </c>
      <c r="I125" s="86" t="str">
        <f t="shared" ca="1" si="5"/>
        <v xml:space="preserve"> </v>
      </c>
      <c r="J125" s="86" t="str">
        <f t="shared" ca="1" si="6"/>
        <v>très loyal</v>
      </c>
      <c r="K125" s="86" t="str">
        <f t="shared" ca="1" si="7"/>
        <v>chasse</v>
      </c>
      <c r="L125" s="86" t="str">
        <f t="shared" ca="1" si="8"/>
        <v>xénophobe</v>
      </c>
      <c r="M125" s="87">
        <f t="shared" ca="1" si="9"/>
        <v>1</v>
      </c>
      <c r="N125" s="86" t="str">
        <f t="shared" ca="1" si="10"/>
        <v xml:space="preserve"> </v>
      </c>
      <c r="O125" s="86" t="str">
        <f t="shared" ca="1" si="11"/>
        <v>corruption</v>
      </c>
      <c r="P125" s="86" t="str">
        <f t="shared" ca="1" si="12"/>
        <v xml:space="preserve"> </v>
      </c>
      <c r="Q125" s="85" t="str">
        <f t="shared" ca="1" si="13"/>
        <v xml:space="preserve"> </v>
      </c>
    </row>
    <row r="126" spans="1:17" ht="9.9" customHeight="1">
      <c r="A126" s="91" t="s">
        <v>545</v>
      </c>
      <c r="B126" s="90">
        <v>100</v>
      </c>
      <c r="C126" s="89">
        <f t="shared" ca="1" si="0"/>
        <v>14</v>
      </c>
      <c r="D126" s="87">
        <f t="shared" ca="1" si="1"/>
        <v>127</v>
      </c>
      <c r="E126" s="88" t="str">
        <f t="shared" ca="1" si="2"/>
        <v>- -</v>
      </c>
      <c r="F126" s="88" t="str">
        <f t="shared" ca="1" si="2"/>
        <v>-</v>
      </c>
      <c r="G126" s="86" t="str">
        <f t="shared" ca="1" si="3"/>
        <v>Chasse</v>
      </c>
      <c r="H126" s="86" t="str">
        <f t="shared" ca="1" si="4"/>
        <v xml:space="preserve"> </v>
      </c>
      <c r="I126" s="86" t="str">
        <f t="shared" ca="1" si="5"/>
        <v xml:space="preserve"> </v>
      </c>
      <c r="J126" s="86" t="str">
        <f t="shared" ca="1" si="6"/>
        <v xml:space="preserve"> </v>
      </c>
      <c r="K126" s="86" t="str">
        <f t="shared" ca="1" si="7"/>
        <v>très fervent</v>
      </c>
      <c r="L126" s="86" t="str">
        <f t="shared" ca="1" si="8"/>
        <v xml:space="preserve"> </v>
      </c>
      <c r="M126" s="87">
        <f t="shared" ca="1" si="9"/>
        <v>2</v>
      </c>
      <c r="N126" s="86" t="str">
        <f t="shared" ca="1" si="10"/>
        <v>marché</v>
      </c>
      <c r="O126" s="86" t="str">
        <f t="shared" ca="1" si="11"/>
        <v xml:space="preserve"> </v>
      </c>
      <c r="P126" s="86" t="str">
        <f t="shared" ca="1" si="12"/>
        <v xml:space="preserve"> </v>
      </c>
      <c r="Q126" s="85" t="str">
        <f t="shared" ca="1" si="13"/>
        <v xml:space="preserve"> </v>
      </c>
    </row>
    <row r="127" spans="1:17" ht="9.9" customHeight="1">
      <c r="A127" s="91" t="s">
        <v>545</v>
      </c>
      <c r="B127" s="90">
        <v>100</v>
      </c>
      <c r="C127" s="89">
        <f t="shared" ca="1" si="0"/>
        <v>14</v>
      </c>
      <c r="D127" s="87">
        <f t="shared" ca="1" si="1"/>
        <v>107</v>
      </c>
      <c r="E127" s="88" t="str">
        <f t="shared" ca="1" si="2"/>
        <v>=</v>
      </c>
      <c r="F127" s="88" t="str">
        <f t="shared" ca="1" si="2"/>
        <v>+++</v>
      </c>
      <c r="G127" s="86" t="str">
        <f t="shared" ca="1" si="3"/>
        <v>Agriculture</v>
      </c>
      <c r="H127" s="86" t="str">
        <f t="shared" ca="1" si="4"/>
        <v xml:space="preserve"> </v>
      </c>
      <c r="I127" s="86" t="str">
        <f t="shared" ca="1" si="5"/>
        <v xml:space="preserve"> </v>
      </c>
      <c r="J127" s="86" t="str">
        <f t="shared" ca="1" si="6"/>
        <v>fidèle</v>
      </c>
      <c r="K127" s="86" t="str">
        <f t="shared" ca="1" si="7"/>
        <v>fervent</v>
      </c>
      <c r="L127" s="86" t="str">
        <f t="shared" ca="1" si="8"/>
        <v>xénophobe</v>
      </c>
      <c r="M127" s="87">
        <f t="shared" ca="1" si="9"/>
        <v>2</v>
      </c>
      <c r="N127" s="86" t="str">
        <f t="shared" ca="1" si="10"/>
        <v xml:space="preserve"> </v>
      </c>
      <c r="O127" s="86" t="str">
        <f t="shared" ca="1" si="11"/>
        <v xml:space="preserve"> </v>
      </c>
      <c r="P127" s="86" t="str">
        <f t="shared" ca="1" si="12"/>
        <v xml:space="preserve"> </v>
      </c>
      <c r="Q127" s="85" t="str">
        <f t="shared" ca="1" si="13"/>
        <v xml:space="preserve"> </v>
      </c>
    </row>
    <row r="128" spans="1:17" ht="9.9" customHeight="1">
      <c r="A128" s="91" t="s">
        <v>545</v>
      </c>
      <c r="B128" s="90">
        <v>100</v>
      </c>
      <c r="C128" s="89">
        <f t="shared" ca="1" si="0"/>
        <v>17</v>
      </c>
      <c r="D128" s="87">
        <f t="shared" ca="1" si="1"/>
        <v>117</v>
      </c>
      <c r="E128" s="88" t="str">
        <f t="shared" ca="1" si="2"/>
        <v>++</v>
      </c>
      <c r="F128" s="88" t="str">
        <f t="shared" ca="1" si="2"/>
        <v>=</v>
      </c>
      <c r="G128" s="86" t="str">
        <f t="shared" ca="1" si="3"/>
        <v>Elevage</v>
      </c>
      <c r="H128" s="86" t="str">
        <f t="shared" ca="1" si="4"/>
        <v>Artisanat</v>
      </c>
      <c r="I128" s="86" t="str">
        <f t="shared" ca="1" si="5"/>
        <v xml:space="preserve"> </v>
      </c>
      <c r="J128" s="86" t="str">
        <f t="shared" ca="1" si="6"/>
        <v xml:space="preserve"> </v>
      </c>
      <c r="K128" s="86" t="str">
        <f t="shared" ca="1" si="7"/>
        <v xml:space="preserve"> </v>
      </c>
      <c r="L128" s="86" t="str">
        <f t="shared" ca="1" si="8"/>
        <v xml:space="preserve"> </v>
      </c>
      <c r="M128" s="87">
        <f t="shared" ca="1" si="9"/>
        <v>2</v>
      </c>
      <c r="N128" s="86" t="str">
        <f t="shared" ca="1" si="10"/>
        <v xml:space="preserve"> </v>
      </c>
      <c r="O128" s="86" t="str">
        <f t="shared" ca="1" si="11"/>
        <v xml:space="preserve"> </v>
      </c>
      <c r="P128" s="86" t="str">
        <f t="shared" ca="1" si="12"/>
        <v xml:space="preserve"> </v>
      </c>
      <c r="Q128" s="85" t="str">
        <f t="shared" ca="1" si="13"/>
        <v xml:space="preserve"> </v>
      </c>
    </row>
    <row r="129" spans="1:17" ht="9.9" customHeight="1">
      <c r="A129" s="91" t="s">
        <v>545</v>
      </c>
      <c r="B129" s="90">
        <v>100</v>
      </c>
      <c r="C129" s="89">
        <f t="shared" ca="1" si="0"/>
        <v>13</v>
      </c>
      <c r="D129" s="87">
        <f t="shared" ca="1" si="1"/>
        <v>134</v>
      </c>
      <c r="E129" s="88" t="str">
        <f t="shared" ca="1" si="2"/>
        <v>=</v>
      </c>
      <c r="F129" s="88" t="str">
        <f t="shared" ca="1" si="2"/>
        <v>=</v>
      </c>
      <c r="G129" s="86" t="str">
        <f t="shared" ca="1" si="3"/>
        <v>Bois</v>
      </c>
      <c r="H129" s="86" t="str">
        <f t="shared" ca="1" si="4"/>
        <v xml:space="preserve"> </v>
      </c>
      <c r="I129" s="86" t="str">
        <f t="shared" ca="1" si="5"/>
        <v xml:space="preserve"> </v>
      </c>
      <c r="J129" s="86" t="str">
        <f t="shared" ca="1" si="6"/>
        <v>très loyal</v>
      </c>
      <c r="K129" s="86" t="str">
        <f t="shared" ca="1" si="7"/>
        <v xml:space="preserve"> </v>
      </c>
      <c r="L129" s="86" t="str">
        <f t="shared" ca="1" si="8"/>
        <v xml:space="preserve"> </v>
      </c>
      <c r="M129" s="87">
        <f t="shared" ca="1" si="9"/>
        <v>2</v>
      </c>
      <c r="N129" s="86" t="str">
        <f t="shared" ca="1" si="10"/>
        <v>marché</v>
      </c>
      <c r="O129" s="86" t="str">
        <f t="shared" ca="1" si="11"/>
        <v>brigands</v>
      </c>
      <c r="P129" s="86" t="str">
        <f t="shared" ca="1" si="12"/>
        <v xml:space="preserve"> </v>
      </c>
      <c r="Q129" s="85" t="str">
        <f t="shared" ca="1" si="13"/>
        <v xml:space="preserve"> </v>
      </c>
    </row>
    <row r="130" spans="1:17" ht="9.9" customHeight="1">
      <c r="A130" s="91" t="s">
        <v>545</v>
      </c>
      <c r="B130" s="90">
        <v>100</v>
      </c>
      <c r="C130" s="89">
        <f t="shared" ca="1" si="0"/>
        <v>17</v>
      </c>
      <c r="D130" s="87">
        <f t="shared" ca="1" si="1"/>
        <v>108</v>
      </c>
      <c r="E130" s="88" t="str">
        <f t="shared" ca="1" si="2"/>
        <v>-</v>
      </c>
      <c r="F130" s="88" t="str">
        <f t="shared" ca="1" si="2"/>
        <v>-</v>
      </c>
      <c r="G130" s="86" t="str">
        <f t="shared" ca="1" si="3"/>
        <v>Chasse</v>
      </c>
      <c r="H130" s="86" t="str">
        <f t="shared" ca="1" si="4"/>
        <v xml:space="preserve"> </v>
      </c>
      <c r="I130" s="86" t="str">
        <f t="shared" ca="1" si="5"/>
        <v xml:space="preserve"> </v>
      </c>
      <c r="J130" s="86" t="str">
        <f t="shared" ca="1" si="6"/>
        <v xml:space="preserve"> </v>
      </c>
      <c r="K130" s="86" t="str">
        <f t="shared" ca="1" si="7"/>
        <v xml:space="preserve"> </v>
      </c>
      <c r="L130" s="86" t="str">
        <f t="shared" ca="1" si="8"/>
        <v>fermé</v>
      </c>
      <c r="M130" s="87">
        <f t="shared" ca="1" si="9"/>
        <v>2</v>
      </c>
      <c r="N130" s="86" t="str">
        <f t="shared" ca="1" si="10"/>
        <v xml:space="preserve"> </v>
      </c>
      <c r="O130" s="86" t="str">
        <f t="shared" ca="1" si="11"/>
        <v>créatures</v>
      </c>
      <c r="P130" s="86" t="str">
        <f t="shared" ca="1" si="12"/>
        <v xml:space="preserve"> </v>
      </c>
      <c r="Q130" s="85" t="str">
        <f t="shared" ca="1" si="13"/>
        <v xml:space="preserve"> </v>
      </c>
    </row>
    <row r="131" spans="1:17" ht="9.9" customHeight="1">
      <c r="A131" s="98" t="s">
        <v>544</v>
      </c>
      <c r="B131" s="97">
        <v>500</v>
      </c>
      <c r="C131" s="96">
        <f t="shared" ca="1" si="0"/>
        <v>63</v>
      </c>
      <c r="D131" s="94">
        <f t="shared" ca="1" si="1"/>
        <v>545</v>
      </c>
      <c r="E131" s="95" t="str">
        <f t="shared" ca="1" si="2"/>
        <v>-</v>
      </c>
      <c r="F131" s="95" t="str">
        <f t="shared" ca="1" si="2"/>
        <v>=</v>
      </c>
      <c r="G131" s="93" t="str">
        <f t="shared" ca="1" si="3"/>
        <v>Cueillette</v>
      </c>
      <c r="H131" s="93" t="str">
        <f t="shared" ca="1" si="4"/>
        <v>Peaux</v>
      </c>
      <c r="I131" s="93" t="str">
        <f t="shared" ca="1" si="5"/>
        <v xml:space="preserve"> </v>
      </c>
      <c r="J131" s="93" t="str">
        <f t="shared" ca="1" si="6"/>
        <v>fidèle</v>
      </c>
      <c r="K131" s="93" t="str">
        <f t="shared" ca="1" si="7"/>
        <v xml:space="preserve"> </v>
      </c>
      <c r="L131" s="93" t="str">
        <f t="shared" ca="1" si="8"/>
        <v>curieux</v>
      </c>
      <c r="M131" s="94">
        <f t="shared" ca="1" si="9"/>
        <v>9</v>
      </c>
      <c r="N131" s="93" t="str">
        <f t="shared" ca="1" si="10"/>
        <v xml:space="preserve"> </v>
      </c>
      <c r="O131" s="93" t="str">
        <f t="shared" ca="1" si="11"/>
        <v xml:space="preserve"> </v>
      </c>
      <c r="P131" s="93" t="str">
        <f t="shared" ca="1" si="12"/>
        <v xml:space="preserve"> </v>
      </c>
      <c r="Q131" s="92" t="str">
        <f t="shared" ca="1" si="13"/>
        <v xml:space="preserve"> </v>
      </c>
    </row>
    <row r="132" spans="1:17" ht="9.9" customHeight="1">
      <c r="A132" s="98" t="s">
        <v>544</v>
      </c>
      <c r="B132" s="97">
        <v>500</v>
      </c>
      <c r="C132" s="96">
        <f t="shared" ref="C132:C139" ca="1" si="20">ROUND(B132/(5+RANDBETWEEN(1,5)),0)</f>
        <v>50</v>
      </c>
      <c r="D132" s="94">
        <f t="shared" ref="D132:D139" ca="1" si="21">ROUND(B132*(100+RANDBETWEEN(1,50)-RANDBETWEEN(1,50))/100,0)</f>
        <v>515</v>
      </c>
      <c r="E132" s="95" t="str">
        <f t="shared" ref="E132:F139" ca="1" si="22">LOOKUP(RANDBETWEEN(1,100),dé100,richesse)</f>
        <v>+</v>
      </c>
      <c r="F132" s="95" t="str">
        <f t="shared" ca="1" si="22"/>
        <v>=</v>
      </c>
      <c r="G132" s="93" t="str">
        <f t="shared" ref="G132:G139" ca="1" si="23">IF(RANDBETWEEN(1,10)&lt;=C132,LOOKUP(RANDBETWEEN(1,100),dé100,primaire)," ")</f>
        <v>Végétal</v>
      </c>
      <c r="H132" s="93" t="str">
        <f t="shared" ref="H132:H139" ca="1" si="24">IF(RANDBETWEEN(1,50)&lt;=C132,LOOKUP(RANDBETWEEN(1,100),dé100,secondaire)," ")</f>
        <v>Artisanat</v>
      </c>
      <c r="I132" s="93" t="str">
        <f t="shared" ref="I132:I139" ca="1" si="25">IF(RANDBETWEEN(1,500)&lt;=C132,LOOKUP(RANDBETWEEN(1,100),dé100,tertiaire)," ")</f>
        <v>Art nob/pop</v>
      </c>
      <c r="J132" s="93" t="str">
        <f t="shared" ca="1" si="6"/>
        <v>opposé</v>
      </c>
      <c r="K132" s="93" t="str">
        <f t="shared" ca="1" si="7"/>
        <v xml:space="preserve"> </v>
      </c>
      <c r="L132" s="93" t="str">
        <f t="shared" ca="1" si="8"/>
        <v>méfiant</v>
      </c>
      <c r="M132" s="94">
        <f t="shared" ref="M132:M139" ca="1" si="26">ROUND(C132/(RANDBETWEEN(1,5)+5),0)</f>
        <v>7</v>
      </c>
      <c r="N132" s="93" t="str">
        <f t="shared" ca="1" si="10"/>
        <v xml:space="preserve"> </v>
      </c>
      <c r="O132" s="93" t="str">
        <f t="shared" ca="1" si="11"/>
        <v>corruption</v>
      </c>
      <c r="P132" s="93" t="str">
        <f t="shared" ca="1" si="12"/>
        <v xml:space="preserve"> </v>
      </c>
      <c r="Q132" s="92" t="str">
        <f t="shared" ca="1" si="13"/>
        <v xml:space="preserve"> </v>
      </c>
    </row>
    <row r="133" spans="1:17" ht="9.9" customHeight="1">
      <c r="A133" s="98" t="s">
        <v>544</v>
      </c>
      <c r="B133" s="97">
        <v>500</v>
      </c>
      <c r="C133" s="96">
        <f t="shared" ca="1" si="20"/>
        <v>63</v>
      </c>
      <c r="D133" s="94">
        <f t="shared" ca="1" si="21"/>
        <v>635</v>
      </c>
      <c r="E133" s="95" t="str">
        <f t="shared" ca="1" si="22"/>
        <v>=</v>
      </c>
      <c r="F133" s="95" t="str">
        <f t="shared" ca="1" si="22"/>
        <v>- - -</v>
      </c>
      <c r="G133" s="93" t="str">
        <f t="shared" ca="1" si="23"/>
        <v>Pêche</v>
      </c>
      <c r="H133" s="93" t="str">
        <f t="shared" ca="1" si="24"/>
        <v>Artisanat</v>
      </c>
      <c r="I133" s="93" t="str">
        <f t="shared" ca="1" si="25"/>
        <v xml:space="preserve"> </v>
      </c>
      <c r="J133" s="93" t="str">
        <f t="shared" ca="1" si="6"/>
        <v xml:space="preserve"> </v>
      </c>
      <c r="K133" s="93" t="str">
        <f t="shared" ca="1" si="7"/>
        <v xml:space="preserve"> </v>
      </c>
      <c r="L133" s="93" t="str">
        <f t="shared" ca="1" si="8"/>
        <v xml:space="preserve"> </v>
      </c>
      <c r="M133" s="94">
        <f t="shared" ca="1" si="26"/>
        <v>7</v>
      </c>
      <c r="N133" s="93" t="str">
        <f t="shared" ca="1" si="10"/>
        <v xml:space="preserve"> </v>
      </c>
      <c r="O133" s="93" t="str">
        <f t="shared" ca="1" si="11"/>
        <v>très sûr</v>
      </c>
      <c r="P133" s="93" t="str">
        <f t="shared" ca="1" si="12"/>
        <v xml:space="preserve"> </v>
      </c>
      <c r="Q133" s="92" t="str">
        <f t="shared" ca="1" si="13"/>
        <v xml:space="preserve"> </v>
      </c>
    </row>
    <row r="134" spans="1:17" ht="9.9" customHeight="1">
      <c r="A134" s="98" t="s">
        <v>544</v>
      </c>
      <c r="B134" s="97">
        <v>500</v>
      </c>
      <c r="C134" s="96">
        <f t="shared" ca="1" si="20"/>
        <v>71</v>
      </c>
      <c r="D134" s="94">
        <f t="shared" ca="1" si="21"/>
        <v>565</v>
      </c>
      <c r="E134" s="95" t="str">
        <f t="shared" ca="1" si="22"/>
        <v>- - -</v>
      </c>
      <c r="F134" s="95" t="str">
        <f t="shared" ca="1" si="22"/>
        <v>=</v>
      </c>
      <c r="G134" s="93" t="str">
        <f t="shared" ca="1" si="23"/>
        <v>Agriculture</v>
      </c>
      <c r="H134" s="93" t="str">
        <f t="shared" ca="1" si="24"/>
        <v>Métaux/outils</v>
      </c>
      <c r="I134" s="93" t="str">
        <f t="shared" ca="1" si="25"/>
        <v xml:space="preserve"> </v>
      </c>
      <c r="J134" s="93" t="str">
        <f t="shared" ca="1" si="6"/>
        <v>opposé</v>
      </c>
      <c r="K134" s="93" t="str">
        <f t="shared" ca="1" si="7"/>
        <v>fervent</v>
      </c>
      <c r="L134" s="93" t="str">
        <f t="shared" ca="1" si="8"/>
        <v xml:space="preserve"> </v>
      </c>
      <c r="M134" s="94">
        <f t="shared" ca="1" si="26"/>
        <v>12</v>
      </c>
      <c r="N134" s="93" t="str">
        <f t="shared" ca="1" si="10"/>
        <v>nœud</v>
      </c>
      <c r="O134" s="93" t="str">
        <f t="shared" ca="1" si="11"/>
        <v xml:space="preserve"> </v>
      </c>
      <c r="P134" s="93" t="str">
        <f t="shared" ca="1" si="12"/>
        <v>fantoche</v>
      </c>
      <c r="Q134" s="92" t="str">
        <f t="shared" ca="1" si="13"/>
        <v xml:space="preserve"> </v>
      </c>
    </row>
    <row r="135" spans="1:17" ht="9.9" customHeight="1">
      <c r="A135" s="98" t="s">
        <v>544</v>
      </c>
      <c r="B135" s="97">
        <v>500</v>
      </c>
      <c r="C135" s="96">
        <f t="shared" ca="1" si="20"/>
        <v>71</v>
      </c>
      <c r="D135" s="94">
        <f t="shared" ca="1" si="21"/>
        <v>495</v>
      </c>
      <c r="E135" s="95" t="str">
        <f t="shared" ca="1" si="22"/>
        <v>++</v>
      </c>
      <c r="F135" s="95" t="str">
        <f t="shared" ca="1" si="22"/>
        <v>=</v>
      </c>
      <c r="G135" s="93" t="str">
        <f t="shared" ca="1" si="23"/>
        <v>Agriculture</v>
      </c>
      <c r="H135" s="93" t="str">
        <f t="shared" ca="1" si="24"/>
        <v>Artisanat</v>
      </c>
      <c r="I135" s="93" t="str">
        <f t="shared" ca="1" si="25"/>
        <v xml:space="preserve"> </v>
      </c>
      <c r="J135" s="93" t="str">
        <f t="shared" ca="1" si="6"/>
        <v>fidèle</v>
      </c>
      <c r="K135" s="93" t="str">
        <f t="shared" ca="1" si="7"/>
        <v xml:space="preserve"> </v>
      </c>
      <c r="L135" s="93" t="str">
        <f t="shared" ca="1" si="8"/>
        <v>accueillant</v>
      </c>
      <c r="M135" s="94">
        <f t="shared" ca="1" si="26"/>
        <v>9</v>
      </c>
      <c r="N135" s="93" t="str">
        <f t="shared" ca="1" si="10"/>
        <v>guilde</v>
      </c>
      <c r="O135" s="93" t="str">
        <f t="shared" ca="1" si="11"/>
        <v>protection</v>
      </c>
      <c r="P135" s="93" t="str">
        <f t="shared" ca="1" si="12"/>
        <v>trafic</v>
      </c>
      <c r="Q135" s="92" t="str">
        <f t="shared" ca="1" si="13"/>
        <v xml:space="preserve"> </v>
      </c>
    </row>
    <row r="136" spans="1:17" ht="9.9" customHeight="1">
      <c r="A136" s="98" t="s">
        <v>544</v>
      </c>
      <c r="B136" s="97">
        <v>500</v>
      </c>
      <c r="C136" s="96">
        <f t="shared" ca="1" si="20"/>
        <v>63</v>
      </c>
      <c r="D136" s="94">
        <f t="shared" ca="1" si="21"/>
        <v>385</v>
      </c>
      <c r="E136" s="95" t="str">
        <f t="shared" ca="1" si="22"/>
        <v>-</v>
      </c>
      <c r="F136" s="95" t="str">
        <f t="shared" ca="1" si="22"/>
        <v>+</v>
      </c>
      <c r="G136" s="93" t="str">
        <f t="shared" ca="1" si="23"/>
        <v>Elevage</v>
      </c>
      <c r="H136" s="93" t="str">
        <f t="shared" ca="1" si="24"/>
        <v>Poterie</v>
      </c>
      <c r="I136" s="93" t="str">
        <f t="shared" ca="1" si="25"/>
        <v xml:space="preserve"> </v>
      </c>
      <c r="J136" s="93" t="str">
        <f t="shared" ca="1" si="6"/>
        <v xml:space="preserve"> </v>
      </c>
      <c r="K136" s="93" t="str">
        <f t="shared" ca="1" si="7"/>
        <v xml:space="preserve"> </v>
      </c>
      <c r="L136" s="93" t="str">
        <f t="shared" ca="1" si="8"/>
        <v>repoussant</v>
      </c>
      <c r="M136" s="94">
        <f t="shared" ca="1" si="26"/>
        <v>11</v>
      </c>
      <c r="N136" s="93" t="str">
        <f t="shared" ca="1" si="10"/>
        <v>guilde</v>
      </c>
      <c r="O136" s="93" t="str">
        <f t="shared" ca="1" si="11"/>
        <v>protection</v>
      </c>
      <c r="P136" s="93" t="str">
        <f t="shared" ca="1" si="12"/>
        <v xml:space="preserve"> </v>
      </c>
      <c r="Q136" s="92" t="str">
        <f t="shared" ca="1" si="13"/>
        <v xml:space="preserve"> </v>
      </c>
    </row>
    <row r="137" spans="1:17" ht="9.9" customHeight="1">
      <c r="A137" s="98" t="s">
        <v>544</v>
      </c>
      <c r="B137" s="97">
        <v>500</v>
      </c>
      <c r="C137" s="96">
        <f t="shared" ca="1" si="20"/>
        <v>56</v>
      </c>
      <c r="D137" s="94">
        <f t="shared" ca="1" si="21"/>
        <v>440</v>
      </c>
      <c r="E137" s="95" t="str">
        <f t="shared" ca="1" si="22"/>
        <v>- -</v>
      </c>
      <c r="F137" s="95" t="str">
        <f t="shared" ca="1" si="22"/>
        <v>- -</v>
      </c>
      <c r="G137" s="93" t="str">
        <f t="shared" ca="1" si="23"/>
        <v>Agriculture</v>
      </c>
      <c r="H137" s="93" t="str">
        <f t="shared" ca="1" si="24"/>
        <v>Poterie</v>
      </c>
      <c r="I137" s="93" t="str">
        <f t="shared" ca="1" si="25"/>
        <v xml:space="preserve"> </v>
      </c>
      <c r="J137" s="93" t="str">
        <f t="shared" ca="1" si="6"/>
        <v xml:space="preserve"> </v>
      </c>
      <c r="K137" s="93" t="str">
        <f t="shared" ca="1" si="7"/>
        <v xml:space="preserve"> </v>
      </c>
      <c r="L137" s="93" t="str">
        <f t="shared" ca="1" si="8"/>
        <v xml:space="preserve"> </v>
      </c>
      <c r="M137" s="94">
        <f t="shared" ca="1" si="26"/>
        <v>7</v>
      </c>
      <c r="N137" s="93" t="str">
        <f t="shared" ca="1" si="10"/>
        <v xml:space="preserve"> </v>
      </c>
      <c r="O137" s="93" t="str">
        <f t="shared" ca="1" si="11"/>
        <v>très sûr</v>
      </c>
      <c r="P137" s="93" t="str">
        <f t="shared" ca="1" si="12"/>
        <v xml:space="preserve"> </v>
      </c>
      <c r="Q137" s="92" t="str">
        <f t="shared" ca="1" si="13"/>
        <v xml:space="preserve"> </v>
      </c>
    </row>
    <row r="138" spans="1:17" ht="9.9" customHeight="1">
      <c r="A138" s="98" t="s">
        <v>544</v>
      </c>
      <c r="B138" s="97">
        <v>500</v>
      </c>
      <c r="C138" s="96">
        <f t="shared" ca="1" si="20"/>
        <v>63</v>
      </c>
      <c r="D138" s="94">
        <f t="shared" ca="1" si="21"/>
        <v>610</v>
      </c>
      <c r="E138" s="95" t="str">
        <f t="shared" ca="1" si="22"/>
        <v>-</v>
      </c>
      <c r="F138" s="95" t="str">
        <f t="shared" ca="1" si="22"/>
        <v>-</v>
      </c>
      <c r="G138" s="93" t="str">
        <f t="shared" ca="1" si="23"/>
        <v>Végétal</v>
      </c>
      <c r="H138" s="93" t="str">
        <f t="shared" ca="1" si="24"/>
        <v>Tissu</v>
      </c>
      <c r="I138" s="93" t="str">
        <f t="shared" ca="1" si="25"/>
        <v xml:space="preserve"> </v>
      </c>
      <c r="J138" s="93" t="str">
        <f t="shared" ca="1" si="6"/>
        <v xml:space="preserve"> </v>
      </c>
      <c r="K138" s="93" t="str">
        <f t="shared" ca="1" si="7"/>
        <v xml:space="preserve"> </v>
      </c>
      <c r="L138" s="93" t="str">
        <f t="shared" ca="1" si="8"/>
        <v>accueillant</v>
      </c>
      <c r="M138" s="94">
        <f t="shared" ca="1" si="26"/>
        <v>8</v>
      </c>
      <c r="N138" s="93" t="str">
        <f t="shared" ca="1" si="10"/>
        <v>pas de marché</v>
      </c>
      <c r="O138" s="93" t="str">
        <f t="shared" ca="1" si="11"/>
        <v>corruption</v>
      </c>
      <c r="P138" s="93" t="str">
        <f t="shared" ca="1" si="12"/>
        <v xml:space="preserve"> </v>
      </c>
      <c r="Q138" s="92" t="str">
        <f t="shared" ca="1" si="13"/>
        <v xml:space="preserve"> </v>
      </c>
    </row>
    <row r="139" spans="1:17" ht="9.9" customHeight="1">
      <c r="A139" s="98" t="s">
        <v>544</v>
      </c>
      <c r="B139" s="97">
        <v>500</v>
      </c>
      <c r="C139" s="96">
        <f t="shared" ca="1" si="20"/>
        <v>71</v>
      </c>
      <c r="D139" s="94">
        <f t="shared" ca="1" si="21"/>
        <v>545</v>
      </c>
      <c r="E139" s="95" t="str">
        <f t="shared" ca="1" si="22"/>
        <v>-</v>
      </c>
      <c r="F139" s="95" t="str">
        <f t="shared" ca="1" si="22"/>
        <v>=</v>
      </c>
      <c r="G139" s="93" t="str">
        <f t="shared" ca="1" si="23"/>
        <v>Minerai</v>
      </c>
      <c r="H139" s="93" t="str">
        <f t="shared" ca="1" si="24"/>
        <v>Poterie</v>
      </c>
      <c r="I139" s="93" t="str">
        <f t="shared" ca="1" si="25"/>
        <v xml:space="preserve"> </v>
      </c>
      <c r="J139" s="93" t="str">
        <f t="shared" ca="1" si="6"/>
        <v xml:space="preserve"> </v>
      </c>
      <c r="K139" s="93" t="str">
        <f t="shared" ca="1" si="7"/>
        <v xml:space="preserve"> </v>
      </c>
      <c r="L139" s="93" t="str">
        <f t="shared" ca="1" si="8"/>
        <v>curieux</v>
      </c>
      <c r="M139" s="94">
        <f t="shared" ca="1" si="26"/>
        <v>8</v>
      </c>
      <c r="N139" s="93" t="str">
        <f t="shared" ca="1" si="10"/>
        <v xml:space="preserve"> </v>
      </c>
      <c r="O139" s="93" t="str">
        <f t="shared" ca="1" si="11"/>
        <v xml:space="preserve"> </v>
      </c>
      <c r="P139" s="93" t="str">
        <f t="shared" ca="1" si="12"/>
        <v xml:space="preserve"> </v>
      </c>
      <c r="Q139" s="92" t="str">
        <f t="shared" ca="1" si="13"/>
        <v xml:space="preserve"> </v>
      </c>
    </row>
    <row r="140" spans="1:17" ht="9.9" customHeight="1">
      <c r="A140" s="98" t="s">
        <v>544</v>
      </c>
      <c r="B140" s="97">
        <v>500</v>
      </c>
      <c r="C140" s="96">
        <f t="shared" ca="1" si="0"/>
        <v>56</v>
      </c>
      <c r="D140" s="94">
        <f t="shared" ca="1" si="1"/>
        <v>715</v>
      </c>
      <c r="E140" s="95" t="str">
        <f t="shared" ref="E140:F164" ca="1" si="27">LOOKUP(RANDBETWEEN(1,100),dé100,richesse)</f>
        <v>-</v>
      </c>
      <c r="F140" s="95" t="str">
        <f t="shared" ca="1" si="27"/>
        <v>=</v>
      </c>
      <c r="G140" s="93" t="str">
        <f t="shared" ca="1" si="3"/>
        <v>Pêche</v>
      </c>
      <c r="H140" s="93" t="str">
        <f t="shared" ca="1" si="4"/>
        <v>Peaux</v>
      </c>
      <c r="I140" s="93" t="str">
        <f t="shared" ca="1" si="5"/>
        <v xml:space="preserve"> </v>
      </c>
      <c r="J140" s="93" t="str">
        <f t="shared" ca="1" si="6"/>
        <v xml:space="preserve"> </v>
      </c>
      <c r="K140" s="93" t="str">
        <f t="shared" ca="1" si="7"/>
        <v xml:space="preserve"> </v>
      </c>
      <c r="L140" s="93" t="str">
        <f t="shared" ca="1" si="8"/>
        <v>curieux</v>
      </c>
      <c r="M140" s="94">
        <f t="shared" ca="1" si="9"/>
        <v>6</v>
      </c>
      <c r="N140" s="93" t="str">
        <f t="shared" ca="1" si="10"/>
        <v xml:space="preserve"> </v>
      </c>
      <c r="O140" s="93" t="str">
        <f t="shared" ca="1" si="11"/>
        <v xml:space="preserve"> </v>
      </c>
      <c r="P140" s="93" t="str">
        <f t="shared" ca="1" si="12"/>
        <v xml:space="preserve"> </v>
      </c>
      <c r="Q140" s="92" t="str">
        <f t="shared" ca="1" si="13"/>
        <v xml:space="preserve"> </v>
      </c>
    </row>
    <row r="141" spans="1:17" ht="9.9" customHeight="1">
      <c r="A141" s="98" t="s">
        <v>544</v>
      </c>
      <c r="B141" s="97">
        <v>500</v>
      </c>
      <c r="C141" s="96">
        <f t="shared" ca="1" si="0"/>
        <v>71</v>
      </c>
      <c r="D141" s="94">
        <f t="shared" ca="1" si="1"/>
        <v>680</v>
      </c>
      <c r="E141" s="95" t="str">
        <f t="shared" ca="1" si="27"/>
        <v>- -</v>
      </c>
      <c r="F141" s="95" t="str">
        <f t="shared" ca="1" si="27"/>
        <v>++</v>
      </c>
      <c r="G141" s="93" t="str">
        <f t="shared" ca="1" si="3"/>
        <v>Végétal</v>
      </c>
      <c r="H141" s="93" t="str">
        <f t="shared" ca="1" si="4"/>
        <v>Tissu</v>
      </c>
      <c r="I141" s="93" t="str">
        <f t="shared" ca="1" si="5"/>
        <v xml:space="preserve"> </v>
      </c>
      <c r="J141" s="93" t="str">
        <f t="shared" ca="1" si="6"/>
        <v>rebelle</v>
      </c>
      <c r="K141" s="93" t="str">
        <f t="shared" ca="1" si="7"/>
        <v xml:space="preserve"> </v>
      </c>
      <c r="L141" s="93" t="str">
        <f t="shared" ca="1" si="8"/>
        <v>très accueillant</v>
      </c>
      <c r="M141" s="94">
        <f t="shared" ca="1" si="9"/>
        <v>8</v>
      </c>
      <c r="N141" s="93" t="str">
        <f t="shared" ca="1" si="10"/>
        <v>peu d'échanges</v>
      </c>
      <c r="O141" s="93" t="str">
        <f t="shared" ca="1" si="11"/>
        <v>brigands</v>
      </c>
      <c r="P141" s="93" t="str">
        <f t="shared" ca="1" si="12"/>
        <v xml:space="preserve"> </v>
      </c>
      <c r="Q141" s="92" t="str">
        <f t="shared" ca="1" si="13"/>
        <v xml:space="preserve"> </v>
      </c>
    </row>
    <row r="142" spans="1:17" ht="9.9" customHeight="1">
      <c r="A142" s="98" t="s">
        <v>544</v>
      </c>
      <c r="B142" s="97">
        <v>500</v>
      </c>
      <c r="C142" s="96">
        <f t="shared" ca="1" si="0"/>
        <v>83</v>
      </c>
      <c r="D142" s="94">
        <f t="shared" ca="1" si="1"/>
        <v>695</v>
      </c>
      <c r="E142" s="95" t="str">
        <f t="shared" ca="1" si="27"/>
        <v>++</v>
      </c>
      <c r="F142" s="95" t="str">
        <f t="shared" ca="1" si="27"/>
        <v>=</v>
      </c>
      <c r="G142" s="93" t="str">
        <f t="shared" ca="1" si="3"/>
        <v>Agriculture</v>
      </c>
      <c r="H142" s="93" t="str">
        <f t="shared" ca="1" si="4"/>
        <v>Poterie</v>
      </c>
      <c r="I142" s="93" t="str">
        <f t="shared" ca="1" si="5"/>
        <v>Créature</v>
      </c>
      <c r="J142" s="93" t="str">
        <f t="shared" ca="1" si="6"/>
        <v xml:space="preserve"> </v>
      </c>
      <c r="K142" s="93" t="str">
        <f t="shared" ca="1" si="7"/>
        <v>inquisition</v>
      </c>
      <c r="L142" s="93" t="str">
        <f t="shared" ca="1" si="8"/>
        <v>fermé</v>
      </c>
      <c r="M142" s="94">
        <f t="shared" ca="1" si="9"/>
        <v>8</v>
      </c>
      <c r="N142" s="93" t="str">
        <f t="shared" ca="1" si="10"/>
        <v xml:space="preserve"> </v>
      </c>
      <c r="O142" s="93" t="str">
        <f t="shared" ca="1" si="11"/>
        <v>protection</v>
      </c>
      <c r="P142" s="93" t="str">
        <f t="shared" ca="1" si="12"/>
        <v xml:space="preserve"> </v>
      </c>
      <c r="Q142" s="92" t="str">
        <f t="shared" ca="1" si="13"/>
        <v xml:space="preserve"> </v>
      </c>
    </row>
    <row r="143" spans="1:17" ht="9.9" customHeight="1">
      <c r="A143" s="98" t="s">
        <v>544</v>
      </c>
      <c r="B143" s="97">
        <v>500</v>
      </c>
      <c r="C143" s="96">
        <f t="shared" ca="1" si="0"/>
        <v>50</v>
      </c>
      <c r="D143" s="94">
        <f t="shared" ca="1" si="1"/>
        <v>375</v>
      </c>
      <c r="E143" s="95" t="str">
        <f t="shared" ca="1" si="27"/>
        <v>++</v>
      </c>
      <c r="F143" s="95" t="str">
        <f t="shared" ca="1" si="27"/>
        <v>=</v>
      </c>
      <c r="G143" s="93" t="str">
        <f t="shared" ca="1" si="3"/>
        <v>Pêche</v>
      </c>
      <c r="H143" s="93" t="str">
        <f t="shared" ca="1" si="4"/>
        <v>Artisanat</v>
      </c>
      <c r="I143" s="93" t="str">
        <f t="shared" ca="1" si="5"/>
        <v xml:space="preserve"> </v>
      </c>
      <c r="J143" s="93" t="str">
        <f t="shared" ca="1" si="6"/>
        <v xml:space="preserve"> </v>
      </c>
      <c r="K143" s="93" t="str">
        <f t="shared" ca="1" si="7"/>
        <v>païen</v>
      </c>
      <c r="L143" s="93" t="str">
        <f t="shared" ca="1" si="8"/>
        <v>accueillant</v>
      </c>
      <c r="M143" s="94">
        <f t="shared" ca="1" si="9"/>
        <v>7</v>
      </c>
      <c r="N143" s="93" t="str">
        <f t="shared" ca="1" si="10"/>
        <v xml:space="preserve"> </v>
      </c>
      <c r="O143" s="93" t="str">
        <f t="shared" ca="1" si="11"/>
        <v xml:space="preserve"> </v>
      </c>
      <c r="P143" s="93" t="str">
        <f t="shared" ca="1" si="12"/>
        <v>trésor</v>
      </c>
      <c r="Q143" s="92" t="str">
        <f t="shared" ca="1" si="13"/>
        <v xml:space="preserve"> </v>
      </c>
    </row>
    <row r="144" spans="1:17" ht="9.9" customHeight="1">
      <c r="A144" s="98" t="s">
        <v>544</v>
      </c>
      <c r="B144" s="97">
        <v>500</v>
      </c>
      <c r="C144" s="96">
        <f t="shared" ca="1" si="0"/>
        <v>63</v>
      </c>
      <c r="D144" s="94">
        <f t="shared" ca="1" si="1"/>
        <v>445</v>
      </c>
      <c r="E144" s="95" t="str">
        <f t="shared" ca="1" si="27"/>
        <v>=</v>
      </c>
      <c r="F144" s="95" t="str">
        <f t="shared" ca="1" si="27"/>
        <v>++</v>
      </c>
      <c r="G144" s="93" t="str">
        <f t="shared" ca="1" si="3"/>
        <v>Agriculture</v>
      </c>
      <c r="H144" s="93" t="str">
        <f t="shared" ca="1" si="4"/>
        <v>Artisanat</v>
      </c>
      <c r="I144" s="93" t="str">
        <f t="shared" ca="1" si="5"/>
        <v xml:space="preserve"> </v>
      </c>
      <c r="J144" s="93" t="str">
        <f t="shared" ca="1" si="6"/>
        <v xml:space="preserve"> </v>
      </c>
      <c r="K144" s="93" t="str">
        <f t="shared" ca="1" si="7"/>
        <v xml:space="preserve"> </v>
      </c>
      <c r="L144" s="93" t="str">
        <f t="shared" ca="1" si="8"/>
        <v xml:space="preserve"> </v>
      </c>
      <c r="M144" s="94">
        <f t="shared" ca="1" si="9"/>
        <v>7</v>
      </c>
      <c r="N144" s="93" t="str">
        <f t="shared" ca="1" si="10"/>
        <v>pas de marché</v>
      </c>
      <c r="O144" s="93" t="str">
        <f t="shared" ca="1" si="11"/>
        <v xml:space="preserve"> </v>
      </c>
      <c r="P144" s="93" t="str">
        <f t="shared" ca="1" si="12"/>
        <v xml:space="preserve"> </v>
      </c>
      <c r="Q144" s="92" t="str">
        <f t="shared" ca="1" si="13"/>
        <v xml:space="preserve"> </v>
      </c>
    </row>
    <row r="145" spans="1:17" ht="9.9" customHeight="1">
      <c r="A145" s="98" t="s">
        <v>544</v>
      </c>
      <c r="B145" s="97">
        <v>500</v>
      </c>
      <c r="C145" s="96">
        <f t="shared" ca="1" si="0"/>
        <v>63</v>
      </c>
      <c r="D145" s="94">
        <f t="shared" ca="1" si="1"/>
        <v>590</v>
      </c>
      <c r="E145" s="95" t="str">
        <f t="shared" ca="1" si="27"/>
        <v>- - -</v>
      </c>
      <c r="F145" s="95" t="str">
        <f t="shared" ca="1" si="27"/>
        <v>+</v>
      </c>
      <c r="G145" s="93" t="str">
        <f t="shared" ca="1" si="3"/>
        <v>Chasse</v>
      </c>
      <c r="H145" s="93" t="str">
        <f t="shared" ca="1" si="4"/>
        <v>Poterie</v>
      </c>
      <c r="I145" s="93" t="str">
        <f t="shared" ca="1" si="5"/>
        <v xml:space="preserve"> </v>
      </c>
      <c r="J145" s="93" t="str">
        <f t="shared" ca="1" si="6"/>
        <v xml:space="preserve"> </v>
      </c>
      <c r="K145" s="93" t="str">
        <f t="shared" ca="1" si="7"/>
        <v xml:space="preserve"> </v>
      </c>
      <c r="L145" s="93" t="str">
        <f t="shared" ca="1" si="8"/>
        <v>repoussant</v>
      </c>
      <c r="M145" s="94">
        <f t="shared" ca="1" si="9"/>
        <v>11</v>
      </c>
      <c r="N145" s="93" t="str">
        <f t="shared" ca="1" si="10"/>
        <v xml:space="preserve"> </v>
      </c>
      <c r="O145" s="93" t="str">
        <f t="shared" ca="1" si="11"/>
        <v xml:space="preserve"> </v>
      </c>
      <c r="P145" s="93" t="str">
        <f t="shared" ca="1" si="12"/>
        <v xml:space="preserve"> </v>
      </c>
      <c r="Q145" s="92" t="str">
        <f t="shared" ca="1" si="13"/>
        <v>délabré</v>
      </c>
    </row>
    <row r="146" spans="1:17" ht="9.9" customHeight="1">
      <c r="A146" s="98" t="s">
        <v>544</v>
      </c>
      <c r="B146" s="97">
        <v>500</v>
      </c>
      <c r="C146" s="96">
        <f t="shared" ca="1" si="0"/>
        <v>50</v>
      </c>
      <c r="D146" s="94">
        <f t="shared" ca="1" si="1"/>
        <v>710</v>
      </c>
      <c r="E146" s="95" t="str">
        <f t="shared" ca="1" si="27"/>
        <v>=</v>
      </c>
      <c r="F146" s="95" t="str">
        <f t="shared" ca="1" si="27"/>
        <v>- - -</v>
      </c>
      <c r="G146" s="93" t="str">
        <f t="shared" ca="1" si="3"/>
        <v>Agriculture</v>
      </c>
      <c r="H146" s="93" t="str">
        <f t="shared" ca="1" si="4"/>
        <v>Poterie</v>
      </c>
      <c r="I146" s="93" t="str">
        <f t="shared" ca="1" si="5"/>
        <v xml:space="preserve"> </v>
      </c>
      <c r="J146" s="93" t="str">
        <f t="shared" ca="1" si="6"/>
        <v>opposé</v>
      </c>
      <c r="K146" s="93" t="str">
        <f t="shared" ca="1" si="7"/>
        <v>inquisition</v>
      </c>
      <c r="L146" s="93" t="str">
        <f t="shared" ca="1" si="8"/>
        <v>méfiant</v>
      </c>
      <c r="M146" s="94">
        <f t="shared" ca="1" si="9"/>
        <v>6</v>
      </c>
      <c r="N146" s="93">
        <f t="shared" ca="1" si="10"/>
        <v>0</v>
      </c>
      <c r="O146" s="93" t="str">
        <f t="shared" ca="1" si="11"/>
        <v>tyrannie</v>
      </c>
      <c r="P146" s="93" t="str">
        <f t="shared" ca="1" si="12"/>
        <v xml:space="preserve"> </v>
      </c>
      <c r="Q146" s="92" t="str">
        <f t="shared" ca="1" si="13"/>
        <v>délabré</v>
      </c>
    </row>
    <row r="147" spans="1:17" ht="9.9" customHeight="1">
      <c r="A147" s="98" t="s">
        <v>544</v>
      </c>
      <c r="B147" s="97">
        <v>500</v>
      </c>
      <c r="C147" s="96">
        <f t="shared" ca="1" si="0"/>
        <v>56</v>
      </c>
      <c r="D147" s="94">
        <f t="shared" ca="1" si="1"/>
        <v>335</v>
      </c>
      <c r="E147" s="95" t="str">
        <f t="shared" ca="1" si="27"/>
        <v>=</v>
      </c>
      <c r="F147" s="95" t="str">
        <f t="shared" ca="1" si="27"/>
        <v>++</v>
      </c>
      <c r="G147" s="93" t="str">
        <f t="shared" ca="1" si="3"/>
        <v>Elevage</v>
      </c>
      <c r="H147" s="93" t="str">
        <f t="shared" ca="1" si="4"/>
        <v>Tissu</v>
      </c>
      <c r="I147" s="93" t="str">
        <f t="shared" ca="1" si="5"/>
        <v xml:space="preserve"> </v>
      </c>
      <c r="J147" s="93" t="str">
        <f t="shared" ca="1" si="6"/>
        <v xml:space="preserve"> </v>
      </c>
      <c r="K147" s="93" t="str">
        <f t="shared" ca="1" si="7"/>
        <v xml:space="preserve"> </v>
      </c>
      <c r="L147" s="93" t="str">
        <f t="shared" ca="1" si="8"/>
        <v>fermé</v>
      </c>
      <c r="M147" s="94">
        <f t="shared" ca="1" si="9"/>
        <v>8</v>
      </c>
      <c r="N147" s="93" t="str">
        <f t="shared" ca="1" si="10"/>
        <v xml:space="preserve"> </v>
      </c>
      <c r="O147" s="93" t="str">
        <f t="shared" ca="1" si="11"/>
        <v>brigands</v>
      </c>
      <c r="P147" s="93" t="str">
        <f t="shared" ca="1" si="12"/>
        <v xml:space="preserve"> </v>
      </c>
      <c r="Q147" s="92" t="str">
        <f t="shared" ca="1" si="13"/>
        <v xml:space="preserve"> </v>
      </c>
    </row>
    <row r="148" spans="1:17" ht="9.9" customHeight="1">
      <c r="A148" s="98" t="s">
        <v>544</v>
      </c>
      <c r="B148" s="97">
        <v>500</v>
      </c>
      <c r="C148" s="96">
        <f t="shared" ca="1" si="0"/>
        <v>50</v>
      </c>
      <c r="D148" s="94">
        <f t="shared" ca="1" si="1"/>
        <v>475</v>
      </c>
      <c r="E148" s="95" t="str">
        <f t="shared" ca="1" si="27"/>
        <v>=</v>
      </c>
      <c r="F148" s="95" t="str">
        <f t="shared" ca="1" si="27"/>
        <v>=</v>
      </c>
      <c r="G148" s="93" t="str">
        <f t="shared" ca="1" si="3"/>
        <v>Pêche</v>
      </c>
      <c r="H148" s="93" t="str">
        <f t="shared" ca="1" si="4"/>
        <v>Poterie</v>
      </c>
      <c r="I148" s="93" t="str">
        <f t="shared" ca="1" si="5"/>
        <v xml:space="preserve"> </v>
      </c>
      <c r="J148" s="93" t="str">
        <f t="shared" ca="1" si="6"/>
        <v>fidèle</v>
      </c>
      <c r="K148" s="93" t="str">
        <f t="shared" ca="1" si="7"/>
        <v xml:space="preserve"> </v>
      </c>
      <c r="L148" s="93" t="str">
        <f t="shared" ca="1" si="8"/>
        <v xml:space="preserve"> </v>
      </c>
      <c r="M148" s="94">
        <f t="shared" ca="1" si="9"/>
        <v>6</v>
      </c>
      <c r="N148" s="93" t="str">
        <f t="shared" ca="1" si="10"/>
        <v>pas de marché</v>
      </c>
      <c r="O148" s="93" t="str">
        <f t="shared" ca="1" si="11"/>
        <v>corruption</v>
      </c>
      <c r="P148" s="93" t="str">
        <f t="shared" ca="1" si="12"/>
        <v xml:space="preserve"> </v>
      </c>
      <c r="Q148" s="92" t="str">
        <f t="shared" ca="1" si="13"/>
        <v xml:space="preserve"> </v>
      </c>
    </row>
    <row r="149" spans="1:17" ht="9.9" customHeight="1">
      <c r="A149" s="91" t="s">
        <v>543</v>
      </c>
      <c r="B149" s="90">
        <v>1000</v>
      </c>
      <c r="C149" s="89">
        <f t="shared" ca="1" si="0"/>
        <v>125</v>
      </c>
      <c r="D149" s="87">
        <f t="shared" ca="1" si="1"/>
        <v>860</v>
      </c>
      <c r="E149" s="88" t="str">
        <f t="shared" ca="1" si="27"/>
        <v>=</v>
      </c>
      <c r="F149" s="88" t="str">
        <f t="shared" ca="1" si="27"/>
        <v>=</v>
      </c>
      <c r="G149" s="86" t="str">
        <f t="shared" ca="1" si="3"/>
        <v>Cueillette</v>
      </c>
      <c r="H149" s="86" t="str">
        <f t="shared" ca="1" si="4"/>
        <v>Construction</v>
      </c>
      <c r="I149" s="86" t="str">
        <f t="shared" ca="1" si="5"/>
        <v xml:space="preserve"> </v>
      </c>
      <c r="J149" s="86" t="str">
        <f t="shared" ca="1" si="6"/>
        <v xml:space="preserve"> </v>
      </c>
      <c r="K149" s="86" t="str">
        <f t="shared" ca="1" si="7"/>
        <v xml:space="preserve"> </v>
      </c>
      <c r="L149" s="86" t="str">
        <f t="shared" ca="1" si="8"/>
        <v xml:space="preserve"> </v>
      </c>
      <c r="M149" s="87">
        <f t="shared" ca="1" si="9"/>
        <v>21</v>
      </c>
      <c r="N149" s="86" t="str">
        <f t="shared" ca="1" si="10"/>
        <v>guilde</v>
      </c>
      <c r="O149" s="86" t="str">
        <f t="shared" ca="1" si="11"/>
        <v xml:space="preserve"> </v>
      </c>
      <c r="P149" s="86" t="str">
        <f t="shared" ca="1" si="12"/>
        <v xml:space="preserve"> </v>
      </c>
      <c r="Q149" s="85" t="str">
        <f t="shared" ca="1" si="13"/>
        <v xml:space="preserve"> </v>
      </c>
    </row>
    <row r="150" spans="1:17" ht="9.9" customHeight="1">
      <c r="A150" s="91" t="s">
        <v>543</v>
      </c>
      <c r="B150" s="90">
        <v>1000</v>
      </c>
      <c r="C150" s="89">
        <f t="shared" ca="1" si="0"/>
        <v>143</v>
      </c>
      <c r="D150" s="87">
        <f t="shared" ca="1" si="1"/>
        <v>980</v>
      </c>
      <c r="E150" s="88" t="str">
        <f t="shared" ca="1" si="27"/>
        <v>-</v>
      </c>
      <c r="F150" s="88" t="str">
        <f t="shared" ca="1" si="27"/>
        <v>+</v>
      </c>
      <c r="G150" s="86" t="str">
        <f t="shared" ca="1" si="3"/>
        <v>Agriculture</v>
      </c>
      <c r="H150" s="86" t="str">
        <f t="shared" ca="1" si="4"/>
        <v>Tissu</v>
      </c>
      <c r="I150" s="86" t="str">
        <f t="shared" ca="1" si="5"/>
        <v xml:space="preserve"> </v>
      </c>
      <c r="J150" s="86" t="str">
        <f t="shared" ca="1" si="6"/>
        <v xml:space="preserve"> </v>
      </c>
      <c r="K150" s="86" t="str">
        <f t="shared" ca="1" si="7"/>
        <v xml:space="preserve"> </v>
      </c>
      <c r="L150" s="86" t="str">
        <f t="shared" ca="1" si="8"/>
        <v>xénophobe</v>
      </c>
      <c r="M150" s="87">
        <f t="shared" ca="1" si="9"/>
        <v>24</v>
      </c>
      <c r="N150" s="86" t="str">
        <f t="shared" ca="1" si="10"/>
        <v xml:space="preserve"> </v>
      </c>
      <c r="O150" s="86" t="str">
        <f t="shared" ca="1" si="11"/>
        <v>gardes</v>
      </c>
      <c r="P150" s="86" t="str">
        <f t="shared" ca="1" si="12"/>
        <v xml:space="preserve"> </v>
      </c>
      <c r="Q150" s="85" t="str">
        <f t="shared" ca="1" si="13"/>
        <v xml:space="preserve"> </v>
      </c>
    </row>
    <row r="151" spans="1:17" ht="9.9" customHeight="1">
      <c r="A151" s="91" t="s">
        <v>543</v>
      </c>
      <c r="B151" s="90">
        <v>1000</v>
      </c>
      <c r="C151" s="89">
        <f t="shared" ca="1" si="0"/>
        <v>143</v>
      </c>
      <c r="D151" s="87">
        <f t="shared" ca="1" si="1"/>
        <v>1210</v>
      </c>
      <c r="E151" s="88" t="str">
        <f t="shared" ca="1" si="27"/>
        <v>-</v>
      </c>
      <c r="F151" s="88" t="str">
        <f t="shared" ca="1" si="27"/>
        <v>- - -</v>
      </c>
      <c r="G151" s="86" t="str">
        <f t="shared" ca="1" si="3"/>
        <v>Agriculture</v>
      </c>
      <c r="H151" s="86" t="str">
        <f t="shared" ca="1" si="4"/>
        <v>Artisanat</v>
      </c>
      <c r="I151" s="86" t="str">
        <f t="shared" ca="1" si="5"/>
        <v xml:space="preserve"> </v>
      </c>
      <c r="J151" s="86" t="str">
        <f t="shared" ca="1" si="6"/>
        <v xml:space="preserve"> </v>
      </c>
      <c r="K151" s="86" t="str">
        <f t="shared" ca="1" si="7"/>
        <v xml:space="preserve"> </v>
      </c>
      <c r="L151" s="86" t="str">
        <f t="shared" ca="1" si="8"/>
        <v xml:space="preserve"> </v>
      </c>
      <c r="M151" s="87">
        <f t="shared" ca="1" si="9"/>
        <v>16</v>
      </c>
      <c r="N151" s="86" t="str">
        <f t="shared" ca="1" si="10"/>
        <v xml:space="preserve"> </v>
      </c>
      <c r="O151" s="86" t="str">
        <f t="shared" ca="1" si="11"/>
        <v xml:space="preserve"> </v>
      </c>
      <c r="P151" s="86" t="str">
        <f t="shared" ca="1" si="12"/>
        <v xml:space="preserve"> </v>
      </c>
      <c r="Q151" s="85" t="str">
        <f t="shared" ca="1" si="13"/>
        <v xml:space="preserve"> </v>
      </c>
    </row>
    <row r="152" spans="1:17" ht="9.9" customHeight="1">
      <c r="A152" s="91" t="s">
        <v>543</v>
      </c>
      <c r="B152" s="90">
        <v>1000</v>
      </c>
      <c r="C152" s="89">
        <f t="shared" ref="C152:C202" ca="1" si="28">ROUND(B152/(5+RANDBETWEEN(1,5)),0)</f>
        <v>167</v>
      </c>
      <c r="D152" s="87">
        <f t="shared" ref="D152:D202" ca="1" si="29">ROUND(B152*(100+RANDBETWEEN(1,50)-RANDBETWEEN(1,50))/100,0)</f>
        <v>1200</v>
      </c>
      <c r="E152" s="88" t="str">
        <f t="shared" ca="1" si="27"/>
        <v>+</v>
      </c>
      <c r="F152" s="88" t="str">
        <f t="shared" ca="1" si="27"/>
        <v>- -</v>
      </c>
      <c r="G152" s="86" t="str">
        <f t="shared" ref="G152:G202" ca="1" si="30">IF(RANDBETWEEN(1,10)&lt;=C152,LOOKUP(RANDBETWEEN(1,100),dé100,primaire)," ")</f>
        <v>Chasse</v>
      </c>
      <c r="H152" s="86" t="str">
        <f t="shared" ref="H152:H202" ca="1" si="31">IF(RANDBETWEEN(1,50)&lt;=C152,LOOKUP(RANDBETWEEN(1,100),dé100,secondaire)," ")</f>
        <v>Tissu</v>
      </c>
      <c r="I152" s="86" t="str">
        <f t="shared" ref="I152:I202" ca="1" si="32">IF(RANDBETWEEN(1,500)&lt;=C152,LOOKUP(RANDBETWEEN(1,100),dé100,tertiaire)," ")</f>
        <v xml:space="preserve"> </v>
      </c>
      <c r="J152" s="86" t="str">
        <f t="shared" ref="J152:J202" ca="1" si="33">LOOKUP(RANDBETWEEN(1,100),dé100,politique)</f>
        <v xml:space="preserve"> </v>
      </c>
      <c r="K152" s="86" t="str">
        <f t="shared" ref="K152:K202" ca="1" si="34">LOOKUP(RANDBETWEEN(1,100),dé100,religion)</f>
        <v xml:space="preserve"> </v>
      </c>
      <c r="L152" s="86" t="str">
        <f t="shared" ref="L152:L202" ca="1" si="35">LOOKUP(RANDBETWEEN(1,100),dé100,caractère)</f>
        <v xml:space="preserve"> </v>
      </c>
      <c r="M152" s="87">
        <f t="shared" ref="M152:M202" ca="1" si="36">ROUND(C152/(RANDBETWEEN(1,5)+5),0)</f>
        <v>21</v>
      </c>
      <c r="N152" s="86" t="str">
        <f t="shared" ref="N152:N202" ca="1" si="37">LOOKUP(RANDBETWEEN(1,100),dé100,commerce)</f>
        <v xml:space="preserve"> </v>
      </c>
      <c r="O152" s="86" t="str">
        <f t="shared" ref="O152:O202" ca="1" si="38">LOOKUP(RANDBETWEEN(1,100),dé100,danger)</f>
        <v xml:space="preserve"> </v>
      </c>
      <c r="P152" s="86" t="str">
        <f t="shared" ref="P152:P202" ca="1" si="39">IF(RANDBETWEEN(1,10)=1,LOOKUP(RANDBETWEEN(1,100),dé100,secret)," ")</f>
        <v xml:space="preserve"> </v>
      </c>
      <c r="Q152" s="85" t="str">
        <f t="shared" ref="Q152:Q202" ca="1" si="40">IF(RANDBETWEEN(1,10)=1,LOOKUP(RANDBETWEEN(1,100),dé100,architecture)," ")</f>
        <v xml:space="preserve"> </v>
      </c>
    </row>
    <row r="153" spans="1:17" ht="9.9" customHeight="1">
      <c r="A153" s="98" t="s">
        <v>542</v>
      </c>
      <c r="B153" s="97">
        <v>5000</v>
      </c>
      <c r="C153" s="96">
        <f t="shared" ca="1" si="28"/>
        <v>500</v>
      </c>
      <c r="D153" s="94">
        <f t="shared" ca="1" si="29"/>
        <v>5950</v>
      </c>
      <c r="E153" s="95" t="str">
        <f t="shared" ca="1" si="27"/>
        <v>-</v>
      </c>
      <c r="F153" s="95" t="str">
        <f t="shared" ca="1" si="27"/>
        <v>-</v>
      </c>
      <c r="G153" s="93" t="str">
        <f t="shared" ca="1" si="30"/>
        <v>Agriculture</v>
      </c>
      <c r="H153" s="93" t="str">
        <f t="shared" ca="1" si="31"/>
        <v>Poterie</v>
      </c>
      <c r="I153" s="93" t="str">
        <f t="shared" ca="1" si="32"/>
        <v>Magie</v>
      </c>
      <c r="J153" s="93" t="str">
        <f t="shared" ca="1" si="33"/>
        <v xml:space="preserve"> </v>
      </c>
      <c r="K153" s="93" t="str">
        <f t="shared" ca="1" si="34"/>
        <v>inquisition</v>
      </c>
      <c r="L153" s="93" t="str">
        <f t="shared" ca="1" si="35"/>
        <v xml:space="preserve"> </v>
      </c>
      <c r="M153" s="94">
        <f t="shared" ca="1" si="36"/>
        <v>50</v>
      </c>
      <c r="N153" s="93" t="str">
        <f t="shared" ca="1" si="37"/>
        <v>rien à vendre</v>
      </c>
      <c r="O153" s="93" t="str">
        <f t="shared" ca="1" si="38"/>
        <v>meutres</v>
      </c>
      <c r="P153" s="93" t="str">
        <f t="shared" ca="1" si="39"/>
        <v xml:space="preserve"> </v>
      </c>
      <c r="Q153" s="92" t="str">
        <f t="shared" ca="1" si="40"/>
        <v>ruiné</v>
      </c>
    </row>
    <row r="154" spans="1:17" ht="9.9" customHeight="1">
      <c r="A154" s="98" t="s">
        <v>542</v>
      </c>
      <c r="B154" s="97">
        <v>5000</v>
      </c>
      <c r="C154" s="96">
        <f t="shared" ca="1" si="28"/>
        <v>714</v>
      </c>
      <c r="D154" s="94">
        <f t="shared" ca="1" si="29"/>
        <v>4250</v>
      </c>
      <c r="E154" s="95" t="str">
        <f t="shared" ca="1" si="27"/>
        <v>- -</v>
      </c>
      <c r="F154" s="95" t="str">
        <f t="shared" ca="1" si="27"/>
        <v>=</v>
      </c>
      <c r="G154" s="93" t="str">
        <f t="shared" ca="1" si="30"/>
        <v>Cueillette</v>
      </c>
      <c r="H154" s="93" t="str">
        <f t="shared" ca="1" si="31"/>
        <v>Artisanat</v>
      </c>
      <c r="I154" s="93" t="str">
        <f t="shared" ca="1" si="32"/>
        <v>Art nob/pop</v>
      </c>
      <c r="J154" s="93" t="str">
        <f t="shared" ca="1" si="33"/>
        <v>félon</v>
      </c>
      <c r="K154" s="93" t="str">
        <f t="shared" ca="1" si="34"/>
        <v xml:space="preserve"> </v>
      </c>
      <c r="L154" s="93" t="str">
        <f t="shared" ca="1" si="35"/>
        <v>méfiant</v>
      </c>
      <c r="M154" s="94">
        <f t="shared" ca="1" si="36"/>
        <v>89</v>
      </c>
      <c r="N154" s="93" t="str">
        <f t="shared" ca="1" si="37"/>
        <v>pas de marché</v>
      </c>
      <c r="O154" s="93" t="str">
        <f t="shared" ca="1" si="38"/>
        <v xml:space="preserve"> </v>
      </c>
      <c r="P154" s="93" t="str">
        <f t="shared" ca="1" si="39"/>
        <v xml:space="preserve"> </v>
      </c>
      <c r="Q154" s="92" t="str">
        <f t="shared" ca="1" si="40"/>
        <v>délabré</v>
      </c>
    </row>
    <row r="155" spans="1:17" ht="9.9" customHeight="1">
      <c r="A155" s="98" t="s">
        <v>542</v>
      </c>
      <c r="B155" s="97">
        <v>5000</v>
      </c>
      <c r="C155" s="96">
        <f t="shared" ca="1" si="28"/>
        <v>556</v>
      </c>
      <c r="D155" s="94">
        <f t="shared" ca="1" si="29"/>
        <v>4450</v>
      </c>
      <c r="E155" s="95" t="str">
        <f t="shared" ca="1" si="27"/>
        <v>- -</v>
      </c>
      <c r="F155" s="95" t="str">
        <f t="shared" ca="1" si="27"/>
        <v>=</v>
      </c>
      <c r="G155" s="93" t="str">
        <f t="shared" ca="1" si="30"/>
        <v>Agriculture</v>
      </c>
      <c r="H155" s="93" t="str">
        <f t="shared" ca="1" si="31"/>
        <v>Peaux</v>
      </c>
      <c r="I155" s="93" t="str">
        <f t="shared" ca="1" si="32"/>
        <v>Enseignement</v>
      </c>
      <c r="J155" s="93" t="str">
        <f t="shared" ca="1" si="33"/>
        <v>fidèle</v>
      </c>
      <c r="K155" s="93" t="str">
        <f t="shared" ca="1" si="34"/>
        <v>athé</v>
      </c>
      <c r="L155" s="93" t="str">
        <f t="shared" ca="1" si="35"/>
        <v>fermé</v>
      </c>
      <c r="M155" s="94">
        <f t="shared" ca="1" si="36"/>
        <v>62</v>
      </c>
      <c r="N155" s="93" t="str">
        <f t="shared" ca="1" si="37"/>
        <v>nœud</v>
      </c>
      <c r="O155" s="93" t="str">
        <f t="shared" ca="1" si="38"/>
        <v>très sûr</v>
      </c>
      <c r="P155" s="93" t="str">
        <f t="shared" ca="1" si="39"/>
        <v xml:space="preserve"> </v>
      </c>
      <c r="Q155" s="92" t="str">
        <f t="shared" ca="1" si="40"/>
        <v xml:space="preserve"> </v>
      </c>
    </row>
    <row r="156" spans="1:17" ht="9.9" customHeight="1">
      <c r="A156" s="98" t="s">
        <v>542</v>
      </c>
      <c r="B156" s="97">
        <v>5000</v>
      </c>
      <c r="C156" s="96">
        <f t="shared" ca="1" si="28"/>
        <v>833</v>
      </c>
      <c r="D156" s="94">
        <f t="shared" ca="1" si="29"/>
        <v>3500</v>
      </c>
      <c r="E156" s="95" t="str">
        <f t="shared" ca="1" si="27"/>
        <v>=</v>
      </c>
      <c r="F156" s="95" t="str">
        <f t="shared" ca="1" si="27"/>
        <v>++</v>
      </c>
      <c r="G156" s="93" t="str">
        <f t="shared" ca="1" si="30"/>
        <v>Minerai</v>
      </c>
      <c r="H156" s="93" t="str">
        <f t="shared" ca="1" si="31"/>
        <v>Artisanat</v>
      </c>
      <c r="I156" s="93" t="str">
        <f t="shared" ca="1" si="32"/>
        <v>Religion</v>
      </c>
      <c r="J156" s="93" t="str">
        <f t="shared" ca="1" si="33"/>
        <v xml:space="preserve"> </v>
      </c>
      <c r="K156" s="93" t="str">
        <f t="shared" ca="1" si="34"/>
        <v>fervent</v>
      </c>
      <c r="L156" s="93" t="str">
        <f t="shared" ca="1" si="35"/>
        <v>tolérant</v>
      </c>
      <c r="M156" s="94">
        <f t="shared" ca="1" si="36"/>
        <v>93</v>
      </c>
      <c r="N156" s="93" t="str">
        <f t="shared" ca="1" si="37"/>
        <v>guilde</v>
      </c>
      <c r="O156" s="93" t="str">
        <f t="shared" ca="1" si="38"/>
        <v>très sûr</v>
      </c>
      <c r="P156" s="93" t="str">
        <f t="shared" ca="1" si="39"/>
        <v xml:space="preserve"> </v>
      </c>
      <c r="Q156" s="92" t="str">
        <f t="shared" ca="1" si="40"/>
        <v xml:space="preserve"> </v>
      </c>
    </row>
    <row r="157" spans="1:17" ht="9.9" customHeight="1">
      <c r="A157" s="91" t="s">
        <v>541</v>
      </c>
      <c r="B157" s="90">
        <v>10</v>
      </c>
      <c r="C157" s="89">
        <f t="shared" ref="C157:C161" ca="1" si="41">ROUND(B157/(5+RANDBETWEEN(1,5)),0)</f>
        <v>2</v>
      </c>
      <c r="D157" s="87">
        <f t="shared" ref="D157:D161" ca="1" si="42">ROUND(B157*(100+RANDBETWEEN(1,50)-RANDBETWEEN(1,50))/100,0)</f>
        <v>10</v>
      </c>
      <c r="E157" s="88" t="str">
        <f t="shared" ca="1" si="27"/>
        <v>=</v>
      </c>
      <c r="F157" s="88" t="str">
        <f t="shared" ca="1" si="27"/>
        <v>-</v>
      </c>
      <c r="G157" s="86" t="str">
        <f t="shared" ref="G157:G161" ca="1" si="43">IF(RANDBETWEEN(1,10)&lt;=C157,LOOKUP(RANDBETWEEN(1,100),dé100,primaire)," ")</f>
        <v xml:space="preserve"> </v>
      </c>
      <c r="H157" s="86" t="str">
        <f t="shared" ref="H157:H161" ca="1" si="44">IF(RANDBETWEEN(1,50)&lt;=C157,LOOKUP(RANDBETWEEN(1,100),dé100,secondaire)," ")</f>
        <v xml:space="preserve"> </v>
      </c>
      <c r="I157" s="86" t="str">
        <f t="shared" ref="I157:I161" ca="1" si="45">IF(RANDBETWEEN(1,500)&lt;=C157,LOOKUP(RANDBETWEEN(1,100),dé100,tertiaire)," ")</f>
        <v xml:space="preserve"> </v>
      </c>
      <c r="J157" s="86" t="str">
        <f t="shared" ca="1" si="33"/>
        <v xml:space="preserve"> </v>
      </c>
      <c r="K157" s="86" t="str">
        <f t="shared" ca="1" si="34"/>
        <v>païen</v>
      </c>
      <c r="L157" s="86" t="str">
        <f t="shared" ca="1" si="35"/>
        <v>tolérant</v>
      </c>
      <c r="M157" s="87">
        <f t="shared" ref="M157:M161" ca="1" si="46">ROUND(C157/(RANDBETWEEN(1,5)+5),0)</f>
        <v>0</v>
      </c>
      <c r="N157" s="86" t="str">
        <f t="shared" ca="1" si="37"/>
        <v>désert</v>
      </c>
      <c r="O157" s="86" t="str">
        <f t="shared" ca="1" si="38"/>
        <v xml:space="preserve"> </v>
      </c>
      <c r="P157" s="86" t="str">
        <f t="shared" ca="1" si="39"/>
        <v xml:space="preserve"> </v>
      </c>
      <c r="Q157" s="85" t="str">
        <f t="shared" ca="1" si="40"/>
        <v xml:space="preserve"> </v>
      </c>
    </row>
    <row r="158" spans="1:17" ht="9.9" customHeight="1">
      <c r="A158" s="91" t="s">
        <v>540</v>
      </c>
      <c r="B158" s="90">
        <v>10</v>
      </c>
      <c r="C158" s="89">
        <f t="shared" ca="1" si="41"/>
        <v>1</v>
      </c>
      <c r="D158" s="87">
        <f t="shared" ca="1" si="42"/>
        <v>8</v>
      </c>
      <c r="E158" s="88" t="str">
        <f t="shared" ca="1" si="27"/>
        <v>- -</v>
      </c>
      <c r="F158" s="88" t="str">
        <f t="shared" ca="1" si="27"/>
        <v>+</v>
      </c>
      <c r="G158" s="86" t="str">
        <f t="shared" ca="1" si="43"/>
        <v xml:space="preserve"> </v>
      </c>
      <c r="H158" s="86" t="str">
        <f t="shared" ca="1" si="44"/>
        <v xml:space="preserve"> </v>
      </c>
      <c r="I158" s="86" t="str">
        <f t="shared" ca="1" si="45"/>
        <v xml:space="preserve"> </v>
      </c>
      <c r="J158" s="86" t="str">
        <f t="shared" ca="1" si="33"/>
        <v xml:space="preserve"> </v>
      </c>
      <c r="K158" s="86" t="str">
        <f t="shared" ca="1" si="34"/>
        <v xml:space="preserve"> </v>
      </c>
      <c r="L158" s="86" t="str">
        <f t="shared" ca="1" si="35"/>
        <v>repoussant</v>
      </c>
      <c r="M158" s="87">
        <f t="shared" ca="1" si="46"/>
        <v>0</v>
      </c>
      <c r="N158" s="86" t="str">
        <f t="shared" ca="1" si="37"/>
        <v xml:space="preserve"> </v>
      </c>
      <c r="O158" s="86" t="str">
        <f t="shared" ca="1" si="38"/>
        <v>tranquille</v>
      </c>
      <c r="P158" s="86" t="str">
        <f t="shared" ca="1" si="39"/>
        <v xml:space="preserve"> </v>
      </c>
      <c r="Q158" s="85" t="str">
        <f t="shared" ca="1" si="40"/>
        <v xml:space="preserve"> </v>
      </c>
    </row>
    <row r="159" spans="1:17" ht="9.9" customHeight="1">
      <c r="A159" s="91" t="s">
        <v>539</v>
      </c>
      <c r="B159" s="90">
        <v>10</v>
      </c>
      <c r="C159" s="89">
        <f t="shared" ca="1" si="41"/>
        <v>1</v>
      </c>
      <c r="D159" s="87">
        <f t="shared" ca="1" si="42"/>
        <v>6</v>
      </c>
      <c r="E159" s="88" t="str">
        <f t="shared" ca="1" si="27"/>
        <v>+</v>
      </c>
      <c r="F159" s="88" t="str">
        <f t="shared" ca="1" si="27"/>
        <v>=</v>
      </c>
      <c r="G159" s="86" t="str">
        <f t="shared" ca="1" si="43"/>
        <v xml:space="preserve"> </v>
      </c>
      <c r="H159" s="86" t="str">
        <f t="shared" ca="1" si="44"/>
        <v xml:space="preserve"> </v>
      </c>
      <c r="I159" s="86" t="str">
        <f t="shared" ca="1" si="45"/>
        <v xml:space="preserve"> </v>
      </c>
      <c r="J159" s="86" t="str">
        <f t="shared" ca="1" si="33"/>
        <v xml:space="preserve"> </v>
      </c>
      <c r="K159" s="86" t="str">
        <f t="shared" ca="1" si="34"/>
        <v xml:space="preserve"> </v>
      </c>
      <c r="L159" s="86" t="str">
        <f t="shared" ca="1" si="35"/>
        <v>xénophobe</v>
      </c>
      <c r="M159" s="87">
        <f t="shared" ca="1" si="46"/>
        <v>0</v>
      </c>
      <c r="N159" s="86" t="str">
        <f t="shared" ca="1" si="37"/>
        <v xml:space="preserve"> </v>
      </c>
      <c r="O159" s="86" t="str">
        <f t="shared" ca="1" si="38"/>
        <v>créatures</v>
      </c>
      <c r="P159" s="86" t="str">
        <f t="shared" ca="1" si="39"/>
        <v>assassins</v>
      </c>
      <c r="Q159" s="85" t="str">
        <f t="shared" ca="1" si="40"/>
        <v xml:space="preserve"> </v>
      </c>
    </row>
    <row r="160" spans="1:17" ht="9.9" customHeight="1">
      <c r="A160" s="91" t="s">
        <v>538</v>
      </c>
      <c r="B160" s="90">
        <v>10</v>
      </c>
      <c r="C160" s="89">
        <f t="shared" ca="1" si="41"/>
        <v>1</v>
      </c>
      <c r="D160" s="87">
        <f t="shared" ca="1" si="42"/>
        <v>8</v>
      </c>
      <c r="E160" s="88" t="str">
        <f t="shared" ca="1" si="27"/>
        <v>=</v>
      </c>
      <c r="F160" s="88" t="str">
        <f t="shared" ca="1" si="27"/>
        <v>- - -</v>
      </c>
      <c r="G160" s="86" t="str">
        <f t="shared" ca="1" si="43"/>
        <v xml:space="preserve"> </v>
      </c>
      <c r="H160" s="86" t="str">
        <f t="shared" ca="1" si="44"/>
        <v xml:space="preserve"> </v>
      </c>
      <c r="I160" s="86" t="str">
        <f t="shared" ca="1" si="45"/>
        <v xml:space="preserve"> </v>
      </c>
      <c r="J160" s="86" t="str">
        <f t="shared" ca="1" si="33"/>
        <v xml:space="preserve"> </v>
      </c>
      <c r="K160" s="86" t="str">
        <f t="shared" ca="1" si="34"/>
        <v xml:space="preserve"> </v>
      </c>
      <c r="L160" s="86" t="str">
        <f t="shared" ca="1" si="35"/>
        <v>méfiant</v>
      </c>
      <c r="M160" s="87">
        <f t="shared" ca="1" si="46"/>
        <v>0</v>
      </c>
      <c r="N160" s="86">
        <f t="shared" ca="1" si="37"/>
        <v>0</v>
      </c>
      <c r="O160" s="86" t="str">
        <f t="shared" ca="1" si="38"/>
        <v>gardes</v>
      </c>
      <c r="P160" s="86" t="str">
        <f t="shared" ca="1" si="39"/>
        <v xml:space="preserve"> </v>
      </c>
      <c r="Q160" s="85" t="str">
        <f t="shared" ca="1" si="40"/>
        <v xml:space="preserve"> </v>
      </c>
    </row>
    <row r="161" spans="1:17" ht="9.9" customHeight="1">
      <c r="A161" s="91" t="s">
        <v>537</v>
      </c>
      <c r="B161" s="90">
        <v>10</v>
      </c>
      <c r="C161" s="89">
        <f t="shared" ca="1" si="41"/>
        <v>2</v>
      </c>
      <c r="D161" s="87">
        <f t="shared" ca="1" si="42"/>
        <v>6</v>
      </c>
      <c r="E161" s="88" t="str">
        <f t="shared" ca="1" si="27"/>
        <v>=</v>
      </c>
      <c r="F161" s="88" t="str">
        <f t="shared" ca="1" si="27"/>
        <v>+</v>
      </c>
      <c r="G161" s="86" t="str">
        <f t="shared" ca="1" si="43"/>
        <v xml:space="preserve"> </v>
      </c>
      <c r="H161" s="86" t="str">
        <f t="shared" ca="1" si="44"/>
        <v xml:space="preserve"> </v>
      </c>
      <c r="I161" s="86" t="str">
        <f t="shared" ca="1" si="45"/>
        <v xml:space="preserve"> </v>
      </c>
      <c r="J161" s="86" t="str">
        <f t="shared" ca="1" si="33"/>
        <v xml:space="preserve"> </v>
      </c>
      <c r="K161" s="86" t="str">
        <f t="shared" ca="1" si="34"/>
        <v xml:space="preserve"> </v>
      </c>
      <c r="L161" s="86" t="str">
        <f t="shared" ca="1" si="35"/>
        <v>accueillant</v>
      </c>
      <c r="M161" s="87">
        <f t="shared" ca="1" si="46"/>
        <v>0</v>
      </c>
      <c r="N161" s="86" t="str">
        <f t="shared" ca="1" si="37"/>
        <v xml:space="preserve"> </v>
      </c>
      <c r="O161" s="86" t="str">
        <f t="shared" ca="1" si="38"/>
        <v>créatures</v>
      </c>
      <c r="P161" s="86" t="str">
        <f t="shared" ca="1" si="39"/>
        <v xml:space="preserve"> </v>
      </c>
      <c r="Q161" s="85" t="str">
        <f t="shared" ca="1" si="40"/>
        <v xml:space="preserve"> </v>
      </c>
    </row>
    <row r="162" spans="1:17" ht="9.9" customHeight="1">
      <c r="A162" s="91" t="s">
        <v>541</v>
      </c>
      <c r="B162" s="90">
        <v>10</v>
      </c>
      <c r="C162" s="89">
        <f t="shared" ca="1" si="28"/>
        <v>1</v>
      </c>
      <c r="D162" s="87">
        <f t="shared" ca="1" si="29"/>
        <v>11</v>
      </c>
      <c r="E162" s="88" t="str">
        <f t="shared" ca="1" si="27"/>
        <v>-</v>
      </c>
      <c r="F162" s="88" t="str">
        <f t="shared" ca="1" si="27"/>
        <v>+</v>
      </c>
      <c r="G162" s="86" t="str">
        <f t="shared" ca="1" si="30"/>
        <v xml:space="preserve"> </v>
      </c>
      <c r="H162" s="86" t="str">
        <f t="shared" ca="1" si="31"/>
        <v xml:space="preserve"> </v>
      </c>
      <c r="I162" s="86" t="str">
        <f t="shared" ca="1" si="32"/>
        <v xml:space="preserve"> </v>
      </c>
      <c r="J162" s="86" t="str">
        <f t="shared" ca="1" si="33"/>
        <v>rebelle</v>
      </c>
      <c r="K162" s="86" t="str">
        <f t="shared" ca="1" si="34"/>
        <v xml:space="preserve"> </v>
      </c>
      <c r="L162" s="86" t="str">
        <f t="shared" ca="1" si="35"/>
        <v>fermé</v>
      </c>
      <c r="M162" s="87">
        <f t="shared" ca="1" si="36"/>
        <v>0</v>
      </c>
      <c r="N162" s="86" t="str">
        <f t="shared" ca="1" si="37"/>
        <v>marché</v>
      </c>
      <c r="O162" s="86" t="str">
        <f t="shared" ca="1" si="38"/>
        <v>tranquille</v>
      </c>
      <c r="P162" s="86" t="str">
        <f t="shared" ca="1" si="39"/>
        <v xml:space="preserve"> </v>
      </c>
      <c r="Q162" s="85" t="str">
        <f t="shared" ca="1" si="40"/>
        <v xml:space="preserve"> </v>
      </c>
    </row>
    <row r="163" spans="1:17" ht="9.9" customHeight="1">
      <c r="A163" s="91" t="s">
        <v>540</v>
      </c>
      <c r="B163" s="90">
        <v>10</v>
      </c>
      <c r="C163" s="89">
        <f t="shared" ca="1" si="28"/>
        <v>1</v>
      </c>
      <c r="D163" s="87">
        <f t="shared" ca="1" si="29"/>
        <v>12</v>
      </c>
      <c r="E163" s="88" t="str">
        <f t="shared" ca="1" si="27"/>
        <v>+</v>
      </c>
      <c r="F163" s="88" t="str">
        <f t="shared" ca="1" si="27"/>
        <v>=</v>
      </c>
      <c r="G163" s="86" t="str">
        <f t="shared" ca="1" si="30"/>
        <v xml:space="preserve"> </v>
      </c>
      <c r="H163" s="86" t="str">
        <f t="shared" ca="1" si="31"/>
        <v xml:space="preserve"> </v>
      </c>
      <c r="I163" s="86" t="str">
        <f t="shared" ca="1" si="32"/>
        <v xml:space="preserve"> </v>
      </c>
      <c r="J163" s="86" t="str">
        <f t="shared" ca="1" si="33"/>
        <v xml:space="preserve"> </v>
      </c>
      <c r="K163" s="86" t="str">
        <f t="shared" ca="1" si="34"/>
        <v xml:space="preserve"> </v>
      </c>
      <c r="L163" s="86" t="str">
        <f t="shared" ca="1" si="35"/>
        <v xml:space="preserve"> </v>
      </c>
      <c r="M163" s="87">
        <f t="shared" ca="1" si="36"/>
        <v>0</v>
      </c>
      <c r="N163" s="86" t="str">
        <f t="shared" ca="1" si="37"/>
        <v xml:space="preserve"> </v>
      </c>
      <c r="O163" s="86" t="str">
        <f t="shared" ca="1" si="38"/>
        <v>corruption</v>
      </c>
      <c r="P163" s="86" t="str">
        <f t="shared" ca="1" si="39"/>
        <v xml:space="preserve"> </v>
      </c>
      <c r="Q163" s="85" t="str">
        <f t="shared" ca="1" si="40"/>
        <v xml:space="preserve"> </v>
      </c>
    </row>
    <row r="164" spans="1:17" ht="9.9" customHeight="1">
      <c r="A164" s="91" t="s">
        <v>539</v>
      </c>
      <c r="B164" s="90">
        <v>10</v>
      </c>
      <c r="C164" s="89">
        <f t="shared" ca="1" si="28"/>
        <v>1</v>
      </c>
      <c r="D164" s="87">
        <f t="shared" ca="1" si="29"/>
        <v>8</v>
      </c>
      <c r="E164" s="88" t="str">
        <f t="shared" ca="1" si="27"/>
        <v>+</v>
      </c>
      <c r="F164" s="88" t="str">
        <f t="shared" ca="1" si="27"/>
        <v>=</v>
      </c>
      <c r="G164" s="86" t="str">
        <f t="shared" ca="1" si="30"/>
        <v xml:space="preserve"> </v>
      </c>
      <c r="H164" s="86" t="str">
        <f t="shared" ca="1" si="31"/>
        <v xml:space="preserve"> </v>
      </c>
      <c r="I164" s="86" t="str">
        <f t="shared" ca="1" si="32"/>
        <v xml:space="preserve"> </v>
      </c>
      <c r="J164" s="86" t="str">
        <f t="shared" ca="1" si="33"/>
        <v>très loyal</v>
      </c>
      <c r="K164" s="86" t="str">
        <f t="shared" ca="1" si="34"/>
        <v xml:space="preserve"> </v>
      </c>
      <c r="L164" s="86" t="str">
        <f t="shared" ca="1" si="35"/>
        <v>accueillant</v>
      </c>
      <c r="M164" s="87">
        <f t="shared" ca="1" si="36"/>
        <v>0</v>
      </c>
      <c r="N164" s="86" t="str">
        <f t="shared" ca="1" si="37"/>
        <v>marché</v>
      </c>
      <c r="O164" s="86" t="str">
        <f t="shared" ca="1" si="38"/>
        <v xml:space="preserve"> </v>
      </c>
      <c r="P164" s="86" t="str">
        <f t="shared" ca="1" si="39"/>
        <v xml:space="preserve"> </v>
      </c>
      <c r="Q164" s="85" t="str">
        <f t="shared" ca="1" si="40"/>
        <v xml:space="preserve"> </v>
      </c>
    </row>
    <row r="165" spans="1:17" ht="9.9" customHeight="1">
      <c r="A165" s="91" t="s">
        <v>538</v>
      </c>
      <c r="B165" s="90">
        <v>10</v>
      </c>
      <c r="C165" s="89">
        <f t="shared" ca="1" si="28"/>
        <v>2</v>
      </c>
      <c r="D165" s="87">
        <f t="shared" ca="1" si="29"/>
        <v>13</v>
      </c>
      <c r="E165" s="88" t="str">
        <f t="shared" ref="E165:F195" ca="1" si="47">LOOKUP(RANDBETWEEN(1,100),dé100,richesse)</f>
        <v>-</v>
      </c>
      <c r="F165" s="88" t="str">
        <f t="shared" ca="1" si="47"/>
        <v>++</v>
      </c>
      <c r="G165" s="86" t="str">
        <f t="shared" ca="1" si="30"/>
        <v xml:space="preserve"> </v>
      </c>
      <c r="H165" s="86" t="str">
        <f t="shared" ca="1" si="31"/>
        <v xml:space="preserve"> </v>
      </c>
      <c r="I165" s="86" t="str">
        <f t="shared" ca="1" si="32"/>
        <v xml:space="preserve"> </v>
      </c>
      <c r="J165" s="86" t="str">
        <f t="shared" ca="1" si="33"/>
        <v>fidèle</v>
      </c>
      <c r="K165" s="86" t="str">
        <f t="shared" ca="1" si="34"/>
        <v>fervent</v>
      </c>
      <c r="L165" s="86" t="str">
        <f t="shared" ca="1" si="35"/>
        <v xml:space="preserve"> </v>
      </c>
      <c r="M165" s="87">
        <f t="shared" ca="1" si="36"/>
        <v>0</v>
      </c>
      <c r="N165" s="86" t="str">
        <f t="shared" ca="1" si="37"/>
        <v>peu d'échanges</v>
      </c>
      <c r="O165" s="86" t="str">
        <f t="shared" ca="1" si="38"/>
        <v>corruption</v>
      </c>
      <c r="P165" s="86" t="str">
        <f t="shared" ca="1" si="39"/>
        <v xml:space="preserve"> </v>
      </c>
      <c r="Q165" s="85" t="str">
        <f t="shared" ca="1" si="40"/>
        <v xml:space="preserve"> </v>
      </c>
    </row>
    <row r="166" spans="1:17" ht="9.9" customHeight="1">
      <c r="A166" s="91" t="s">
        <v>537</v>
      </c>
      <c r="B166" s="90">
        <v>10</v>
      </c>
      <c r="C166" s="89">
        <f t="shared" ca="1" si="28"/>
        <v>1</v>
      </c>
      <c r="D166" s="87">
        <f t="shared" ca="1" si="29"/>
        <v>11</v>
      </c>
      <c r="E166" s="88" t="str">
        <f t="shared" ca="1" si="47"/>
        <v>=</v>
      </c>
      <c r="F166" s="88" t="str">
        <f t="shared" ca="1" si="47"/>
        <v>-</v>
      </c>
      <c r="G166" s="86" t="str">
        <f t="shared" ca="1" si="30"/>
        <v xml:space="preserve"> </v>
      </c>
      <c r="H166" s="86" t="str">
        <f t="shared" ca="1" si="31"/>
        <v xml:space="preserve"> </v>
      </c>
      <c r="I166" s="86" t="str">
        <f t="shared" ca="1" si="32"/>
        <v xml:space="preserve"> </v>
      </c>
      <c r="J166" s="86" t="str">
        <f t="shared" ca="1" si="33"/>
        <v xml:space="preserve"> </v>
      </c>
      <c r="K166" s="86" t="str">
        <f t="shared" ca="1" si="34"/>
        <v xml:space="preserve"> </v>
      </c>
      <c r="L166" s="86" t="str">
        <f t="shared" ca="1" si="35"/>
        <v xml:space="preserve"> </v>
      </c>
      <c r="M166" s="87">
        <f t="shared" ca="1" si="36"/>
        <v>0</v>
      </c>
      <c r="N166" s="86" t="str">
        <f t="shared" ca="1" si="37"/>
        <v>pas de marché</v>
      </c>
      <c r="O166" s="86" t="str">
        <f t="shared" ca="1" si="38"/>
        <v>protection</v>
      </c>
      <c r="P166" s="86" t="str">
        <f t="shared" ca="1" si="39"/>
        <v>guerre</v>
      </c>
      <c r="Q166" s="85" t="str">
        <f t="shared" ca="1" si="40"/>
        <v xml:space="preserve"> </v>
      </c>
    </row>
    <row r="167" spans="1:17" ht="9.9" customHeight="1">
      <c r="A167" s="98" t="s">
        <v>536</v>
      </c>
      <c r="B167" s="97">
        <v>5</v>
      </c>
      <c r="C167" s="96">
        <f t="shared" ref="C167:C171" ca="1" si="48">ROUND(B167/(5+RANDBETWEEN(1,5)),0)</f>
        <v>1</v>
      </c>
      <c r="D167" s="94">
        <f t="shared" ref="D167:D171" ca="1" si="49">ROUND(B167*(100+RANDBETWEEN(1,50)-RANDBETWEEN(1,50))/100,0)</f>
        <v>6</v>
      </c>
      <c r="E167" s="95" t="str">
        <f t="shared" ca="1" si="47"/>
        <v>=</v>
      </c>
      <c r="F167" s="95" t="str">
        <f t="shared" ca="1" si="47"/>
        <v>=</v>
      </c>
      <c r="G167" s="93" t="str">
        <f t="shared" ref="G167:G171" ca="1" si="50">IF(RANDBETWEEN(1,10)&lt;=C167,LOOKUP(RANDBETWEEN(1,100),dé100,primaire)," ")</f>
        <v xml:space="preserve"> </v>
      </c>
      <c r="H167" s="93" t="str">
        <f t="shared" ref="H167:H171" ca="1" si="51">IF(RANDBETWEEN(1,50)&lt;=C167,LOOKUP(RANDBETWEEN(1,100),dé100,secondaire)," ")</f>
        <v xml:space="preserve"> </v>
      </c>
      <c r="I167" s="93" t="str">
        <f t="shared" ref="I167:I171" ca="1" si="52">IF(RANDBETWEEN(1,500)&lt;=C167,LOOKUP(RANDBETWEEN(1,100),dé100,tertiaire)," ")</f>
        <v xml:space="preserve"> </v>
      </c>
      <c r="J167" s="93" t="str">
        <f t="shared" ca="1" si="33"/>
        <v xml:space="preserve"> </v>
      </c>
      <c r="K167" s="93" t="str">
        <f t="shared" ca="1" si="34"/>
        <v xml:space="preserve"> </v>
      </c>
      <c r="L167" s="93" t="str">
        <f t="shared" ca="1" si="35"/>
        <v>xénophobe</v>
      </c>
      <c r="M167" s="94">
        <f t="shared" ref="M167:M171" ca="1" si="53">ROUND(C167/(RANDBETWEEN(1,5)+5),0)</f>
        <v>0</v>
      </c>
      <c r="N167" s="93" t="str">
        <f t="shared" ca="1" si="37"/>
        <v>guilde</v>
      </c>
      <c r="O167" s="93" t="str">
        <f t="shared" ca="1" si="38"/>
        <v>protection</v>
      </c>
      <c r="P167" s="93" t="str">
        <f t="shared" ca="1" si="39"/>
        <v xml:space="preserve"> </v>
      </c>
      <c r="Q167" s="92" t="str">
        <f t="shared" ca="1" si="40"/>
        <v xml:space="preserve"> </v>
      </c>
    </row>
    <row r="168" spans="1:17" ht="9.9" customHeight="1">
      <c r="A168" s="98" t="s">
        <v>332</v>
      </c>
      <c r="B168" s="97">
        <v>5</v>
      </c>
      <c r="C168" s="96">
        <f t="shared" ca="1" si="48"/>
        <v>1</v>
      </c>
      <c r="D168" s="94">
        <f t="shared" ca="1" si="49"/>
        <v>5</v>
      </c>
      <c r="E168" s="95" t="str">
        <f t="shared" ca="1" si="47"/>
        <v>=</v>
      </c>
      <c r="F168" s="95" t="str">
        <f t="shared" ca="1" si="47"/>
        <v>+</v>
      </c>
      <c r="G168" s="93" t="str">
        <f t="shared" ca="1" si="50"/>
        <v xml:space="preserve"> </v>
      </c>
      <c r="H168" s="93" t="str">
        <f t="shared" ca="1" si="51"/>
        <v xml:space="preserve"> </v>
      </c>
      <c r="I168" s="93" t="str">
        <f t="shared" ca="1" si="52"/>
        <v xml:space="preserve"> </v>
      </c>
      <c r="J168" s="93" t="str">
        <f t="shared" ca="1" si="33"/>
        <v xml:space="preserve"> </v>
      </c>
      <c r="K168" s="93" t="str">
        <f t="shared" ca="1" si="34"/>
        <v xml:space="preserve"> </v>
      </c>
      <c r="L168" s="93" t="str">
        <f t="shared" ca="1" si="35"/>
        <v xml:space="preserve"> </v>
      </c>
      <c r="M168" s="94">
        <f t="shared" ca="1" si="53"/>
        <v>0</v>
      </c>
      <c r="N168" s="93" t="str">
        <f t="shared" ca="1" si="37"/>
        <v xml:space="preserve"> </v>
      </c>
      <c r="O168" s="93" t="str">
        <f t="shared" ca="1" si="38"/>
        <v>gardes</v>
      </c>
      <c r="P168" s="93" t="str">
        <f t="shared" ca="1" si="39"/>
        <v xml:space="preserve"> </v>
      </c>
      <c r="Q168" s="92" t="str">
        <f t="shared" ca="1" si="40"/>
        <v xml:space="preserve"> </v>
      </c>
    </row>
    <row r="169" spans="1:17" ht="9.9" customHeight="1">
      <c r="A169" s="98" t="s">
        <v>535</v>
      </c>
      <c r="B169" s="97">
        <v>5</v>
      </c>
      <c r="C169" s="96">
        <f t="shared" ca="1" si="48"/>
        <v>1</v>
      </c>
      <c r="D169" s="94">
        <f t="shared" ca="1" si="49"/>
        <v>4</v>
      </c>
      <c r="E169" s="95" t="str">
        <f t="shared" ca="1" si="47"/>
        <v>+</v>
      </c>
      <c r="F169" s="95" t="str">
        <f t="shared" ca="1" si="47"/>
        <v>-</v>
      </c>
      <c r="G169" s="93" t="str">
        <f t="shared" ca="1" si="50"/>
        <v xml:space="preserve"> </v>
      </c>
      <c r="H169" s="93" t="str">
        <f t="shared" ca="1" si="51"/>
        <v xml:space="preserve"> </v>
      </c>
      <c r="I169" s="93" t="str">
        <f t="shared" ca="1" si="52"/>
        <v xml:space="preserve"> </v>
      </c>
      <c r="J169" s="93" t="str">
        <f t="shared" ca="1" si="33"/>
        <v xml:space="preserve"> </v>
      </c>
      <c r="K169" s="93" t="str">
        <f t="shared" ca="1" si="34"/>
        <v xml:space="preserve"> </v>
      </c>
      <c r="L169" s="93" t="str">
        <f t="shared" ca="1" si="35"/>
        <v xml:space="preserve"> </v>
      </c>
      <c r="M169" s="94">
        <f t="shared" ca="1" si="53"/>
        <v>0</v>
      </c>
      <c r="N169" s="93" t="str">
        <f t="shared" ca="1" si="37"/>
        <v xml:space="preserve"> </v>
      </c>
      <c r="O169" s="93" t="str">
        <f t="shared" ca="1" si="38"/>
        <v>tyrannie</v>
      </c>
      <c r="P169" s="93" t="str">
        <f t="shared" ca="1" si="39"/>
        <v xml:space="preserve"> </v>
      </c>
      <c r="Q169" s="92" t="str">
        <f t="shared" ca="1" si="40"/>
        <v xml:space="preserve"> </v>
      </c>
    </row>
    <row r="170" spans="1:17" ht="9.9" customHeight="1">
      <c r="A170" s="98" t="s">
        <v>534</v>
      </c>
      <c r="B170" s="97">
        <v>5</v>
      </c>
      <c r="C170" s="96">
        <f t="shared" ca="1" si="48"/>
        <v>1</v>
      </c>
      <c r="D170" s="94">
        <f t="shared" ca="1" si="49"/>
        <v>3</v>
      </c>
      <c r="E170" s="95" t="str">
        <f t="shared" ca="1" si="47"/>
        <v>- -</v>
      </c>
      <c r="F170" s="95" t="str">
        <f t="shared" ca="1" si="47"/>
        <v>+</v>
      </c>
      <c r="G170" s="93" t="str">
        <f t="shared" ca="1" si="50"/>
        <v xml:space="preserve"> </v>
      </c>
      <c r="H170" s="93" t="str">
        <f t="shared" ca="1" si="51"/>
        <v xml:space="preserve"> </v>
      </c>
      <c r="I170" s="93" t="str">
        <f t="shared" ca="1" si="52"/>
        <v xml:space="preserve"> </v>
      </c>
      <c r="J170" s="93" t="str">
        <f t="shared" ca="1" si="33"/>
        <v>fidèle</v>
      </c>
      <c r="K170" s="93" t="str">
        <f t="shared" ca="1" si="34"/>
        <v xml:space="preserve"> </v>
      </c>
      <c r="L170" s="93" t="str">
        <f t="shared" ca="1" si="35"/>
        <v xml:space="preserve"> </v>
      </c>
      <c r="M170" s="94">
        <f t="shared" ca="1" si="53"/>
        <v>0</v>
      </c>
      <c r="N170" s="93" t="str">
        <f t="shared" ca="1" si="37"/>
        <v>marché</v>
      </c>
      <c r="O170" s="93" t="str">
        <f t="shared" ca="1" si="38"/>
        <v xml:space="preserve"> </v>
      </c>
      <c r="P170" s="93" t="str">
        <f t="shared" ca="1" si="39"/>
        <v xml:space="preserve"> </v>
      </c>
      <c r="Q170" s="92" t="str">
        <f t="shared" ca="1" si="40"/>
        <v xml:space="preserve"> </v>
      </c>
    </row>
    <row r="171" spans="1:17" ht="9.75" customHeight="1">
      <c r="A171" s="98" t="s">
        <v>533</v>
      </c>
      <c r="B171" s="97">
        <v>5</v>
      </c>
      <c r="C171" s="96">
        <f t="shared" ca="1" si="48"/>
        <v>1</v>
      </c>
      <c r="D171" s="94">
        <f t="shared" ca="1" si="49"/>
        <v>4</v>
      </c>
      <c r="E171" s="95" t="str">
        <f t="shared" ca="1" si="47"/>
        <v>-</v>
      </c>
      <c r="F171" s="95" t="str">
        <f t="shared" ca="1" si="47"/>
        <v>=</v>
      </c>
      <c r="G171" s="93" t="str">
        <f t="shared" ca="1" si="50"/>
        <v xml:space="preserve"> </v>
      </c>
      <c r="H171" s="93" t="str">
        <f t="shared" ca="1" si="51"/>
        <v xml:space="preserve"> </v>
      </c>
      <c r="I171" s="93" t="str">
        <f t="shared" ca="1" si="52"/>
        <v xml:space="preserve"> </v>
      </c>
      <c r="J171" s="93" t="str">
        <f t="shared" ca="1" si="33"/>
        <v>fidèle</v>
      </c>
      <c r="K171" s="93" t="str">
        <f t="shared" ca="1" si="34"/>
        <v xml:space="preserve"> </v>
      </c>
      <c r="L171" s="93" t="str">
        <f t="shared" ca="1" si="35"/>
        <v xml:space="preserve"> </v>
      </c>
      <c r="M171" s="94">
        <f t="shared" ca="1" si="53"/>
        <v>0</v>
      </c>
      <c r="N171" s="93" t="str">
        <f t="shared" ca="1" si="37"/>
        <v xml:space="preserve"> </v>
      </c>
      <c r="O171" s="93" t="str">
        <f t="shared" ca="1" si="38"/>
        <v xml:space="preserve"> </v>
      </c>
      <c r="P171" s="93" t="str">
        <f t="shared" ca="1" si="39"/>
        <v xml:space="preserve"> </v>
      </c>
      <c r="Q171" s="92" t="str">
        <f t="shared" ca="1" si="40"/>
        <v xml:space="preserve"> </v>
      </c>
    </row>
    <row r="172" spans="1:17" ht="9.9" customHeight="1">
      <c r="A172" s="98" t="s">
        <v>536</v>
      </c>
      <c r="B172" s="97">
        <v>5</v>
      </c>
      <c r="C172" s="96">
        <f t="shared" ca="1" si="28"/>
        <v>1</v>
      </c>
      <c r="D172" s="94">
        <f t="shared" ca="1" si="29"/>
        <v>5</v>
      </c>
      <c r="E172" s="95" t="str">
        <f t="shared" ca="1" si="47"/>
        <v>- -</v>
      </c>
      <c r="F172" s="95" t="str">
        <f t="shared" ca="1" si="47"/>
        <v>++</v>
      </c>
      <c r="G172" s="93" t="str">
        <f t="shared" ca="1" si="30"/>
        <v xml:space="preserve"> </v>
      </c>
      <c r="H172" s="93" t="str">
        <f t="shared" ca="1" si="31"/>
        <v xml:space="preserve"> </v>
      </c>
      <c r="I172" s="93" t="str">
        <f t="shared" ca="1" si="32"/>
        <v xml:space="preserve"> </v>
      </c>
      <c r="J172" s="93" t="str">
        <f t="shared" ca="1" si="33"/>
        <v xml:space="preserve"> </v>
      </c>
      <c r="K172" s="93" t="str">
        <f t="shared" ca="1" si="34"/>
        <v xml:space="preserve"> </v>
      </c>
      <c r="L172" s="93" t="str">
        <f t="shared" ca="1" si="35"/>
        <v xml:space="preserve"> </v>
      </c>
      <c r="M172" s="94">
        <f t="shared" ca="1" si="36"/>
        <v>0</v>
      </c>
      <c r="N172" s="93" t="str">
        <f t="shared" ca="1" si="37"/>
        <v xml:space="preserve"> </v>
      </c>
      <c r="O172" s="93" t="str">
        <f t="shared" ca="1" si="38"/>
        <v>corruption</v>
      </c>
      <c r="P172" s="93" t="str">
        <f t="shared" ca="1" si="39"/>
        <v xml:space="preserve"> </v>
      </c>
      <c r="Q172" s="92" t="str">
        <f t="shared" ca="1" si="40"/>
        <v xml:space="preserve"> </v>
      </c>
    </row>
    <row r="173" spans="1:17" ht="9.9" customHeight="1">
      <c r="A173" s="98" t="s">
        <v>332</v>
      </c>
      <c r="B173" s="97">
        <v>5</v>
      </c>
      <c r="C173" s="96">
        <f t="shared" ca="1" si="28"/>
        <v>1</v>
      </c>
      <c r="D173" s="94">
        <f t="shared" ca="1" si="29"/>
        <v>4</v>
      </c>
      <c r="E173" s="95" t="str">
        <f t="shared" ca="1" si="47"/>
        <v>=</v>
      </c>
      <c r="F173" s="95" t="str">
        <f t="shared" ca="1" si="47"/>
        <v>++</v>
      </c>
      <c r="G173" s="93" t="str">
        <f t="shared" ca="1" si="30"/>
        <v xml:space="preserve"> </v>
      </c>
      <c r="H173" s="93" t="str">
        <f t="shared" ca="1" si="31"/>
        <v xml:space="preserve"> </v>
      </c>
      <c r="I173" s="93" t="str">
        <f t="shared" ca="1" si="32"/>
        <v xml:space="preserve"> </v>
      </c>
      <c r="J173" s="93" t="str">
        <f t="shared" ca="1" si="33"/>
        <v>rebelle</v>
      </c>
      <c r="K173" s="93" t="str">
        <f t="shared" ca="1" si="34"/>
        <v xml:space="preserve"> </v>
      </c>
      <c r="L173" s="93" t="str">
        <f t="shared" ca="1" si="35"/>
        <v xml:space="preserve"> </v>
      </c>
      <c r="M173" s="94">
        <f t="shared" ca="1" si="36"/>
        <v>0</v>
      </c>
      <c r="N173" s="93" t="str">
        <f t="shared" ca="1" si="37"/>
        <v>désert</v>
      </c>
      <c r="O173" s="93" t="str">
        <f t="shared" ca="1" si="38"/>
        <v>protection</v>
      </c>
      <c r="P173" s="93" t="str">
        <f t="shared" ca="1" si="39"/>
        <v xml:space="preserve"> </v>
      </c>
      <c r="Q173" s="92" t="str">
        <f t="shared" ca="1" si="40"/>
        <v xml:space="preserve"> </v>
      </c>
    </row>
    <row r="174" spans="1:17" ht="9.9" customHeight="1">
      <c r="A174" s="98" t="s">
        <v>535</v>
      </c>
      <c r="B174" s="97">
        <v>5</v>
      </c>
      <c r="C174" s="96">
        <f t="shared" ca="1" si="28"/>
        <v>1</v>
      </c>
      <c r="D174" s="94">
        <f t="shared" ca="1" si="29"/>
        <v>7</v>
      </c>
      <c r="E174" s="95" t="str">
        <f t="shared" ca="1" si="47"/>
        <v>=</v>
      </c>
      <c r="F174" s="95" t="str">
        <f t="shared" ca="1" si="47"/>
        <v>=</v>
      </c>
      <c r="G174" s="93" t="str">
        <f t="shared" ca="1" si="30"/>
        <v xml:space="preserve"> </v>
      </c>
      <c r="H174" s="93" t="str">
        <f t="shared" ca="1" si="31"/>
        <v xml:space="preserve"> </v>
      </c>
      <c r="I174" s="93" t="str">
        <f t="shared" ca="1" si="32"/>
        <v xml:space="preserve"> </v>
      </c>
      <c r="J174" s="93" t="str">
        <f t="shared" ca="1" si="33"/>
        <v>opposé</v>
      </c>
      <c r="K174" s="93" t="str">
        <f t="shared" ca="1" si="34"/>
        <v xml:space="preserve"> </v>
      </c>
      <c r="L174" s="93" t="str">
        <f t="shared" ca="1" si="35"/>
        <v xml:space="preserve"> </v>
      </c>
      <c r="M174" s="94">
        <f t="shared" ca="1" si="36"/>
        <v>0</v>
      </c>
      <c r="N174" s="93" t="str">
        <f t="shared" ca="1" si="37"/>
        <v>guilde</v>
      </c>
      <c r="O174" s="93" t="str">
        <f t="shared" ca="1" si="38"/>
        <v xml:space="preserve"> </v>
      </c>
      <c r="P174" s="93" t="str">
        <f t="shared" ca="1" si="39"/>
        <v xml:space="preserve"> </v>
      </c>
      <c r="Q174" s="92" t="str">
        <f t="shared" ca="1" si="40"/>
        <v xml:space="preserve"> </v>
      </c>
    </row>
    <row r="175" spans="1:17" ht="9.9" customHeight="1">
      <c r="A175" s="98" t="s">
        <v>534</v>
      </c>
      <c r="B175" s="97">
        <v>5</v>
      </c>
      <c r="C175" s="96">
        <f t="shared" ca="1" si="28"/>
        <v>1</v>
      </c>
      <c r="D175" s="94">
        <f t="shared" ca="1" si="29"/>
        <v>6</v>
      </c>
      <c r="E175" s="95" t="str">
        <f t="shared" ca="1" si="47"/>
        <v>+</v>
      </c>
      <c r="F175" s="95" t="str">
        <f t="shared" ca="1" si="47"/>
        <v>=</v>
      </c>
      <c r="G175" s="93" t="str">
        <f t="shared" ca="1" si="30"/>
        <v>Agriculture</v>
      </c>
      <c r="H175" s="93" t="str">
        <f t="shared" ca="1" si="31"/>
        <v xml:space="preserve"> </v>
      </c>
      <c r="I175" s="93" t="str">
        <f t="shared" ca="1" si="32"/>
        <v xml:space="preserve"> </v>
      </c>
      <c r="J175" s="93" t="str">
        <f t="shared" ca="1" si="33"/>
        <v>fidèle</v>
      </c>
      <c r="K175" s="93" t="str">
        <f t="shared" ca="1" si="34"/>
        <v xml:space="preserve"> </v>
      </c>
      <c r="L175" s="93" t="str">
        <f t="shared" ca="1" si="35"/>
        <v>tolérant</v>
      </c>
      <c r="M175" s="94">
        <f t="shared" ca="1" si="36"/>
        <v>0</v>
      </c>
      <c r="N175" s="93" t="str">
        <f t="shared" ca="1" si="37"/>
        <v xml:space="preserve"> </v>
      </c>
      <c r="O175" s="93" t="str">
        <f t="shared" ca="1" si="38"/>
        <v>tyrannie</v>
      </c>
      <c r="P175" s="93" t="str">
        <f t="shared" ca="1" si="39"/>
        <v xml:space="preserve"> </v>
      </c>
      <c r="Q175" s="92" t="str">
        <f t="shared" ca="1" si="40"/>
        <v xml:space="preserve"> </v>
      </c>
    </row>
    <row r="176" spans="1:17" ht="9.75" customHeight="1">
      <c r="A176" s="98" t="s">
        <v>533</v>
      </c>
      <c r="B176" s="97">
        <v>5</v>
      </c>
      <c r="C176" s="96">
        <f t="shared" ca="1" si="28"/>
        <v>1</v>
      </c>
      <c r="D176" s="94">
        <f t="shared" ca="1" si="29"/>
        <v>5</v>
      </c>
      <c r="E176" s="95" t="str">
        <f t="shared" ca="1" si="47"/>
        <v>=</v>
      </c>
      <c r="F176" s="95" t="str">
        <f t="shared" ca="1" si="47"/>
        <v>++</v>
      </c>
      <c r="G176" s="93" t="str">
        <f t="shared" ca="1" si="30"/>
        <v xml:space="preserve"> </v>
      </c>
      <c r="H176" s="93" t="str">
        <f t="shared" ca="1" si="31"/>
        <v xml:space="preserve"> </v>
      </c>
      <c r="I176" s="93" t="str">
        <f t="shared" ca="1" si="32"/>
        <v xml:space="preserve"> </v>
      </c>
      <c r="J176" s="93" t="str">
        <f t="shared" ca="1" si="33"/>
        <v>opposé</v>
      </c>
      <c r="K176" s="93" t="str">
        <f t="shared" ca="1" si="34"/>
        <v>fervent</v>
      </c>
      <c r="L176" s="93" t="str">
        <f t="shared" ca="1" si="35"/>
        <v>xénophobe</v>
      </c>
      <c r="M176" s="94">
        <f t="shared" ca="1" si="36"/>
        <v>0</v>
      </c>
      <c r="N176" s="93" t="str">
        <f t="shared" ca="1" si="37"/>
        <v>marché</v>
      </c>
      <c r="O176" s="93" t="str">
        <f t="shared" ca="1" si="38"/>
        <v xml:space="preserve"> </v>
      </c>
      <c r="P176" s="93" t="str">
        <f t="shared" ca="1" si="39"/>
        <v>trafic</v>
      </c>
      <c r="Q176" s="92" t="str">
        <f t="shared" ca="1" si="40"/>
        <v xml:space="preserve"> </v>
      </c>
    </row>
    <row r="177" spans="1:17" ht="9.9" customHeight="1">
      <c r="A177" s="91" t="s">
        <v>2435</v>
      </c>
      <c r="B177" s="90">
        <v>20</v>
      </c>
      <c r="C177" s="89">
        <f t="shared" ca="1" si="28"/>
        <v>3</v>
      </c>
      <c r="D177" s="87">
        <f t="shared" ca="1" si="29"/>
        <v>18</v>
      </c>
      <c r="E177" s="88" t="str">
        <f t="shared" ca="1" si="47"/>
        <v>-</v>
      </c>
      <c r="F177" s="88" t="str">
        <f t="shared" ca="1" si="47"/>
        <v>=</v>
      </c>
      <c r="G177" s="86" t="str">
        <f t="shared" ca="1" si="30"/>
        <v xml:space="preserve"> </v>
      </c>
      <c r="H177" s="86" t="str">
        <f t="shared" ca="1" si="31"/>
        <v xml:space="preserve"> </v>
      </c>
      <c r="I177" s="86" t="str">
        <f t="shared" ca="1" si="32"/>
        <v xml:space="preserve"> </v>
      </c>
      <c r="J177" s="86" t="str">
        <f t="shared" ca="1" si="33"/>
        <v xml:space="preserve"> </v>
      </c>
      <c r="K177" s="86" t="str">
        <f t="shared" ca="1" si="34"/>
        <v>fervent</v>
      </c>
      <c r="L177" s="86" t="str">
        <f t="shared" ca="1" si="35"/>
        <v>méfiant</v>
      </c>
      <c r="M177" s="87">
        <f t="shared" ca="1" si="36"/>
        <v>0</v>
      </c>
      <c r="N177" s="86" t="str">
        <f t="shared" ca="1" si="37"/>
        <v>pas de marché</v>
      </c>
      <c r="O177" s="86" t="str">
        <f t="shared" ca="1" si="38"/>
        <v>corruption</v>
      </c>
      <c r="P177" s="86" t="str">
        <f t="shared" ca="1" si="39"/>
        <v xml:space="preserve"> </v>
      </c>
      <c r="Q177" s="85" t="str">
        <f t="shared" ca="1" si="40"/>
        <v xml:space="preserve"> </v>
      </c>
    </row>
    <row r="178" spans="1:17" ht="9.9" customHeight="1">
      <c r="A178" s="91" t="s">
        <v>2435</v>
      </c>
      <c r="B178" s="90">
        <v>20</v>
      </c>
      <c r="C178" s="89">
        <f t="shared" ref="C178:C180" ca="1" si="54">ROUND(B178/(5+RANDBETWEEN(1,5)),0)</f>
        <v>2</v>
      </c>
      <c r="D178" s="87">
        <f t="shared" ref="D178:D180" ca="1" si="55">ROUND(B178*(100+RANDBETWEEN(1,50)-RANDBETWEEN(1,50))/100,0)</f>
        <v>24</v>
      </c>
      <c r="E178" s="88" t="str">
        <f t="shared" ca="1" si="47"/>
        <v>+</v>
      </c>
      <c r="F178" s="88" t="str">
        <f t="shared" ca="1" si="47"/>
        <v>=</v>
      </c>
      <c r="G178" s="86" t="str">
        <f t="shared" ref="G178:G180" ca="1" si="56">IF(RANDBETWEEN(1,10)&lt;=C178,LOOKUP(RANDBETWEEN(1,100),dé100,primaire)," ")</f>
        <v xml:space="preserve"> </v>
      </c>
      <c r="H178" s="86" t="str">
        <f t="shared" ref="H178:H180" ca="1" si="57">IF(RANDBETWEEN(1,50)&lt;=C178,LOOKUP(RANDBETWEEN(1,100),dé100,secondaire)," ")</f>
        <v xml:space="preserve"> </v>
      </c>
      <c r="I178" s="86" t="str">
        <f t="shared" ref="I178:I180" ca="1" si="58">IF(RANDBETWEEN(1,500)&lt;=C178,LOOKUP(RANDBETWEEN(1,100),dé100,tertiaire)," ")</f>
        <v xml:space="preserve"> </v>
      </c>
      <c r="J178" s="86" t="str">
        <f t="shared" ca="1" si="33"/>
        <v xml:space="preserve"> </v>
      </c>
      <c r="K178" s="86" t="str">
        <f t="shared" ca="1" si="34"/>
        <v xml:space="preserve"> </v>
      </c>
      <c r="L178" s="86" t="str">
        <f t="shared" ca="1" si="35"/>
        <v xml:space="preserve"> </v>
      </c>
      <c r="M178" s="87">
        <f t="shared" ref="M178:M180" ca="1" si="59">ROUND(C178/(RANDBETWEEN(1,5)+5),0)</f>
        <v>0</v>
      </c>
      <c r="N178" s="86" t="str">
        <f t="shared" ca="1" si="37"/>
        <v xml:space="preserve"> </v>
      </c>
      <c r="O178" s="86" t="str">
        <f t="shared" ca="1" si="38"/>
        <v xml:space="preserve"> </v>
      </c>
      <c r="P178" s="86" t="str">
        <f t="shared" ca="1" si="39"/>
        <v xml:space="preserve"> </v>
      </c>
      <c r="Q178" s="85" t="str">
        <f t="shared" ca="1" si="40"/>
        <v xml:space="preserve"> </v>
      </c>
    </row>
    <row r="179" spans="1:17" ht="9.9" customHeight="1">
      <c r="A179" s="91" t="s">
        <v>2435</v>
      </c>
      <c r="B179" s="90">
        <v>20</v>
      </c>
      <c r="C179" s="89">
        <f t="shared" ca="1" si="54"/>
        <v>2</v>
      </c>
      <c r="D179" s="87">
        <f t="shared" ca="1" si="55"/>
        <v>23</v>
      </c>
      <c r="E179" s="88" t="str">
        <f t="shared" ca="1" si="47"/>
        <v>=</v>
      </c>
      <c r="F179" s="88" t="str">
        <f t="shared" ca="1" si="47"/>
        <v>=</v>
      </c>
      <c r="G179" s="86" t="str">
        <f t="shared" ca="1" si="56"/>
        <v xml:space="preserve"> </v>
      </c>
      <c r="H179" s="86" t="str">
        <f t="shared" ca="1" si="57"/>
        <v xml:space="preserve"> </v>
      </c>
      <c r="I179" s="86" t="str">
        <f t="shared" ca="1" si="58"/>
        <v xml:space="preserve"> </v>
      </c>
      <c r="J179" s="86" t="str">
        <f t="shared" ca="1" si="33"/>
        <v xml:space="preserve"> </v>
      </c>
      <c r="K179" s="86" t="str">
        <f t="shared" ca="1" si="34"/>
        <v xml:space="preserve"> </v>
      </c>
      <c r="L179" s="86" t="str">
        <f t="shared" ca="1" si="35"/>
        <v>tolérant</v>
      </c>
      <c r="M179" s="87">
        <f t="shared" ca="1" si="59"/>
        <v>0</v>
      </c>
      <c r="N179" s="86" t="str">
        <f t="shared" ca="1" si="37"/>
        <v xml:space="preserve"> </v>
      </c>
      <c r="O179" s="86" t="str">
        <f t="shared" ca="1" si="38"/>
        <v>corruption</v>
      </c>
      <c r="P179" s="86" t="str">
        <f t="shared" ca="1" si="39"/>
        <v xml:space="preserve"> </v>
      </c>
      <c r="Q179" s="85" t="str">
        <f t="shared" ca="1" si="40"/>
        <v xml:space="preserve"> </v>
      </c>
    </row>
    <row r="180" spans="1:17" ht="9.9" customHeight="1">
      <c r="A180" s="91" t="s">
        <v>2435</v>
      </c>
      <c r="B180" s="90">
        <v>20</v>
      </c>
      <c r="C180" s="89">
        <f t="shared" ca="1" si="54"/>
        <v>2</v>
      </c>
      <c r="D180" s="87">
        <f t="shared" ca="1" si="55"/>
        <v>19</v>
      </c>
      <c r="E180" s="88" t="str">
        <f t="shared" ca="1" si="47"/>
        <v>+</v>
      </c>
      <c r="F180" s="88" t="str">
        <f t="shared" ca="1" si="47"/>
        <v>=</v>
      </c>
      <c r="G180" s="86" t="str">
        <f t="shared" ca="1" si="56"/>
        <v xml:space="preserve"> </v>
      </c>
      <c r="H180" s="86" t="str">
        <f t="shared" ca="1" si="57"/>
        <v xml:space="preserve"> </v>
      </c>
      <c r="I180" s="86" t="str">
        <f t="shared" ca="1" si="58"/>
        <v xml:space="preserve"> </v>
      </c>
      <c r="J180" s="86" t="str">
        <f t="shared" ca="1" si="33"/>
        <v xml:space="preserve"> </v>
      </c>
      <c r="K180" s="86" t="str">
        <f t="shared" ca="1" si="34"/>
        <v>pratiques</v>
      </c>
      <c r="L180" s="86" t="str">
        <f t="shared" ca="1" si="35"/>
        <v xml:space="preserve"> </v>
      </c>
      <c r="M180" s="87">
        <f t="shared" ca="1" si="59"/>
        <v>0</v>
      </c>
      <c r="N180" s="86" t="str">
        <f t="shared" ca="1" si="37"/>
        <v xml:space="preserve"> </v>
      </c>
      <c r="O180" s="86" t="str">
        <f t="shared" ca="1" si="38"/>
        <v xml:space="preserve"> </v>
      </c>
      <c r="P180" s="86" t="str">
        <f t="shared" ca="1" si="39"/>
        <v>bataille</v>
      </c>
      <c r="Q180" s="85" t="str">
        <f t="shared" ca="1" si="40"/>
        <v xml:space="preserve"> </v>
      </c>
    </row>
    <row r="181" spans="1:17" ht="9.9" customHeight="1">
      <c r="A181" s="91" t="s">
        <v>2435</v>
      </c>
      <c r="B181" s="90">
        <v>20</v>
      </c>
      <c r="C181" s="89">
        <f t="shared" ca="1" si="28"/>
        <v>3</v>
      </c>
      <c r="D181" s="87">
        <f t="shared" ca="1" si="29"/>
        <v>21</v>
      </c>
      <c r="E181" s="88" t="str">
        <f t="shared" ca="1" si="47"/>
        <v>+</v>
      </c>
      <c r="F181" s="88" t="str">
        <f t="shared" ca="1" si="47"/>
        <v>+</v>
      </c>
      <c r="G181" s="86" t="str">
        <f t="shared" ca="1" si="30"/>
        <v xml:space="preserve"> </v>
      </c>
      <c r="H181" s="86" t="str">
        <f t="shared" ca="1" si="31"/>
        <v xml:space="preserve"> </v>
      </c>
      <c r="I181" s="86" t="str">
        <f t="shared" ca="1" si="32"/>
        <v xml:space="preserve"> </v>
      </c>
      <c r="J181" s="86" t="str">
        <f t="shared" ca="1" si="33"/>
        <v xml:space="preserve"> </v>
      </c>
      <c r="K181" s="86" t="str">
        <f t="shared" ca="1" si="34"/>
        <v xml:space="preserve"> </v>
      </c>
      <c r="L181" s="86" t="str">
        <f t="shared" ca="1" si="35"/>
        <v>curieux</v>
      </c>
      <c r="M181" s="87">
        <f t="shared" ca="1" si="36"/>
        <v>0</v>
      </c>
      <c r="N181" s="86" t="str">
        <f t="shared" ca="1" si="37"/>
        <v xml:space="preserve"> </v>
      </c>
      <c r="O181" s="86" t="str">
        <f t="shared" ca="1" si="38"/>
        <v>corruption</v>
      </c>
      <c r="P181" s="86" t="str">
        <f t="shared" ca="1" si="39"/>
        <v xml:space="preserve"> </v>
      </c>
      <c r="Q181" s="85" t="str">
        <f t="shared" ca="1" si="40"/>
        <v xml:space="preserve"> </v>
      </c>
    </row>
    <row r="182" spans="1:17" ht="9.9" customHeight="1">
      <c r="A182" s="91" t="s">
        <v>2435</v>
      </c>
      <c r="B182" s="90">
        <v>20</v>
      </c>
      <c r="C182" s="89">
        <f t="shared" ca="1" si="28"/>
        <v>2</v>
      </c>
      <c r="D182" s="87">
        <f t="shared" ca="1" si="29"/>
        <v>20</v>
      </c>
      <c r="E182" s="88" t="str">
        <f t="shared" ca="1" si="47"/>
        <v>++</v>
      </c>
      <c r="F182" s="88" t="str">
        <f t="shared" ca="1" si="47"/>
        <v>++</v>
      </c>
      <c r="G182" s="86" t="str">
        <f t="shared" ca="1" si="30"/>
        <v xml:space="preserve"> </v>
      </c>
      <c r="H182" s="86" t="str">
        <f t="shared" ca="1" si="31"/>
        <v>Artisanat</v>
      </c>
      <c r="I182" s="86" t="str">
        <f t="shared" ca="1" si="32"/>
        <v xml:space="preserve"> </v>
      </c>
      <c r="J182" s="86" t="str">
        <f t="shared" ca="1" si="33"/>
        <v>très loyal</v>
      </c>
      <c r="K182" s="86" t="str">
        <f t="shared" ca="1" si="34"/>
        <v>fervent</v>
      </c>
      <c r="L182" s="86" t="str">
        <f t="shared" ca="1" si="35"/>
        <v>méfiant</v>
      </c>
      <c r="M182" s="87">
        <f t="shared" ca="1" si="36"/>
        <v>0</v>
      </c>
      <c r="N182" s="86" t="str">
        <f t="shared" ca="1" si="37"/>
        <v xml:space="preserve"> </v>
      </c>
      <c r="O182" s="86" t="str">
        <f t="shared" ca="1" si="38"/>
        <v>protection</v>
      </c>
      <c r="P182" s="86" t="str">
        <f t="shared" ca="1" si="39"/>
        <v xml:space="preserve"> </v>
      </c>
      <c r="Q182" s="85" t="str">
        <f t="shared" ca="1" si="40"/>
        <v xml:space="preserve"> </v>
      </c>
    </row>
    <row r="183" spans="1:17" ht="9.9" customHeight="1">
      <c r="A183" s="91" t="s">
        <v>2435</v>
      </c>
      <c r="B183" s="90">
        <v>20</v>
      </c>
      <c r="C183" s="89">
        <f t="shared" ca="1" si="28"/>
        <v>3</v>
      </c>
      <c r="D183" s="87">
        <f t="shared" ca="1" si="29"/>
        <v>23</v>
      </c>
      <c r="E183" s="88" t="str">
        <f t="shared" ca="1" si="47"/>
        <v>=</v>
      </c>
      <c r="F183" s="88" t="str">
        <f t="shared" ca="1" si="47"/>
        <v>=</v>
      </c>
      <c r="G183" s="86" t="str">
        <f t="shared" ca="1" si="30"/>
        <v xml:space="preserve"> </v>
      </c>
      <c r="H183" s="86" t="str">
        <f t="shared" ca="1" si="31"/>
        <v xml:space="preserve"> </v>
      </c>
      <c r="I183" s="86" t="str">
        <f t="shared" ca="1" si="32"/>
        <v xml:space="preserve"> </v>
      </c>
      <c r="J183" s="86" t="str">
        <f t="shared" ca="1" si="33"/>
        <v xml:space="preserve"> </v>
      </c>
      <c r="K183" s="86" t="str">
        <f t="shared" ca="1" si="34"/>
        <v>très fervent</v>
      </c>
      <c r="L183" s="86" t="str">
        <f t="shared" ca="1" si="35"/>
        <v>méfiant</v>
      </c>
      <c r="M183" s="87">
        <f t="shared" ca="1" si="36"/>
        <v>0</v>
      </c>
      <c r="N183" s="86" t="str">
        <f t="shared" ca="1" si="37"/>
        <v>guilde</v>
      </c>
      <c r="O183" s="86" t="str">
        <f t="shared" ca="1" si="38"/>
        <v xml:space="preserve"> </v>
      </c>
      <c r="P183" s="86" t="str">
        <f t="shared" ca="1" si="39"/>
        <v xml:space="preserve"> </v>
      </c>
      <c r="Q183" s="85" t="str">
        <f t="shared" ca="1" si="40"/>
        <v xml:space="preserve"> </v>
      </c>
    </row>
    <row r="184" spans="1:17" ht="9.9" customHeight="1">
      <c r="A184" s="91" t="s">
        <v>2435</v>
      </c>
      <c r="B184" s="90">
        <v>20</v>
      </c>
      <c r="C184" s="89">
        <f t="shared" ca="1" si="28"/>
        <v>2</v>
      </c>
      <c r="D184" s="87">
        <f t="shared" ca="1" si="29"/>
        <v>16</v>
      </c>
      <c r="E184" s="88" t="str">
        <f t="shared" ca="1" si="47"/>
        <v>-</v>
      </c>
      <c r="F184" s="88" t="str">
        <f t="shared" ca="1" si="47"/>
        <v>=</v>
      </c>
      <c r="G184" s="86" t="str">
        <f t="shared" ca="1" si="30"/>
        <v>Agriculture</v>
      </c>
      <c r="H184" s="86" t="str">
        <f t="shared" ca="1" si="31"/>
        <v xml:space="preserve"> </v>
      </c>
      <c r="I184" s="86" t="str">
        <f t="shared" ca="1" si="32"/>
        <v xml:space="preserve"> </v>
      </c>
      <c r="J184" s="86" t="str">
        <f t="shared" ca="1" si="33"/>
        <v xml:space="preserve"> </v>
      </c>
      <c r="K184" s="86" t="str">
        <f t="shared" ca="1" si="34"/>
        <v xml:space="preserve"> </v>
      </c>
      <c r="L184" s="86" t="str">
        <f t="shared" ca="1" si="35"/>
        <v xml:space="preserve"> </v>
      </c>
      <c r="M184" s="87">
        <f t="shared" ca="1" si="36"/>
        <v>0</v>
      </c>
      <c r="N184" s="86" t="str">
        <f t="shared" ca="1" si="37"/>
        <v xml:space="preserve"> </v>
      </c>
      <c r="O184" s="86" t="str">
        <f t="shared" ca="1" si="38"/>
        <v>protection</v>
      </c>
      <c r="P184" s="86" t="str">
        <f t="shared" ca="1" si="39"/>
        <v>bataille</v>
      </c>
      <c r="Q184" s="85" t="str">
        <f t="shared" ca="1" si="40"/>
        <v xml:space="preserve"> </v>
      </c>
    </row>
    <row r="185" spans="1:17" ht="9.9" customHeight="1">
      <c r="A185" s="98" t="s">
        <v>2450</v>
      </c>
      <c r="B185" s="97">
        <v>50</v>
      </c>
      <c r="C185" s="96">
        <f t="shared" ca="1" si="28"/>
        <v>8</v>
      </c>
      <c r="D185" s="94">
        <f t="shared" ca="1" si="29"/>
        <v>37</v>
      </c>
      <c r="E185" s="95" t="str">
        <f t="shared" ca="1" si="47"/>
        <v>++</v>
      </c>
      <c r="F185" s="95" t="str">
        <f t="shared" ca="1" si="47"/>
        <v>- -</v>
      </c>
      <c r="G185" s="93" t="str">
        <f t="shared" ca="1" si="30"/>
        <v>Agriculture</v>
      </c>
      <c r="H185" s="93" t="str">
        <f t="shared" ca="1" si="31"/>
        <v xml:space="preserve"> </v>
      </c>
      <c r="I185" s="93" t="str">
        <f t="shared" ca="1" si="32"/>
        <v xml:space="preserve"> </v>
      </c>
      <c r="J185" s="93" t="str">
        <f t="shared" ca="1" si="33"/>
        <v xml:space="preserve"> </v>
      </c>
      <c r="K185" s="93" t="str">
        <f t="shared" ca="1" si="34"/>
        <v>très fervent</v>
      </c>
      <c r="L185" s="93" t="str">
        <f t="shared" ca="1" si="35"/>
        <v xml:space="preserve"> </v>
      </c>
      <c r="M185" s="94">
        <f t="shared" ca="1" si="36"/>
        <v>1</v>
      </c>
      <c r="N185" s="93" t="str">
        <f t="shared" ca="1" si="37"/>
        <v>marché</v>
      </c>
      <c r="O185" s="93" t="str">
        <f t="shared" ca="1" si="38"/>
        <v>très sûr</v>
      </c>
      <c r="P185" s="93" t="str">
        <f t="shared" ca="1" si="39"/>
        <v xml:space="preserve"> </v>
      </c>
      <c r="Q185" s="92" t="str">
        <f t="shared" ca="1" si="40"/>
        <v xml:space="preserve"> </v>
      </c>
    </row>
    <row r="186" spans="1:17" ht="9.9" customHeight="1">
      <c r="A186" s="98" t="s">
        <v>2450</v>
      </c>
      <c r="B186" s="97">
        <v>50</v>
      </c>
      <c r="C186" s="96">
        <f t="shared" ref="C186:C188" ca="1" si="60">ROUND(B186/(5+RANDBETWEEN(1,5)),0)</f>
        <v>8</v>
      </c>
      <c r="D186" s="94">
        <f t="shared" ref="D186:D188" ca="1" si="61">ROUND(B186*(100+RANDBETWEEN(1,50)-RANDBETWEEN(1,50))/100,0)</f>
        <v>57</v>
      </c>
      <c r="E186" s="95" t="str">
        <f t="shared" ca="1" si="47"/>
        <v>=</v>
      </c>
      <c r="F186" s="95" t="str">
        <f t="shared" ca="1" si="47"/>
        <v>- -</v>
      </c>
      <c r="G186" s="93" t="str">
        <f t="shared" ref="G186:G188" ca="1" si="62">IF(RANDBETWEEN(1,10)&lt;=C186,LOOKUP(RANDBETWEEN(1,100),dé100,primaire)," ")</f>
        <v>Cueillette</v>
      </c>
      <c r="H186" s="93" t="str">
        <f t="shared" ref="H186:H188" ca="1" si="63">IF(RANDBETWEEN(1,50)&lt;=C186,LOOKUP(RANDBETWEEN(1,100),dé100,secondaire)," ")</f>
        <v>Artisanat</v>
      </c>
      <c r="I186" s="93" t="str">
        <f t="shared" ref="I186:I188" ca="1" si="64">IF(RANDBETWEEN(1,500)&lt;=C186,LOOKUP(RANDBETWEEN(1,100),dé100,tertiaire)," ")</f>
        <v xml:space="preserve"> </v>
      </c>
      <c r="J186" s="93" t="str">
        <f t="shared" ca="1" si="33"/>
        <v xml:space="preserve"> </v>
      </c>
      <c r="K186" s="93" t="str">
        <f t="shared" ca="1" si="34"/>
        <v xml:space="preserve"> </v>
      </c>
      <c r="L186" s="93" t="str">
        <f t="shared" ca="1" si="35"/>
        <v>accueillant</v>
      </c>
      <c r="M186" s="94">
        <f t="shared" ref="M186:M188" ca="1" si="65">ROUND(C186/(RANDBETWEEN(1,5)+5),0)</f>
        <v>1</v>
      </c>
      <c r="N186" s="93" t="str">
        <f t="shared" ca="1" si="37"/>
        <v>pas de marché</v>
      </c>
      <c r="O186" s="93" t="str">
        <f t="shared" ca="1" si="38"/>
        <v>protection</v>
      </c>
      <c r="P186" s="93" t="str">
        <f t="shared" ca="1" si="39"/>
        <v xml:space="preserve"> </v>
      </c>
      <c r="Q186" s="92" t="str">
        <f t="shared" ca="1" si="40"/>
        <v xml:space="preserve"> </v>
      </c>
    </row>
    <row r="187" spans="1:17" ht="9.9" customHeight="1">
      <c r="A187" s="98" t="s">
        <v>2450</v>
      </c>
      <c r="B187" s="97">
        <v>50</v>
      </c>
      <c r="C187" s="96">
        <f t="shared" ca="1" si="60"/>
        <v>6</v>
      </c>
      <c r="D187" s="94">
        <f t="shared" ca="1" si="61"/>
        <v>32</v>
      </c>
      <c r="E187" s="95" t="str">
        <f t="shared" ca="1" si="47"/>
        <v>=</v>
      </c>
      <c r="F187" s="95" t="str">
        <f t="shared" ca="1" si="47"/>
        <v>++</v>
      </c>
      <c r="G187" s="93" t="str">
        <f t="shared" ca="1" si="62"/>
        <v xml:space="preserve"> </v>
      </c>
      <c r="H187" s="93" t="str">
        <f t="shared" ca="1" si="63"/>
        <v xml:space="preserve"> </v>
      </c>
      <c r="I187" s="93" t="str">
        <f t="shared" ca="1" si="64"/>
        <v xml:space="preserve"> </v>
      </c>
      <c r="J187" s="93" t="str">
        <f t="shared" ca="1" si="33"/>
        <v>loyal</v>
      </c>
      <c r="K187" s="93" t="str">
        <f t="shared" ca="1" si="34"/>
        <v xml:space="preserve"> </v>
      </c>
      <c r="L187" s="93" t="str">
        <f t="shared" ca="1" si="35"/>
        <v xml:space="preserve"> </v>
      </c>
      <c r="M187" s="94">
        <f t="shared" ca="1" si="65"/>
        <v>1</v>
      </c>
      <c r="N187" s="93" t="str">
        <f t="shared" ca="1" si="37"/>
        <v>centre</v>
      </c>
      <c r="O187" s="93" t="str">
        <f t="shared" ca="1" si="38"/>
        <v xml:space="preserve"> </v>
      </c>
      <c r="P187" s="93" t="str">
        <f t="shared" ca="1" si="39"/>
        <v xml:space="preserve"> </v>
      </c>
      <c r="Q187" s="92" t="str">
        <f t="shared" ca="1" si="40"/>
        <v xml:space="preserve"> </v>
      </c>
    </row>
    <row r="188" spans="1:17" ht="9.9" customHeight="1">
      <c r="A188" s="98" t="s">
        <v>2450</v>
      </c>
      <c r="B188" s="97">
        <v>50</v>
      </c>
      <c r="C188" s="96">
        <f t="shared" ca="1" si="60"/>
        <v>7</v>
      </c>
      <c r="D188" s="94">
        <f t="shared" ca="1" si="61"/>
        <v>37</v>
      </c>
      <c r="E188" s="95" t="str">
        <f t="shared" ca="1" si="47"/>
        <v>+</v>
      </c>
      <c r="F188" s="95" t="str">
        <f t="shared" ca="1" si="47"/>
        <v>=</v>
      </c>
      <c r="G188" s="93" t="str">
        <f t="shared" ca="1" si="62"/>
        <v xml:space="preserve"> </v>
      </c>
      <c r="H188" s="93" t="str">
        <f t="shared" ca="1" si="63"/>
        <v xml:space="preserve"> </v>
      </c>
      <c r="I188" s="93" t="str">
        <f t="shared" ca="1" si="64"/>
        <v xml:space="preserve"> </v>
      </c>
      <c r="J188" s="93" t="str">
        <f t="shared" ca="1" si="33"/>
        <v xml:space="preserve"> </v>
      </c>
      <c r="K188" s="93" t="str">
        <f t="shared" ca="1" si="34"/>
        <v xml:space="preserve"> </v>
      </c>
      <c r="L188" s="93" t="str">
        <f t="shared" ca="1" si="35"/>
        <v xml:space="preserve"> </v>
      </c>
      <c r="M188" s="94">
        <f t="shared" ca="1" si="65"/>
        <v>1</v>
      </c>
      <c r="N188" s="93" t="str">
        <f t="shared" ca="1" si="37"/>
        <v xml:space="preserve"> </v>
      </c>
      <c r="O188" s="93" t="str">
        <f t="shared" ca="1" si="38"/>
        <v xml:space="preserve"> </v>
      </c>
      <c r="P188" s="93" t="str">
        <f t="shared" ca="1" si="39"/>
        <v xml:space="preserve"> </v>
      </c>
      <c r="Q188" s="92" t="str">
        <f t="shared" ca="1" si="40"/>
        <v xml:space="preserve"> </v>
      </c>
    </row>
    <row r="189" spans="1:17" ht="9.9" customHeight="1">
      <c r="A189" s="98" t="s">
        <v>2450</v>
      </c>
      <c r="B189" s="97">
        <v>50</v>
      </c>
      <c r="C189" s="96">
        <f t="shared" ca="1" si="28"/>
        <v>5</v>
      </c>
      <c r="D189" s="94">
        <f t="shared" ca="1" si="29"/>
        <v>41</v>
      </c>
      <c r="E189" s="95" t="str">
        <f t="shared" ca="1" si="47"/>
        <v>+++</v>
      </c>
      <c r="F189" s="95" t="str">
        <f t="shared" ca="1" si="47"/>
        <v>=</v>
      </c>
      <c r="G189" s="93" t="str">
        <f t="shared" ca="1" si="30"/>
        <v xml:space="preserve"> </v>
      </c>
      <c r="H189" s="93" t="str">
        <f t="shared" ca="1" si="31"/>
        <v xml:space="preserve"> </v>
      </c>
      <c r="I189" s="93" t="str">
        <f t="shared" ca="1" si="32"/>
        <v xml:space="preserve"> </v>
      </c>
      <c r="J189" s="93" t="str">
        <f t="shared" ca="1" si="33"/>
        <v>opposé</v>
      </c>
      <c r="K189" s="93" t="str">
        <f t="shared" ca="1" si="34"/>
        <v>païen</v>
      </c>
      <c r="L189" s="93" t="str">
        <f t="shared" ca="1" si="35"/>
        <v xml:space="preserve"> </v>
      </c>
      <c r="M189" s="94">
        <f t="shared" ca="1" si="36"/>
        <v>1</v>
      </c>
      <c r="N189" s="93" t="str">
        <f t="shared" ca="1" si="37"/>
        <v xml:space="preserve"> </v>
      </c>
      <c r="O189" s="93" t="str">
        <f t="shared" ca="1" si="38"/>
        <v>meutres</v>
      </c>
      <c r="P189" s="93" t="str">
        <f t="shared" ca="1" si="39"/>
        <v xml:space="preserve"> </v>
      </c>
      <c r="Q189" s="92" t="str">
        <f t="shared" ca="1" si="40"/>
        <v xml:space="preserve"> </v>
      </c>
    </row>
    <row r="190" spans="1:17" ht="9.9" customHeight="1">
      <c r="A190" s="98" t="s">
        <v>2450</v>
      </c>
      <c r="B190" s="97">
        <v>50</v>
      </c>
      <c r="C190" s="96">
        <f t="shared" ca="1" si="28"/>
        <v>7</v>
      </c>
      <c r="D190" s="94">
        <f t="shared" ca="1" si="29"/>
        <v>65</v>
      </c>
      <c r="E190" s="95" t="str">
        <f t="shared" ca="1" si="47"/>
        <v>+</v>
      </c>
      <c r="F190" s="95" t="str">
        <f t="shared" ca="1" si="47"/>
        <v>++</v>
      </c>
      <c r="G190" s="93" t="str">
        <f t="shared" ca="1" si="30"/>
        <v>Agriculture</v>
      </c>
      <c r="H190" s="93" t="str">
        <f t="shared" ca="1" si="31"/>
        <v>Poterie</v>
      </c>
      <c r="I190" s="93" t="str">
        <f t="shared" ca="1" si="32"/>
        <v xml:space="preserve"> </v>
      </c>
      <c r="J190" s="93" t="str">
        <f t="shared" ca="1" si="33"/>
        <v>félon</v>
      </c>
      <c r="K190" s="93" t="str">
        <f t="shared" ca="1" si="34"/>
        <v xml:space="preserve"> </v>
      </c>
      <c r="L190" s="93" t="str">
        <f t="shared" ca="1" si="35"/>
        <v xml:space="preserve"> </v>
      </c>
      <c r="M190" s="94">
        <f t="shared" ca="1" si="36"/>
        <v>1</v>
      </c>
      <c r="N190" s="93" t="str">
        <f t="shared" ca="1" si="37"/>
        <v>pas de marché</v>
      </c>
      <c r="O190" s="93" t="str">
        <f t="shared" ca="1" si="38"/>
        <v xml:space="preserve"> </v>
      </c>
      <c r="P190" s="93" t="str">
        <f t="shared" ca="1" si="39"/>
        <v xml:space="preserve"> </v>
      </c>
      <c r="Q190" s="92" t="str">
        <f t="shared" ca="1" si="40"/>
        <v xml:space="preserve"> </v>
      </c>
    </row>
    <row r="191" spans="1:17" ht="9.9" customHeight="1">
      <c r="A191" s="98" t="s">
        <v>2450</v>
      </c>
      <c r="B191" s="97">
        <v>50</v>
      </c>
      <c r="C191" s="96">
        <f t="shared" ca="1" si="28"/>
        <v>6</v>
      </c>
      <c r="D191" s="94">
        <f t="shared" ca="1" si="29"/>
        <v>51</v>
      </c>
      <c r="E191" s="95" t="str">
        <f t="shared" ca="1" si="47"/>
        <v>+</v>
      </c>
      <c r="F191" s="95" t="str">
        <f t="shared" ca="1" si="47"/>
        <v>++</v>
      </c>
      <c r="G191" s="93" t="str">
        <f t="shared" ca="1" si="30"/>
        <v>Cueillette</v>
      </c>
      <c r="H191" s="93" t="str">
        <f t="shared" ca="1" si="31"/>
        <v xml:space="preserve"> </v>
      </c>
      <c r="I191" s="93" t="str">
        <f t="shared" ca="1" si="32"/>
        <v xml:space="preserve"> </v>
      </c>
      <c r="J191" s="93" t="str">
        <f t="shared" ca="1" si="33"/>
        <v>très loyal</v>
      </c>
      <c r="K191" s="93" t="str">
        <f t="shared" ca="1" si="34"/>
        <v xml:space="preserve"> </v>
      </c>
      <c r="L191" s="93" t="str">
        <f t="shared" ca="1" si="35"/>
        <v xml:space="preserve"> </v>
      </c>
      <c r="M191" s="94">
        <f t="shared" ca="1" si="36"/>
        <v>1</v>
      </c>
      <c r="N191" s="93" t="str">
        <f t="shared" ca="1" si="37"/>
        <v xml:space="preserve"> </v>
      </c>
      <c r="O191" s="93" t="str">
        <f t="shared" ca="1" si="38"/>
        <v xml:space="preserve"> </v>
      </c>
      <c r="P191" s="93" t="str">
        <f t="shared" ca="1" si="39"/>
        <v xml:space="preserve"> </v>
      </c>
      <c r="Q191" s="92" t="str">
        <f t="shared" ca="1" si="40"/>
        <v xml:space="preserve"> </v>
      </c>
    </row>
    <row r="192" spans="1:17" ht="9.9" customHeight="1">
      <c r="A192" s="98" t="s">
        <v>2450</v>
      </c>
      <c r="B192" s="97">
        <v>50</v>
      </c>
      <c r="C192" s="96">
        <f t="shared" ca="1" si="28"/>
        <v>8</v>
      </c>
      <c r="D192" s="94">
        <f t="shared" ca="1" si="29"/>
        <v>42</v>
      </c>
      <c r="E192" s="95" t="str">
        <f t="shared" ca="1" si="47"/>
        <v>+</v>
      </c>
      <c r="F192" s="95" t="str">
        <f t="shared" ca="1" si="47"/>
        <v>- -</v>
      </c>
      <c r="G192" s="93" t="str">
        <f t="shared" ca="1" si="30"/>
        <v xml:space="preserve"> </v>
      </c>
      <c r="H192" s="93" t="str">
        <f t="shared" ca="1" si="31"/>
        <v xml:space="preserve"> </v>
      </c>
      <c r="I192" s="93" t="str">
        <f t="shared" ca="1" si="32"/>
        <v xml:space="preserve"> </v>
      </c>
      <c r="J192" s="93" t="str">
        <f t="shared" ca="1" si="33"/>
        <v>fidèle</v>
      </c>
      <c r="K192" s="93" t="str">
        <f t="shared" ca="1" si="34"/>
        <v>très fervent</v>
      </c>
      <c r="L192" s="93" t="str">
        <f t="shared" ca="1" si="35"/>
        <v>tolérant</v>
      </c>
      <c r="M192" s="94">
        <f t="shared" ca="1" si="36"/>
        <v>1</v>
      </c>
      <c r="N192" s="93" t="str">
        <f t="shared" ca="1" si="37"/>
        <v xml:space="preserve"> </v>
      </c>
      <c r="O192" s="93" t="str">
        <f t="shared" ca="1" si="38"/>
        <v>gardes</v>
      </c>
      <c r="P192" s="93" t="str">
        <f t="shared" ca="1" si="39"/>
        <v>épidémie</v>
      </c>
      <c r="Q192" s="92" t="str">
        <f t="shared" ca="1" si="40"/>
        <v xml:space="preserve"> </v>
      </c>
    </row>
    <row r="193" spans="1:17" ht="9.9" customHeight="1">
      <c r="A193" s="91" t="s">
        <v>532</v>
      </c>
      <c r="B193" s="90">
        <v>10</v>
      </c>
      <c r="C193" s="89">
        <f t="shared" ca="1" si="28"/>
        <v>1</v>
      </c>
      <c r="D193" s="87">
        <f t="shared" ca="1" si="29"/>
        <v>12</v>
      </c>
      <c r="E193" s="88" t="str">
        <f t="shared" ca="1" si="47"/>
        <v>=</v>
      </c>
      <c r="F193" s="88" t="str">
        <f t="shared" ca="1" si="47"/>
        <v>=</v>
      </c>
      <c r="G193" s="86" t="str">
        <f t="shared" ca="1" si="30"/>
        <v xml:space="preserve"> </v>
      </c>
      <c r="H193" s="86" t="str">
        <f t="shared" ca="1" si="31"/>
        <v xml:space="preserve"> </v>
      </c>
      <c r="I193" s="86" t="str">
        <f t="shared" ca="1" si="32"/>
        <v xml:space="preserve"> </v>
      </c>
      <c r="J193" s="86" t="str">
        <f t="shared" ca="1" si="33"/>
        <v>loyal</v>
      </c>
      <c r="K193" s="86" t="str">
        <f t="shared" ca="1" si="34"/>
        <v>pratiques</v>
      </c>
      <c r="L193" s="86" t="str">
        <f t="shared" ca="1" si="35"/>
        <v xml:space="preserve"> </v>
      </c>
      <c r="M193" s="87">
        <f t="shared" ca="1" si="36"/>
        <v>0</v>
      </c>
      <c r="N193" s="86" t="str">
        <f t="shared" ca="1" si="37"/>
        <v>centre</v>
      </c>
      <c r="O193" s="86" t="str">
        <f t="shared" ca="1" si="38"/>
        <v>gardes</v>
      </c>
      <c r="P193" s="86" t="str">
        <f t="shared" ca="1" si="39"/>
        <v xml:space="preserve"> </v>
      </c>
      <c r="Q193" s="85" t="str">
        <f t="shared" ca="1" si="40"/>
        <v xml:space="preserve"> </v>
      </c>
    </row>
    <row r="194" spans="1:17" ht="9.9" customHeight="1">
      <c r="A194" s="91" t="s">
        <v>532</v>
      </c>
      <c r="B194" s="90">
        <v>10</v>
      </c>
      <c r="C194" s="89">
        <f t="shared" ca="1" si="28"/>
        <v>1</v>
      </c>
      <c r="D194" s="87">
        <f t="shared" ca="1" si="29"/>
        <v>9</v>
      </c>
      <c r="E194" s="88" t="str">
        <f t="shared" ca="1" si="47"/>
        <v>=</v>
      </c>
      <c r="F194" s="88" t="str">
        <f t="shared" ca="1" si="47"/>
        <v>+</v>
      </c>
      <c r="G194" s="86" t="str">
        <f t="shared" ca="1" si="30"/>
        <v xml:space="preserve"> </v>
      </c>
      <c r="H194" s="86" t="str">
        <f t="shared" ca="1" si="31"/>
        <v xml:space="preserve"> </v>
      </c>
      <c r="I194" s="86" t="str">
        <f t="shared" ca="1" si="32"/>
        <v xml:space="preserve"> </v>
      </c>
      <c r="J194" s="86" t="str">
        <f t="shared" ca="1" si="33"/>
        <v>très loyal</v>
      </c>
      <c r="K194" s="86" t="str">
        <f t="shared" ca="1" si="34"/>
        <v xml:space="preserve"> </v>
      </c>
      <c r="L194" s="86" t="str">
        <f t="shared" ca="1" si="35"/>
        <v xml:space="preserve"> </v>
      </c>
      <c r="M194" s="87">
        <f t="shared" ca="1" si="36"/>
        <v>0</v>
      </c>
      <c r="N194" s="86" t="str">
        <f t="shared" ca="1" si="37"/>
        <v xml:space="preserve"> </v>
      </c>
      <c r="O194" s="86" t="str">
        <f t="shared" ca="1" si="38"/>
        <v xml:space="preserve"> </v>
      </c>
      <c r="P194" s="86" t="str">
        <f t="shared" ca="1" si="39"/>
        <v xml:space="preserve"> </v>
      </c>
      <c r="Q194" s="85" t="str">
        <f t="shared" ca="1" si="40"/>
        <v xml:space="preserve"> </v>
      </c>
    </row>
    <row r="195" spans="1:17" ht="9.9" customHeight="1">
      <c r="A195" s="91" t="s">
        <v>532</v>
      </c>
      <c r="B195" s="90">
        <v>10</v>
      </c>
      <c r="C195" s="89">
        <f t="shared" ca="1" si="28"/>
        <v>1</v>
      </c>
      <c r="D195" s="87">
        <f t="shared" ca="1" si="29"/>
        <v>10</v>
      </c>
      <c r="E195" s="88" t="str">
        <f t="shared" ca="1" si="47"/>
        <v>+</v>
      </c>
      <c r="F195" s="88" t="str">
        <f t="shared" ca="1" si="47"/>
        <v>=</v>
      </c>
      <c r="G195" s="86" t="str">
        <f t="shared" ca="1" si="30"/>
        <v xml:space="preserve"> </v>
      </c>
      <c r="H195" s="86" t="str">
        <f t="shared" ca="1" si="31"/>
        <v xml:space="preserve"> </v>
      </c>
      <c r="I195" s="86" t="str">
        <f t="shared" ca="1" si="32"/>
        <v xml:space="preserve"> </v>
      </c>
      <c r="J195" s="86" t="str">
        <f t="shared" ca="1" si="33"/>
        <v>fidèle</v>
      </c>
      <c r="K195" s="86" t="str">
        <f t="shared" ca="1" si="34"/>
        <v xml:space="preserve"> </v>
      </c>
      <c r="L195" s="86" t="str">
        <f t="shared" ca="1" si="35"/>
        <v xml:space="preserve"> </v>
      </c>
      <c r="M195" s="87">
        <f t="shared" ca="1" si="36"/>
        <v>0</v>
      </c>
      <c r="N195" s="86" t="str">
        <f t="shared" ca="1" si="37"/>
        <v>centre</v>
      </c>
      <c r="O195" s="86" t="str">
        <f t="shared" ca="1" si="38"/>
        <v xml:space="preserve"> </v>
      </c>
      <c r="P195" s="86" t="str">
        <f t="shared" ca="1" si="39"/>
        <v xml:space="preserve"> </v>
      </c>
      <c r="Q195" s="85" t="str">
        <f t="shared" ca="1" si="40"/>
        <v xml:space="preserve"> </v>
      </c>
    </row>
    <row r="196" spans="1:17" ht="9.9" customHeight="1">
      <c r="A196" s="91" t="s">
        <v>532</v>
      </c>
      <c r="B196" s="90">
        <v>10</v>
      </c>
      <c r="C196" s="89">
        <f t="shared" ca="1" si="28"/>
        <v>1</v>
      </c>
      <c r="D196" s="87">
        <f t="shared" ca="1" si="29"/>
        <v>7</v>
      </c>
      <c r="E196" s="88" t="str">
        <f t="shared" ref="E196:F223" ca="1" si="66">LOOKUP(RANDBETWEEN(1,100),dé100,richesse)</f>
        <v>-</v>
      </c>
      <c r="F196" s="88" t="str">
        <f t="shared" ca="1" si="66"/>
        <v>+</v>
      </c>
      <c r="G196" s="86" t="str">
        <f t="shared" ca="1" si="30"/>
        <v xml:space="preserve"> </v>
      </c>
      <c r="H196" s="86" t="str">
        <f t="shared" ca="1" si="31"/>
        <v xml:space="preserve"> </v>
      </c>
      <c r="I196" s="86" t="str">
        <f t="shared" ca="1" si="32"/>
        <v xml:space="preserve"> </v>
      </c>
      <c r="J196" s="86" t="str">
        <f t="shared" ca="1" si="33"/>
        <v>rebelle</v>
      </c>
      <c r="K196" s="86" t="str">
        <f t="shared" ca="1" si="34"/>
        <v xml:space="preserve"> </v>
      </c>
      <c r="L196" s="86" t="str">
        <f t="shared" ca="1" si="35"/>
        <v xml:space="preserve"> </v>
      </c>
      <c r="M196" s="87">
        <f t="shared" ca="1" si="36"/>
        <v>0</v>
      </c>
      <c r="N196" s="86" t="str">
        <f t="shared" ca="1" si="37"/>
        <v xml:space="preserve"> </v>
      </c>
      <c r="O196" s="86" t="str">
        <f t="shared" ca="1" si="38"/>
        <v xml:space="preserve"> </v>
      </c>
      <c r="P196" s="86" t="str">
        <f t="shared" ca="1" si="39"/>
        <v xml:space="preserve"> </v>
      </c>
      <c r="Q196" s="85" t="str">
        <f t="shared" ca="1" si="40"/>
        <v xml:space="preserve"> </v>
      </c>
    </row>
    <row r="197" spans="1:17" ht="9.9" customHeight="1">
      <c r="A197" s="91" t="s">
        <v>532</v>
      </c>
      <c r="B197" s="90">
        <v>10</v>
      </c>
      <c r="C197" s="89">
        <f t="shared" ca="1" si="28"/>
        <v>1</v>
      </c>
      <c r="D197" s="87">
        <f t="shared" ca="1" si="29"/>
        <v>7</v>
      </c>
      <c r="E197" s="88" t="str">
        <f t="shared" ca="1" si="66"/>
        <v>++</v>
      </c>
      <c r="F197" s="88" t="str">
        <f t="shared" ca="1" si="66"/>
        <v>- - -</v>
      </c>
      <c r="G197" s="86" t="str">
        <f t="shared" ca="1" si="30"/>
        <v xml:space="preserve"> </v>
      </c>
      <c r="H197" s="86" t="str">
        <f t="shared" ca="1" si="31"/>
        <v xml:space="preserve"> </v>
      </c>
      <c r="I197" s="86" t="str">
        <f t="shared" ca="1" si="32"/>
        <v xml:space="preserve"> </v>
      </c>
      <c r="J197" s="86" t="str">
        <f t="shared" ca="1" si="33"/>
        <v xml:space="preserve"> </v>
      </c>
      <c r="K197" s="86" t="str">
        <f t="shared" ca="1" si="34"/>
        <v>chasse</v>
      </c>
      <c r="L197" s="86" t="str">
        <f t="shared" ca="1" si="35"/>
        <v xml:space="preserve"> </v>
      </c>
      <c r="M197" s="87">
        <f t="shared" ca="1" si="36"/>
        <v>0</v>
      </c>
      <c r="N197" s="86" t="str">
        <f t="shared" ca="1" si="37"/>
        <v xml:space="preserve"> </v>
      </c>
      <c r="O197" s="86" t="str">
        <f t="shared" ca="1" si="38"/>
        <v>corruption</v>
      </c>
      <c r="P197" s="86" t="str">
        <f t="shared" ca="1" si="39"/>
        <v xml:space="preserve"> </v>
      </c>
      <c r="Q197" s="85" t="str">
        <f t="shared" ca="1" si="40"/>
        <v xml:space="preserve"> </v>
      </c>
    </row>
    <row r="198" spans="1:17" ht="9.9" customHeight="1">
      <c r="A198" s="98" t="s">
        <v>531</v>
      </c>
      <c r="B198" s="97">
        <v>20</v>
      </c>
      <c r="C198" s="96">
        <f t="shared" ca="1" si="28"/>
        <v>3</v>
      </c>
      <c r="D198" s="94">
        <f t="shared" ca="1" si="29"/>
        <v>13</v>
      </c>
      <c r="E198" s="95" t="str">
        <f t="shared" ca="1" si="66"/>
        <v>-</v>
      </c>
      <c r="F198" s="95" t="str">
        <f t="shared" ca="1" si="66"/>
        <v>=</v>
      </c>
      <c r="G198" s="93" t="str">
        <f t="shared" ca="1" si="30"/>
        <v>Agriculture</v>
      </c>
      <c r="H198" s="93" t="str">
        <f t="shared" ca="1" si="31"/>
        <v xml:space="preserve"> </v>
      </c>
      <c r="I198" s="93" t="str">
        <f t="shared" ca="1" si="32"/>
        <v xml:space="preserve"> </v>
      </c>
      <c r="J198" s="93" t="str">
        <f t="shared" ca="1" si="33"/>
        <v xml:space="preserve"> </v>
      </c>
      <c r="K198" s="93" t="str">
        <f t="shared" ca="1" si="34"/>
        <v>très fervent</v>
      </c>
      <c r="L198" s="93" t="str">
        <f t="shared" ca="1" si="35"/>
        <v xml:space="preserve"> </v>
      </c>
      <c r="M198" s="94">
        <f t="shared" ca="1" si="36"/>
        <v>0</v>
      </c>
      <c r="N198" s="93" t="str">
        <f t="shared" ca="1" si="37"/>
        <v>marché</v>
      </c>
      <c r="O198" s="93" t="str">
        <f t="shared" ca="1" si="38"/>
        <v>tyrannie</v>
      </c>
      <c r="P198" s="93" t="str">
        <f t="shared" ca="1" si="39"/>
        <v xml:space="preserve"> </v>
      </c>
      <c r="Q198" s="92" t="str">
        <f t="shared" ca="1" si="40"/>
        <v xml:space="preserve"> </v>
      </c>
    </row>
    <row r="199" spans="1:17" ht="9.9" customHeight="1">
      <c r="A199" s="98" t="s">
        <v>531</v>
      </c>
      <c r="B199" s="97">
        <v>20</v>
      </c>
      <c r="C199" s="96">
        <f t="shared" ref="C199:C201" ca="1" si="67">ROUND(B199/(5+RANDBETWEEN(1,5)),0)</f>
        <v>2</v>
      </c>
      <c r="D199" s="94">
        <f t="shared" ref="D199:D201" ca="1" si="68">ROUND(B199*(100+RANDBETWEEN(1,50)-RANDBETWEEN(1,50))/100,0)</f>
        <v>21</v>
      </c>
      <c r="E199" s="95" t="str">
        <f t="shared" ca="1" si="66"/>
        <v>-</v>
      </c>
      <c r="F199" s="95" t="str">
        <f t="shared" ca="1" si="66"/>
        <v>=</v>
      </c>
      <c r="G199" s="93" t="str">
        <f t="shared" ref="G199:G201" ca="1" si="69">IF(RANDBETWEEN(1,10)&lt;=C199,LOOKUP(RANDBETWEEN(1,100),dé100,primaire)," ")</f>
        <v xml:space="preserve"> </v>
      </c>
      <c r="H199" s="93" t="str">
        <f t="shared" ref="H199:H201" ca="1" si="70">IF(RANDBETWEEN(1,50)&lt;=C199,LOOKUP(RANDBETWEEN(1,100),dé100,secondaire)," ")</f>
        <v xml:space="preserve"> </v>
      </c>
      <c r="I199" s="93" t="str">
        <f t="shared" ref="I199:I201" ca="1" si="71">IF(RANDBETWEEN(1,500)&lt;=C199,LOOKUP(RANDBETWEEN(1,100),dé100,tertiaire)," ")</f>
        <v xml:space="preserve"> </v>
      </c>
      <c r="J199" s="93" t="str">
        <f t="shared" ca="1" si="33"/>
        <v xml:space="preserve"> </v>
      </c>
      <c r="K199" s="93" t="str">
        <f t="shared" ca="1" si="34"/>
        <v xml:space="preserve"> </v>
      </c>
      <c r="L199" s="93" t="str">
        <f t="shared" ca="1" si="35"/>
        <v xml:space="preserve"> </v>
      </c>
      <c r="M199" s="94">
        <f t="shared" ref="M199:M201" ca="1" si="72">ROUND(C199/(RANDBETWEEN(1,5)+5),0)</f>
        <v>0</v>
      </c>
      <c r="N199" s="93" t="str">
        <f t="shared" ca="1" si="37"/>
        <v xml:space="preserve"> </v>
      </c>
      <c r="O199" s="93" t="str">
        <f t="shared" ca="1" si="38"/>
        <v xml:space="preserve"> </v>
      </c>
      <c r="P199" s="93" t="str">
        <f t="shared" ca="1" si="39"/>
        <v xml:space="preserve"> </v>
      </c>
      <c r="Q199" s="92" t="str">
        <f t="shared" ca="1" si="40"/>
        <v xml:space="preserve"> </v>
      </c>
    </row>
    <row r="200" spans="1:17" ht="9.9" customHeight="1">
      <c r="A200" s="98" t="s">
        <v>531</v>
      </c>
      <c r="B200" s="97">
        <v>20</v>
      </c>
      <c r="C200" s="96">
        <f t="shared" ca="1" si="67"/>
        <v>2</v>
      </c>
      <c r="D200" s="94">
        <f t="shared" ca="1" si="68"/>
        <v>20</v>
      </c>
      <c r="E200" s="95" t="str">
        <f t="shared" ca="1" si="66"/>
        <v>=</v>
      </c>
      <c r="F200" s="95" t="str">
        <f t="shared" ca="1" si="66"/>
        <v>=</v>
      </c>
      <c r="G200" s="93" t="str">
        <f t="shared" ca="1" si="69"/>
        <v xml:space="preserve"> </v>
      </c>
      <c r="H200" s="93" t="str">
        <f t="shared" ca="1" si="70"/>
        <v xml:space="preserve"> </v>
      </c>
      <c r="I200" s="93" t="str">
        <f t="shared" ca="1" si="71"/>
        <v xml:space="preserve"> </v>
      </c>
      <c r="J200" s="93" t="str">
        <f t="shared" ca="1" si="33"/>
        <v xml:space="preserve"> </v>
      </c>
      <c r="K200" s="93" t="str">
        <f t="shared" ca="1" si="34"/>
        <v xml:space="preserve"> </v>
      </c>
      <c r="L200" s="93" t="str">
        <f t="shared" ca="1" si="35"/>
        <v xml:space="preserve"> </v>
      </c>
      <c r="M200" s="94">
        <f t="shared" ca="1" si="72"/>
        <v>0</v>
      </c>
      <c r="N200" s="93" t="str">
        <f t="shared" ca="1" si="37"/>
        <v xml:space="preserve"> </v>
      </c>
      <c r="O200" s="93" t="str">
        <f t="shared" ca="1" si="38"/>
        <v>tranquille</v>
      </c>
      <c r="P200" s="93" t="str">
        <f t="shared" ca="1" si="39"/>
        <v xml:space="preserve"> </v>
      </c>
      <c r="Q200" s="92" t="str">
        <f t="shared" ca="1" si="40"/>
        <v xml:space="preserve"> </v>
      </c>
    </row>
    <row r="201" spans="1:17" ht="9.9" customHeight="1">
      <c r="A201" s="98" t="s">
        <v>531</v>
      </c>
      <c r="B201" s="97">
        <v>20</v>
      </c>
      <c r="C201" s="96">
        <f t="shared" ca="1" si="67"/>
        <v>3</v>
      </c>
      <c r="D201" s="94">
        <f t="shared" ca="1" si="68"/>
        <v>21</v>
      </c>
      <c r="E201" s="95" t="str">
        <f t="shared" ca="1" si="66"/>
        <v>+</v>
      </c>
      <c r="F201" s="95" t="str">
        <f t="shared" ca="1" si="66"/>
        <v>- -</v>
      </c>
      <c r="G201" s="93" t="str">
        <f t="shared" ca="1" si="69"/>
        <v xml:space="preserve"> </v>
      </c>
      <c r="H201" s="93" t="str">
        <f t="shared" ca="1" si="70"/>
        <v xml:space="preserve"> </v>
      </c>
      <c r="I201" s="93" t="str">
        <f t="shared" ca="1" si="71"/>
        <v xml:space="preserve"> </v>
      </c>
      <c r="J201" s="93" t="str">
        <f t="shared" ca="1" si="33"/>
        <v>fidèle</v>
      </c>
      <c r="K201" s="93" t="str">
        <f t="shared" ca="1" si="34"/>
        <v xml:space="preserve"> </v>
      </c>
      <c r="L201" s="93" t="str">
        <f t="shared" ca="1" si="35"/>
        <v xml:space="preserve"> </v>
      </c>
      <c r="M201" s="94">
        <f t="shared" ca="1" si="72"/>
        <v>0</v>
      </c>
      <c r="N201" s="93" t="str">
        <f t="shared" ca="1" si="37"/>
        <v>marché</v>
      </c>
      <c r="O201" s="93" t="str">
        <f t="shared" ca="1" si="38"/>
        <v>tranquille</v>
      </c>
      <c r="P201" s="93" t="str">
        <f t="shared" ca="1" si="39"/>
        <v xml:space="preserve"> </v>
      </c>
      <c r="Q201" s="92" t="str">
        <f t="shared" ca="1" si="40"/>
        <v xml:space="preserve"> </v>
      </c>
    </row>
    <row r="202" spans="1:17" ht="9.9" customHeight="1">
      <c r="A202" s="98" t="s">
        <v>531</v>
      </c>
      <c r="B202" s="97">
        <v>20</v>
      </c>
      <c r="C202" s="96">
        <f t="shared" ca="1" si="28"/>
        <v>2</v>
      </c>
      <c r="D202" s="94">
        <f t="shared" ca="1" si="29"/>
        <v>10</v>
      </c>
      <c r="E202" s="95" t="str">
        <f t="shared" ca="1" si="66"/>
        <v>-</v>
      </c>
      <c r="F202" s="95" t="str">
        <f t="shared" ca="1" si="66"/>
        <v>++</v>
      </c>
      <c r="G202" s="93" t="str">
        <f t="shared" ca="1" si="30"/>
        <v xml:space="preserve"> </v>
      </c>
      <c r="H202" s="93" t="str">
        <f t="shared" ca="1" si="31"/>
        <v xml:space="preserve"> </v>
      </c>
      <c r="I202" s="93" t="str">
        <f t="shared" ca="1" si="32"/>
        <v xml:space="preserve"> </v>
      </c>
      <c r="J202" s="93" t="str">
        <f t="shared" ca="1" si="33"/>
        <v xml:space="preserve"> </v>
      </c>
      <c r="K202" s="93" t="str">
        <f t="shared" ca="1" si="34"/>
        <v xml:space="preserve"> </v>
      </c>
      <c r="L202" s="93" t="str">
        <f t="shared" ca="1" si="35"/>
        <v>curieux</v>
      </c>
      <c r="M202" s="94">
        <f t="shared" ca="1" si="36"/>
        <v>0</v>
      </c>
      <c r="N202" s="93" t="str">
        <f t="shared" ca="1" si="37"/>
        <v>marché</v>
      </c>
      <c r="O202" s="93" t="str">
        <f t="shared" ca="1" si="38"/>
        <v xml:space="preserve"> </v>
      </c>
      <c r="P202" s="93" t="str">
        <f t="shared" ca="1" si="39"/>
        <v xml:space="preserve"> </v>
      </c>
      <c r="Q202" s="92" t="str">
        <f t="shared" ca="1" si="40"/>
        <v xml:space="preserve"> </v>
      </c>
    </row>
    <row r="203" spans="1:17" ht="9.9" customHeight="1">
      <c r="A203" s="98" t="s">
        <v>531</v>
      </c>
      <c r="B203" s="97">
        <v>20</v>
      </c>
      <c r="C203" s="96">
        <f t="shared" ref="C203:C257" ca="1" si="73">ROUND(B203/(5+RANDBETWEEN(1,5)),0)</f>
        <v>2</v>
      </c>
      <c r="D203" s="94">
        <f t="shared" ref="D203:D263" ca="1" si="74">ROUND(B203*(100+RANDBETWEEN(1,50)-RANDBETWEEN(1,50))/100,0)</f>
        <v>16</v>
      </c>
      <c r="E203" s="95" t="str">
        <f t="shared" ca="1" si="66"/>
        <v>-</v>
      </c>
      <c r="F203" s="95" t="str">
        <f t="shared" ca="1" si="66"/>
        <v>- - -</v>
      </c>
      <c r="G203" s="93" t="str">
        <f t="shared" ref="G203:G263" ca="1" si="75">IF(RANDBETWEEN(1,10)&lt;=C203,LOOKUP(RANDBETWEEN(1,100),dé100,primaire)," ")</f>
        <v>Agriculture</v>
      </c>
      <c r="H203" s="93" t="str">
        <f t="shared" ref="H203:H263" ca="1" si="76">IF(RANDBETWEEN(1,50)&lt;=C203,LOOKUP(RANDBETWEEN(1,100),dé100,secondaire)," ")</f>
        <v xml:space="preserve"> </v>
      </c>
      <c r="I203" s="93" t="str">
        <f t="shared" ref="I203:I263" ca="1" si="77">IF(RANDBETWEEN(1,500)&lt;=C203,LOOKUP(RANDBETWEEN(1,100),dé100,tertiaire)," ")</f>
        <v xml:space="preserve"> </v>
      </c>
      <c r="J203" s="93" t="str">
        <f t="shared" ref="J203:J263" ca="1" si="78">LOOKUP(RANDBETWEEN(1,100),dé100,politique)</f>
        <v>rebelle</v>
      </c>
      <c r="K203" s="93" t="str">
        <f t="shared" ref="K203:K263" ca="1" si="79">LOOKUP(RANDBETWEEN(1,100),dé100,religion)</f>
        <v xml:space="preserve"> </v>
      </c>
      <c r="L203" s="93" t="str">
        <f t="shared" ref="L203:L263" ca="1" si="80">LOOKUP(RANDBETWEEN(1,100),dé100,caractère)</f>
        <v xml:space="preserve"> </v>
      </c>
      <c r="M203" s="94">
        <f t="shared" ref="M203:M263" ca="1" si="81">ROUND(C203/(RANDBETWEEN(1,5)+5),0)</f>
        <v>0</v>
      </c>
      <c r="N203" s="93" t="str">
        <f t="shared" ref="N203:N263" ca="1" si="82">LOOKUP(RANDBETWEEN(1,100),dé100,commerce)</f>
        <v xml:space="preserve"> </v>
      </c>
      <c r="O203" s="93" t="str">
        <f t="shared" ref="O203:O263" ca="1" si="83">LOOKUP(RANDBETWEEN(1,100),dé100,danger)</f>
        <v xml:space="preserve"> </v>
      </c>
      <c r="P203" s="93" t="str">
        <f t="shared" ref="P203:P263" ca="1" si="84">IF(RANDBETWEEN(1,10)=1,LOOKUP(RANDBETWEEN(1,100),dé100,secret)," ")</f>
        <v xml:space="preserve"> </v>
      </c>
      <c r="Q203" s="92" t="str">
        <f t="shared" ref="Q203:Q263" ca="1" si="85">IF(RANDBETWEEN(1,10)=1,LOOKUP(RANDBETWEEN(1,100),dé100,architecture)," ")</f>
        <v xml:space="preserve"> </v>
      </c>
    </row>
    <row r="204" spans="1:17" ht="9.9" customHeight="1">
      <c r="A204" s="98" t="s">
        <v>531</v>
      </c>
      <c r="B204" s="97">
        <v>20</v>
      </c>
      <c r="C204" s="96">
        <f t="shared" ca="1" si="73"/>
        <v>3</v>
      </c>
      <c r="D204" s="94">
        <f t="shared" ca="1" si="74"/>
        <v>24</v>
      </c>
      <c r="E204" s="95" t="str">
        <f t="shared" ca="1" si="66"/>
        <v>+</v>
      </c>
      <c r="F204" s="95" t="str">
        <f t="shared" ca="1" si="66"/>
        <v>-</v>
      </c>
      <c r="G204" s="93" t="str">
        <f t="shared" ca="1" si="75"/>
        <v xml:space="preserve"> </v>
      </c>
      <c r="H204" s="93" t="str">
        <f t="shared" ca="1" si="76"/>
        <v xml:space="preserve"> </v>
      </c>
      <c r="I204" s="93" t="str">
        <f t="shared" ca="1" si="77"/>
        <v xml:space="preserve"> </v>
      </c>
      <c r="J204" s="93" t="str">
        <f t="shared" ca="1" si="78"/>
        <v xml:space="preserve"> </v>
      </c>
      <c r="K204" s="93" t="str">
        <f t="shared" ca="1" si="79"/>
        <v>pratiques</v>
      </c>
      <c r="L204" s="93" t="str">
        <f t="shared" ca="1" si="80"/>
        <v xml:space="preserve"> </v>
      </c>
      <c r="M204" s="94">
        <f t="shared" ca="1" si="81"/>
        <v>0</v>
      </c>
      <c r="N204" s="93" t="str">
        <f t="shared" ca="1" si="82"/>
        <v>peu d'échanges</v>
      </c>
      <c r="O204" s="93" t="str">
        <f t="shared" ca="1" si="83"/>
        <v xml:space="preserve"> </v>
      </c>
      <c r="P204" s="93" t="str">
        <f t="shared" ca="1" si="84"/>
        <v xml:space="preserve"> </v>
      </c>
      <c r="Q204" s="92" t="str">
        <f t="shared" ca="1" si="85"/>
        <v xml:space="preserve"> </v>
      </c>
    </row>
    <row r="205" spans="1:17" ht="9.9" customHeight="1">
      <c r="A205" s="98" t="s">
        <v>531</v>
      </c>
      <c r="B205" s="97">
        <v>20</v>
      </c>
      <c r="C205" s="96">
        <f t="shared" ca="1" si="73"/>
        <v>3</v>
      </c>
      <c r="D205" s="94">
        <f t="shared" ca="1" si="74"/>
        <v>21</v>
      </c>
      <c r="E205" s="95" t="str">
        <f t="shared" ca="1" si="66"/>
        <v>=</v>
      </c>
      <c r="F205" s="95" t="str">
        <f t="shared" ca="1" si="66"/>
        <v>=</v>
      </c>
      <c r="G205" s="93" t="str">
        <f t="shared" ca="1" si="75"/>
        <v xml:space="preserve"> </v>
      </c>
      <c r="H205" s="93" t="str">
        <f t="shared" ca="1" si="76"/>
        <v xml:space="preserve"> </v>
      </c>
      <c r="I205" s="93" t="str">
        <f t="shared" ca="1" si="77"/>
        <v xml:space="preserve"> </v>
      </c>
      <c r="J205" s="93" t="str">
        <f t="shared" ca="1" si="78"/>
        <v>félon</v>
      </c>
      <c r="K205" s="93" t="str">
        <f t="shared" ca="1" si="79"/>
        <v>fervent</v>
      </c>
      <c r="L205" s="93" t="str">
        <f t="shared" ca="1" si="80"/>
        <v xml:space="preserve"> </v>
      </c>
      <c r="M205" s="94">
        <f t="shared" ca="1" si="81"/>
        <v>0</v>
      </c>
      <c r="N205" s="93">
        <f t="shared" ca="1" si="82"/>
        <v>0</v>
      </c>
      <c r="O205" s="93" t="str">
        <f t="shared" ca="1" si="83"/>
        <v xml:space="preserve"> </v>
      </c>
      <c r="P205" s="93" t="str">
        <f t="shared" ca="1" si="84"/>
        <v xml:space="preserve"> </v>
      </c>
      <c r="Q205" s="92" t="str">
        <f t="shared" ca="1" si="85"/>
        <v xml:space="preserve"> </v>
      </c>
    </row>
    <row r="206" spans="1:17" ht="9.9" customHeight="1">
      <c r="A206" s="91" t="s">
        <v>2451</v>
      </c>
      <c r="B206" s="90">
        <v>40</v>
      </c>
      <c r="C206" s="89">
        <f t="shared" ca="1" si="73"/>
        <v>7</v>
      </c>
      <c r="D206" s="87">
        <f t="shared" ca="1" si="74"/>
        <v>33</v>
      </c>
      <c r="E206" s="88" t="str">
        <f t="shared" ca="1" si="66"/>
        <v>+</v>
      </c>
      <c r="F206" s="88" t="str">
        <f t="shared" ca="1" si="66"/>
        <v>+</v>
      </c>
      <c r="G206" s="86" t="str">
        <f t="shared" ca="1" si="75"/>
        <v>Agriculture</v>
      </c>
      <c r="H206" s="86" t="str">
        <f t="shared" ca="1" si="76"/>
        <v xml:space="preserve"> </v>
      </c>
      <c r="I206" s="86" t="str">
        <f t="shared" ca="1" si="77"/>
        <v xml:space="preserve"> </v>
      </c>
      <c r="J206" s="86" t="str">
        <f t="shared" ca="1" si="78"/>
        <v xml:space="preserve"> </v>
      </c>
      <c r="K206" s="86" t="str">
        <f t="shared" ca="1" si="79"/>
        <v xml:space="preserve"> </v>
      </c>
      <c r="L206" s="86" t="str">
        <f t="shared" ca="1" si="80"/>
        <v>fermé</v>
      </c>
      <c r="M206" s="87">
        <f t="shared" ca="1" si="81"/>
        <v>1</v>
      </c>
      <c r="N206" s="86" t="str">
        <f t="shared" ca="1" si="82"/>
        <v xml:space="preserve"> </v>
      </c>
      <c r="O206" s="86" t="str">
        <f t="shared" ca="1" si="83"/>
        <v>gardes</v>
      </c>
      <c r="P206" s="86" t="str">
        <f t="shared" ca="1" si="84"/>
        <v xml:space="preserve"> </v>
      </c>
      <c r="Q206" s="85" t="str">
        <f t="shared" ca="1" si="85"/>
        <v xml:space="preserve"> </v>
      </c>
    </row>
    <row r="207" spans="1:17" ht="9.9" customHeight="1">
      <c r="A207" s="91" t="s">
        <v>2451</v>
      </c>
      <c r="B207" s="90">
        <v>40</v>
      </c>
      <c r="C207" s="89">
        <f t="shared" ca="1" si="73"/>
        <v>7</v>
      </c>
      <c r="D207" s="87">
        <f t="shared" ca="1" si="74"/>
        <v>31</v>
      </c>
      <c r="E207" s="88" t="str">
        <f t="shared" ca="1" si="66"/>
        <v>- - -</v>
      </c>
      <c r="F207" s="88" t="str">
        <f t="shared" ca="1" si="66"/>
        <v>=</v>
      </c>
      <c r="G207" s="86" t="str">
        <f t="shared" ca="1" si="75"/>
        <v xml:space="preserve"> </v>
      </c>
      <c r="H207" s="86" t="str">
        <f t="shared" ca="1" si="76"/>
        <v xml:space="preserve"> </v>
      </c>
      <c r="I207" s="86" t="str">
        <f t="shared" ca="1" si="77"/>
        <v xml:space="preserve"> </v>
      </c>
      <c r="J207" s="86" t="str">
        <f t="shared" ca="1" si="78"/>
        <v>fidèle</v>
      </c>
      <c r="K207" s="86" t="str">
        <f t="shared" ca="1" si="79"/>
        <v>très fervent</v>
      </c>
      <c r="L207" s="86" t="str">
        <f t="shared" ca="1" si="80"/>
        <v xml:space="preserve"> </v>
      </c>
      <c r="M207" s="87">
        <f t="shared" ca="1" si="81"/>
        <v>1</v>
      </c>
      <c r="N207" s="86" t="str">
        <f t="shared" ca="1" si="82"/>
        <v xml:space="preserve"> </v>
      </c>
      <c r="O207" s="86" t="str">
        <f t="shared" ca="1" si="83"/>
        <v>corruption</v>
      </c>
      <c r="P207" s="86" t="str">
        <f t="shared" ca="1" si="84"/>
        <v xml:space="preserve"> </v>
      </c>
      <c r="Q207" s="85" t="str">
        <f t="shared" ca="1" si="85"/>
        <v xml:space="preserve"> </v>
      </c>
    </row>
    <row r="208" spans="1:17" ht="9.9" customHeight="1">
      <c r="A208" s="91" t="s">
        <v>2451</v>
      </c>
      <c r="B208" s="90">
        <v>40</v>
      </c>
      <c r="C208" s="89">
        <f t="shared" ca="1" si="73"/>
        <v>7</v>
      </c>
      <c r="D208" s="87">
        <f t="shared" ca="1" si="74"/>
        <v>40</v>
      </c>
      <c r="E208" s="88" t="str">
        <f t="shared" ca="1" si="66"/>
        <v>-</v>
      </c>
      <c r="F208" s="88" t="str">
        <f t="shared" ca="1" si="66"/>
        <v>++</v>
      </c>
      <c r="G208" s="86" t="str">
        <f t="shared" ca="1" si="75"/>
        <v>Elevage</v>
      </c>
      <c r="H208" s="86" t="str">
        <f t="shared" ca="1" si="76"/>
        <v xml:space="preserve"> </v>
      </c>
      <c r="I208" s="86" t="str">
        <f t="shared" ca="1" si="77"/>
        <v xml:space="preserve"> </v>
      </c>
      <c r="J208" s="86" t="str">
        <f t="shared" ca="1" si="78"/>
        <v xml:space="preserve"> </v>
      </c>
      <c r="K208" s="86" t="str">
        <f t="shared" ca="1" si="79"/>
        <v xml:space="preserve"> </v>
      </c>
      <c r="L208" s="86" t="str">
        <f t="shared" ca="1" si="80"/>
        <v xml:space="preserve"> </v>
      </c>
      <c r="M208" s="87">
        <f t="shared" ca="1" si="81"/>
        <v>1</v>
      </c>
      <c r="N208" s="86" t="str">
        <f t="shared" ca="1" si="82"/>
        <v xml:space="preserve"> </v>
      </c>
      <c r="O208" s="86" t="str">
        <f t="shared" ca="1" si="83"/>
        <v>corruption</v>
      </c>
      <c r="P208" s="86" t="str">
        <f t="shared" ca="1" si="84"/>
        <v>trafic</v>
      </c>
      <c r="Q208" s="85" t="str">
        <f t="shared" ca="1" si="85"/>
        <v xml:space="preserve"> </v>
      </c>
    </row>
    <row r="209" spans="1:17" ht="9.9" customHeight="1">
      <c r="A209" s="91" t="s">
        <v>2451</v>
      </c>
      <c r="B209" s="90">
        <v>40</v>
      </c>
      <c r="C209" s="89">
        <f t="shared" ca="1" si="73"/>
        <v>7</v>
      </c>
      <c r="D209" s="87">
        <f t="shared" ca="1" si="74"/>
        <v>36</v>
      </c>
      <c r="E209" s="88" t="str">
        <f t="shared" ca="1" si="66"/>
        <v>+</v>
      </c>
      <c r="F209" s="88" t="str">
        <f t="shared" ca="1" si="66"/>
        <v>=</v>
      </c>
      <c r="G209" s="86" t="str">
        <f t="shared" ca="1" si="75"/>
        <v xml:space="preserve"> </v>
      </c>
      <c r="H209" s="86" t="str">
        <f t="shared" ca="1" si="76"/>
        <v xml:space="preserve"> </v>
      </c>
      <c r="I209" s="86" t="str">
        <f t="shared" ca="1" si="77"/>
        <v xml:space="preserve"> </v>
      </c>
      <c r="J209" s="86" t="str">
        <f t="shared" ca="1" si="78"/>
        <v xml:space="preserve"> </v>
      </c>
      <c r="K209" s="86" t="str">
        <f t="shared" ca="1" si="79"/>
        <v>fervent</v>
      </c>
      <c r="L209" s="86" t="str">
        <f t="shared" ca="1" si="80"/>
        <v xml:space="preserve"> </v>
      </c>
      <c r="M209" s="87">
        <f t="shared" ca="1" si="81"/>
        <v>1</v>
      </c>
      <c r="N209" s="86" t="str">
        <f t="shared" ca="1" si="82"/>
        <v xml:space="preserve"> </v>
      </c>
      <c r="O209" s="86" t="str">
        <f t="shared" ca="1" si="83"/>
        <v>gardes</v>
      </c>
      <c r="P209" s="86" t="str">
        <f t="shared" ca="1" si="84"/>
        <v xml:space="preserve"> </v>
      </c>
      <c r="Q209" s="85" t="str">
        <f t="shared" ca="1" si="85"/>
        <v xml:space="preserve"> </v>
      </c>
    </row>
    <row r="210" spans="1:17" ht="9.9" customHeight="1">
      <c r="A210" s="91" t="s">
        <v>2451</v>
      </c>
      <c r="B210" s="90">
        <v>40</v>
      </c>
      <c r="C210" s="89">
        <f t="shared" ca="1" si="73"/>
        <v>7</v>
      </c>
      <c r="D210" s="87">
        <f t="shared" ca="1" si="74"/>
        <v>49</v>
      </c>
      <c r="E210" s="88" t="str">
        <f t="shared" ca="1" si="66"/>
        <v>+</v>
      </c>
      <c r="F210" s="88" t="str">
        <f t="shared" ca="1" si="66"/>
        <v>=</v>
      </c>
      <c r="G210" s="86" t="str">
        <f t="shared" ca="1" si="75"/>
        <v>Agriculture</v>
      </c>
      <c r="H210" s="86" t="str">
        <f t="shared" ca="1" si="76"/>
        <v xml:space="preserve"> </v>
      </c>
      <c r="I210" s="86" t="str">
        <f t="shared" ca="1" si="77"/>
        <v xml:space="preserve"> </v>
      </c>
      <c r="J210" s="86" t="str">
        <f t="shared" ca="1" si="78"/>
        <v>opposé</v>
      </c>
      <c r="K210" s="86" t="str">
        <f t="shared" ca="1" si="79"/>
        <v xml:space="preserve"> </v>
      </c>
      <c r="L210" s="86" t="str">
        <f t="shared" ca="1" si="80"/>
        <v xml:space="preserve"> </v>
      </c>
      <c r="M210" s="87">
        <f t="shared" ca="1" si="81"/>
        <v>1</v>
      </c>
      <c r="N210" s="86" t="str">
        <f t="shared" ca="1" si="82"/>
        <v xml:space="preserve"> </v>
      </c>
      <c r="O210" s="86" t="str">
        <f t="shared" ca="1" si="83"/>
        <v xml:space="preserve"> </v>
      </c>
      <c r="P210" s="86" t="str">
        <f t="shared" ca="1" si="84"/>
        <v xml:space="preserve"> </v>
      </c>
      <c r="Q210" s="85" t="str">
        <f t="shared" ca="1" si="85"/>
        <v xml:space="preserve"> </v>
      </c>
    </row>
    <row r="211" spans="1:17" ht="9.9" customHeight="1">
      <c r="A211" s="98" t="s">
        <v>2438</v>
      </c>
      <c r="B211" s="97">
        <v>1</v>
      </c>
      <c r="C211" s="96">
        <f t="shared" ca="1" si="73"/>
        <v>0</v>
      </c>
      <c r="D211" s="94">
        <f t="shared" ca="1" si="74"/>
        <v>1</v>
      </c>
      <c r="E211" s="95" t="str">
        <f t="shared" ca="1" si="66"/>
        <v>=</v>
      </c>
      <c r="F211" s="95" t="str">
        <f t="shared" ca="1" si="66"/>
        <v>-</v>
      </c>
      <c r="G211" s="93" t="str">
        <f t="shared" ca="1" si="75"/>
        <v xml:space="preserve"> </v>
      </c>
      <c r="H211" s="93" t="str">
        <f t="shared" ca="1" si="76"/>
        <v xml:space="preserve"> </v>
      </c>
      <c r="I211" s="93" t="str">
        <f t="shared" ca="1" si="77"/>
        <v xml:space="preserve"> </v>
      </c>
      <c r="J211" s="93" t="str">
        <f t="shared" ca="1" si="78"/>
        <v>loyal</v>
      </c>
      <c r="K211" s="93" t="str">
        <f t="shared" ca="1" si="79"/>
        <v xml:space="preserve"> </v>
      </c>
      <c r="L211" s="93" t="str">
        <f t="shared" ca="1" si="80"/>
        <v>xénophobe</v>
      </c>
      <c r="M211" s="94">
        <f t="shared" ca="1" si="81"/>
        <v>0</v>
      </c>
      <c r="N211" s="93" t="str">
        <f t="shared" ca="1" si="82"/>
        <v xml:space="preserve"> </v>
      </c>
      <c r="O211" s="93" t="str">
        <f t="shared" ca="1" si="83"/>
        <v>gardes</v>
      </c>
      <c r="P211" s="93" t="str">
        <f t="shared" ca="1" si="84"/>
        <v xml:space="preserve"> </v>
      </c>
      <c r="Q211" s="92" t="str">
        <f t="shared" ca="1" si="85"/>
        <v xml:space="preserve"> </v>
      </c>
    </row>
    <row r="212" spans="1:17" ht="9.9" customHeight="1">
      <c r="A212" s="98" t="s">
        <v>2438</v>
      </c>
      <c r="B212" s="97">
        <v>1</v>
      </c>
      <c r="C212" s="96">
        <f t="shared" ca="1" si="73"/>
        <v>0</v>
      </c>
      <c r="D212" s="94">
        <f t="shared" ca="1" si="74"/>
        <v>1</v>
      </c>
      <c r="E212" s="95" t="str">
        <f t="shared" ca="1" si="66"/>
        <v>=</v>
      </c>
      <c r="F212" s="95" t="str">
        <f t="shared" ca="1" si="66"/>
        <v>=</v>
      </c>
      <c r="G212" s="93" t="str">
        <f t="shared" ca="1" si="75"/>
        <v xml:space="preserve"> </v>
      </c>
      <c r="H212" s="93" t="str">
        <f t="shared" ca="1" si="76"/>
        <v xml:space="preserve"> </v>
      </c>
      <c r="I212" s="93" t="str">
        <f t="shared" ca="1" si="77"/>
        <v xml:space="preserve"> </v>
      </c>
      <c r="J212" s="93" t="str">
        <f t="shared" ca="1" si="78"/>
        <v xml:space="preserve"> </v>
      </c>
      <c r="K212" s="93" t="str">
        <f t="shared" ca="1" si="79"/>
        <v>fervent</v>
      </c>
      <c r="L212" s="93" t="str">
        <f t="shared" ca="1" si="80"/>
        <v xml:space="preserve"> </v>
      </c>
      <c r="M212" s="94">
        <f t="shared" ca="1" si="81"/>
        <v>0</v>
      </c>
      <c r="N212" s="93" t="str">
        <f t="shared" ca="1" si="82"/>
        <v>marché</v>
      </c>
      <c r="O212" s="93" t="str">
        <f t="shared" ca="1" si="83"/>
        <v xml:space="preserve"> </v>
      </c>
      <c r="P212" s="93" t="str">
        <f t="shared" ca="1" si="84"/>
        <v xml:space="preserve"> </v>
      </c>
      <c r="Q212" s="92" t="str">
        <f t="shared" ca="1" si="85"/>
        <v xml:space="preserve"> </v>
      </c>
    </row>
    <row r="213" spans="1:17" ht="9.9" customHeight="1">
      <c r="A213" s="98" t="s">
        <v>2438</v>
      </c>
      <c r="B213" s="97">
        <v>1</v>
      </c>
      <c r="C213" s="96">
        <f t="shared" ca="1" si="73"/>
        <v>0</v>
      </c>
      <c r="D213" s="94">
        <f t="shared" ca="1" si="74"/>
        <v>1</v>
      </c>
      <c r="E213" s="95" t="str">
        <f t="shared" ca="1" si="66"/>
        <v>+</v>
      </c>
      <c r="F213" s="95" t="str">
        <f t="shared" ca="1" si="66"/>
        <v>+</v>
      </c>
      <c r="G213" s="93" t="str">
        <f t="shared" ca="1" si="75"/>
        <v xml:space="preserve"> </v>
      </c>
      <c r="H213" s="93" t="str">
        <f t="shared" ca="1" si="76"/>
        <v xml:space="preserve"> </v>
      </c>
      <c r="I213" s="93" t="str">
        <f t="shared" ca="1" si="77"/>
        <v xml:space="preserve"> </v>
      </c>
      <c r="J213" s="93" t="str">
        <f t="shared" ca="1" si="78"/>
        <v>très loyal</v>
      </c>
      <c r="K213" s="93" t="str">
        <f t="shared" ca="1" si="79"/>
        <v>très fervent</v>
      </c>
      <c r="L213" s="93" t="str">
        <f t="shared" ca="1" si="80"/>
        <v xml:space="preserve"> </v>
      </c>
      <c r="M213" s="94">
        <f t="shared" ca="1" si="81"/>
        <v>0</v>
      </c>
      <c r="N213" s="93" t="str">
        <f t="shared" ca="1" si="82"/>
        <v>marché</v>
      </c>
      <c r="O213" s="93" t="str">
        <f t="shared" ca="1" si="83"/>
        <v>protection</v>
      </c>
      <c r="P213" s="93" t="str">
        <f t="shared" ca="1" si="84"/>
        <v xml:space="preserve"> </v>
      </c>
      <c r="Q213" s="92" t="str">
        <f t="shared" ca="1" si="85"/>
        <v>statue</v>
      </c>
    </row>
    <row r="214" spans="1:17" ht="9.9" customHeight="1">
      <c r="A214" s="91" t="s">
        <v>529</v>
      </c>
      <c r="B214" s="90">
        <v>10</v>
      </c>
      <c r="C214" s="89">
        <f t="shared" ref="C214:C218" ca="1" si="86">ROUND(B214/(5+RANDBETWEEN(1,5)),0)</f>
        <v>1</v>
      </c>
      <c r="D214" s="87">
        <f t="shared" ref="D214:D218" ca="1" si="87">ROUND(B214*(100+RANDBETWEEN(1,50)-RANDBETWEEN(1,50))/100,0)</f>
        <v>12</v>
      </c>
      <c r="E214" s="88" t="str">
        <f t="shared" ca="1" si="66"/>
        <v>- - -</v>
      </c>
      <c r="F214" s="88" t="str">
        <f t="shared" ca="1" si="66"/>
        <v>-</v>
      </c>
      <c r="G214" s="86" t="str">
        <f t="shared" ref="G214:G218" ca="1" si="88">IF(RANDBETWEEN(1,10)&lt;=C214,LOOKUP(RANDBETWEEN(1,100),dé100,primaire)," ")</f>
        <v xml:space="preserve"> </v>
      </c>
      <c r="H214" s="86" t="str">
        <f t="shared" ref="H214:H218" ca="1" si="89">IF(RANDBETWEEN(1,50)&lt;=C214,LOOKUP(RANDBETWEEN(1,100),dé100,secondaire)," ")</f>
        <v xml:space="preserve"> </v>
      </c>
      <c r="I214" s="86" t="str">
        <f t="shared" ref="I214:I218" ca="1" si="90">IF(RANDBETWEEN(1,500)&lt;=C214,LOOKUP(RANDBETWEEN(1,100),dé100,tertiaire)," ")</f>
        <v xml:space="preserve"> </v>
      </c>
      <c r="J214" s="86" t="str">
        <f t="shared" ca="1" si="78"/>
        <v>loyal</v>
      </c>
      <c r="K214" s="86" t="str">
        <f t="shared" ca="1" si="79"/>
        <v>fervent</v>
      </c>
      <c r="L214" s="86" t="str">
        <f t="shared" ca="1" si="80"/>
        <v>repoussant</v>
      </c>
      <c r="M214" s="87">
        <f t="shared" ref="M214:M218" ca="1" si="91">ROUND(C214/(RANDBETWEEN(1,5)+5),0)</f>
        <v>0</v>
      </c>
      <c r="N214" s="86" t="str">
        <f t="shared" ca="1" si="82"/>
        <v>peu d'échanges</v>
      </c>
      <c r="O214" s="86" t="str">
        <f t="shared" ca="1" si="83"/>
        <v xml:space="preserve"> </v>
      </c>
      <c r="P214" s="86" t="str">
        <f t="shared" ca="1" si="84"/>
        <v xml:space="preserve"> </v>
      </c>
      <c r="Q214" s="85" t="str">
        <f t="shared" ca="1" si="85"/>
        <v xml:space="preserve"> </v>
      </c>
    </row>
    <row r="215" spans="1:17" ht="9.9" customHeight="1">
      <c r="A215" s="91" t="s">
        <v>529</v>
      </c>
      <c r="B215" s="90">
        <v>10</v>
      </c>
      <c r="C215" s="89">
        <f t="shared" ref="C215:C216" ca="1" si="92">ROUND(B215/(5+RANDBETWEEN(1,5)),0)</f>
        <v>1</v>
      </c>
      <c r="D215" s="87">
        <f t="shared" ref="D215:D216" ca="1" si="93">ROUND(B215*(100+RANDBETWEEN(1,50)-RANDBETWEEN(1,50))/100,0)</f>
        <v>14</v>
      </c>
      <c r="E215" s="88" t="str">
        <f t="shared" ca="1" si="66"/>
        <v>=</v>
      </c>
      <c r="F215" s="88" t="str">
        <f t="shared" ca="1" si="66"/>
        <v>=</v>
      </c>
      <c r="G215" s="86" t="str">
        <f t="shared" ref="G215:G216" ca="1" si="94">IF(RANDBETWEEN(1,10)&lt;=C215,LOOKUP(RANDBETWEEN(1,100),dé100,primaire)," ")</f>
        <v xml:space="preserve"> </v>
      </c>
      <c r="H215" s="86" t="str">
        <f t="shared" ref="H215:H216" ca="1" si="95">IF(RANDBETWEEN(1,50)&lt;=C215,LOOKUP(RANDBETWEEN(1,100),dé100,secondaire)," ")</f>
        <v xml:space="preserve"> </v>
      </c>
      <c r="I215" s="86" t="str">
        <f t="shared" ref="I215:I216" ca="1" si="96">IF(RANDBETWEEN(1,500)&lt;=C215,LOOKUP(RANDBETWEEN(1,100),dé100,tertiaire)," ")</f>
        <v xml:space="preserve"> </v>
      </c>
      <c r="J215" s="86" t="str">
        <f t="shared" ca="1" si="78"/>
        <v>rebelle</v>
      </c>
      <c r="K215" s="86" t="str">
        <f t="shared" ca="1" si="79"/>
        <v>fervent</v>
      </c>
      <c r="L215" s="86" t="str">
        <f t="shared" ca="1" si="80"/>
        <v xml:space="preserve"> </v>
      </c>
      <c r="M215" s="87">
        <f t="shared" ref="M215:M216" ca="1" si="97">ROUND(C215/(RANDBETWEEN(1,5)+5),0)</f>
        <v>0</v>
      </c>
      <c r="N215" s="86" t="str">
        <f t="shared" ca="1" si="82"/>
        <v xml:space="preserve"> </v>
      </c>
      <c r="O215" s="86" t="str">
        <f t="shared" ca="1" si="83"/>
        <v xml:space="preserve"> </v>
      </c>
      <c r="P215" s="86" t="str">
        <f t="shared" ca="1" si="84"/>
        <v xml:space="preserve"> </v>
      </c>
      <c r="Q215" s="85" t="str">
        <f t="shared" ca="1" si="85"/>
        <v xml:space="preserve"> </v>
      </c>
    </row>
    <row r="216" spans="1:17" ht="9.9" customHeight="1">
      <c r="A216" s="91" t="s">
        <v>529</v>
      </c>
      <c r="B216" s="90">
        <v>10</v>
      </c>
      <c r="C216" s="89">
        <f t="shared" ca="1" si="92"/>
        <v>1</v>
      </c>
      <c r="D216" s="87">
        <f t="shared" ca="1" si="93"/>
        <v>12</v>
      </c>
      <c r="E216" s="88" t="str">
        <f t="shared" ca="1" si="66"/>
        <v>++</v>
      </c>
      <c r="F216" s="88" t="str">
        <f t="shared" ca="1" si="66"/>
        <v>=</v>
      </c>
      <c r="G216" s="86" t="str">
        <f t="shared" ca="1" si="94"/>
        <v xml:space="preserve"> </v>
      </c>
      <c r="H216" s="86" t="str">
        <f t="shared" ca="1" si="95"/>
        <v xml:space="preserve"> </v>
      </c>
      <c r="I216" s="86" t="str">
        <f t="shared" ca="1" si="96"/>
        <v xml:space="preserve"> </v>
      </c>
      <c r="J216" s="86" t="str">
        <f t="shared" ca="1" si="78"/>
        <v>rebelle</v>
      </c>
      <c r="K216" s="86" t="str">
        <f t="shared" ca="1" si="79"/>
        <v xml:space="preserve"> </v>
      </c>
      <c r="L216" s="86" t="str">
        <f t="shared" ca="1" si="80"/>
        <v xml:space="preserve"> </v>
      </c>
      <c r="M216" s="87">
        <f t="shared" ca="1" si="97"/>
        <v>0</v>
      </c>
      <c r="N216" s="86" t="str">
        <f t="shared" ca="1" si="82"/>
        <v xml:space="preserve"> </v>
      </c>
      <c r="O216" s="86" t="str">
        <f t="shared" ca="1" si="83"/>
        <v>protection</v>
      </c>
      <c r="P216" s="86" t="str">
        <f t="shared" ca="1" si="84"/>
        <v xml:space="preserve"> </v>
      </c>
      <c r="Q216" s="85" t="str">
        <f t="shared" ca="1" si="85"/>
        <v xml:space="preserve"> </v>
      </c>
    </row>
    <row r="217" spans="1:17" ht="9.9" customHeight="1">
      <c r="A217" s="91" t="s">
        <v>529</v>
      </c>
      <c r="B217" s="90">
        <v>10</v>
      </c>
      <c r="C217" s="89">
        <f t="shared" ca="1" si="86"/>
        <v>1</v>
      </c>
      <c r="D217" s="87">
        <f t="shared" ca="1" si="87"/>
        <v>10</v>
      </c>
      <c r="E217" s="88" t="str">
        <f t="shared" ca="1" si="66"/>
        <v>+</v>
      </c>
      <c r="F217" s="88" t="str">
        <f t="shared" ca="1" si="66"/>
        <v>=</v>
      </c>
      <c r="G217" s="86" t="str">
        <f t="shared" ca="1" si="88"/>
        <v xml:space="preserve"> </v>
      </c>
      <c r="H217" s="86" t="str">
        <f t="shared" ca="1" si="89"/>
        <v xml:space="preserve"> </v>
      </c>
      <c r="I217" s="86" t="str">
        <f t="shared" ca="1" si="90"/>
        <v xml:space="preserve"> </v>
      </c>
      <c r="J217" s="86" t="str">
        <f t="shared" ca="1" si="78"/>
        <v>très loyal</v>
      </c>
      <c r="K217" s="86" t="str">
        <f t="shared" ca="1" si="79"/>
        <v xml:space="preserve"> </v>
      </c>
      <c r="L217" s="86" t="str">
        <f t="shared" ca="1" si="80"/>
        <v xml:space="preserve"> </v>
      </c>
      <c r="M217" s="87">
        <f t="shared" ca="1" si="91"/>
        <v>0</v>
      </c>
      <c r="N217" s="86" t="str">
        <f t="shared" ca="1" si="82"/>
        <v xml:space="preserve"> </v>
      </c>
      <c r="O217" s="86" t="str">
        <f t="shared" ca="1" si="83"/>
        <v>brigands</v>
      </c>
      <c r="P217" s="86" t="str">
        <f t="shared" ca="1" si="84"/>
        <v>bataille</v>
      </c>
      <c r="Q217" s="85" t="str">
        <f t="shared" ca="1" si="85"/>
        <v xml:space="preserve"> </v>
      </c>
    </row>
    <row r="218" spans="1:17" ht="9.9" customHeight="1">
      <c r="A218" s="91" t="s">
        <v>529</v>
      </c>
      <c r="B218" s="90">
        <v>10</v>
      </c>
      <c r="C218" s="89">
        <f t="shared" ca="1" si="86"/>
        <v>2</v>
      </c>
      <c r="D218" s="87">
        <f t="shared" ca="1" si="87"/>
        <v>10</v>
      </c>
      <c r="E218" s="88" t="str">
        <f t="shared" ca="1" si="66"/>
        <v>=</v>
      </c>
      <c r="F218" s="88" t="str">
        <f t="shared" ca="1" si="66"/>
        <v>=</v>
      </c>
      <c r="G218" s="86" t="str">
        <f t="shared" ca="1" si="88"/>
        <v xml:space="preserve"> </v>
      </c>
      <c r="H218" s="86" t="str">
        <f t="shared" ca="1" si="89"/>
        <v xml:space="preserve"> </v>
      </c>
      <c r="I218" s="86" t="str">
        <f t="shared" ca="1" si="90"/>
        <v xml:space="preserve"> </v>
      </c>
      <c r="J218" s="86" t="str">
        <f t="shared" ca="1" si="78"/>
        <v xml:space="preserve"> </v>
      </c>
      <c r="K218" s="86" t="str">
        <f t="shared" ca="1" si="79"/>
        <v xml:space="preserve"> </v>
      </c>
      <c r="L218" s="86" t="str">
        <f t="shared" ca="1" si="80"/>
        <v>curieux</v>
      </c>
      <c r="M218" s="87">
        <f t="shared" ca="1" si="91"/>
        <v>0</v>
      </c>
      <c r="N218" s="86" t="str">
        <f t="shared" ca="1" si="82"/>
        <v xml:space="preserve"> </v>
      </c>
      <c r="O218" s="86" t="str">
        <f t="shared" ca="1" si="83"/>
        <v xml:space="preserve"> </v>
      </c>
      <c r="P218" s="86" t="str">
        <f t="shared" ca="1" si="84"/>
        <v xml:space="preserve"> </v>
      </c>
      <c r="Q218" s="85" t="str">
        <f t="shared" ca="1" si="85"/>
        <v xml:space="preserve"> </v>
      </c>
    </row>
    <row r="219" spans="1:17" ht="9.9" customHeight="1">
      <c r="A219" s="91" t="s">
        <v>529</v>
      </c>
      <c r="B219" s="90">
        <v>10</v>
      </c>
      <c r="C219" s="89">
        <f t="shared" ca="1" si="73"/>
        <v>1</v>
      </c>
      <c r="D219" s="87">
        <f t="shared" ca="1" si="74"/>
        <v>7</v>
      </c>
      <c r="E219" s="88" t="str">
        <f t="shared" ca="1" si="66"/>
        <v>++</v>
      </c>
      <c r="F219" s="88" t="str">
        <f t="shared" ca="1" si="66"/>
        <v>++</v>
      </c>
      <c r="G219" s="86" t="str">
        <f t="shared" ca="1" si="75"/>
        <v>Bois</v>
      </c>
      <c r="H219" s="86" t="str">
        <f t="shared" ca="1" si="76"/>
        <v xml:space="preserve"> </v>
      </c>
      <c r="I219" s="86" t="str">
        <f t="shared" ca="1" si="77"/>
        <v xml:space="preserve"> </v>
      </c>
      <c r="J219" s="86" t="str">
        <f t="shared" ca="1" si="78"/>
        <v>félon</v>
      </c>
      <c r="K219" s="86" t="str">
        <f t="shared" ca="1" si="79"/>
        <v xml:space="preserve"> </v>
      </c>
      <c r="L219" s="86" t="str">
        <f t="shared" ca="1" si="80"/>
        <v>méfiant</v>
      </c>
      <c r="M219" s="87">
        <f t="shared" ca="1" si="81"/>
        <v>0</v>
      </c>
      <c r="N219" s="86" t="str">
        <f t="shared" ca="1" si="82"/>
        <v>pas de marché</v>
      </c>
      <c r="O219" s="86" t="str">
        <f t="shared" ca="1" si="83"/>
        <v xml:space="preserve"> </v>
      </c>
      <c r="P219" s="86" t="str">
        <f t="shared" ca="1" si="84"/>
        <v xml:space="preserve"> </v>
      </c>
      <c r="Q219" s="85" t="str">
        <f t="shared" ca="1" si="85"/>
        <v xml:space="preserve"> </v>
      </c>
    </row>
    <row r="220" spans="1:17" ht="9.9" customHeight="1">
      <c r="A220" s="91" t="s">
        <v>529</v>
      </c>
      <c r="B220" s="90">
        <v>10</v>
      </c>
      <c r="C220" s="89">
        <f t="shared" ca="1" si="73"/>
        <v>2</v>
      </c>
      <c r="D220" s="87">
        <f t="shared" ca="1" si="74"/>
        <v>8</v>
      </c>
      <c r="E220" s="88" t="str">
        <f t="shared" ca="1" si="66"/>
        <v>+</v>
      </c>
      <c r="F220" s="88" t="str">
        <f t="shared" ca="1" si="66"/>
        <v>+</v>
      </c>
      <c r="G220" s="86" t="str">
        <f t="shared" ca="1" si="75"/>
        <v>Agriculture</v>
      </c>
      <c r="H220" s="86" t="str">
        <f t="shared" ca="1" si="76"/>
        <v xml:space="preserve"> </v>
      </c>
      <c r="I220" s="86" t="str">
        <f t="shared" ca="1" si="77"/>
        <v xml:space="preserve"> </v>
      </c>
      <c r="J220" s="86" t="str">
        <f t="shared" ca="1" si="78"/>
        <v>loyal</v>
      </c>
      <c r="K220" s="86" t="str">
        <f t="shared" ca="1" si="79"/>
        <v xml:space="preserve"> </v>
      </c>
      <c r="L220" s="86" t="str">
        <f t="shared" ca="1" si="80"/>
        <v>tolérant</v>
      </c>
      <c r="M220" s="87">
        <f t="shared" ca="1" si="81"/>
        <v>0</v>
      </c>
      <c r="N220" s="86" t="str">
        <f t="shared" ca="1" si="82"/>
        <v>rien à vendre</v>
      </c>
      <c r="O220" s="86" t="str">
        <f t="shared" ca="1" si="83"/>
        <v>protection</v>
      </c>
      <c r="P220" s="86" t="str">
        <f t="shared" ca="1" si="84"/>
        <v xml:space="preserve"> </v>
      </c>
      <c r="Q220" s="85" t="str">
        <f t="shared" ca="1" si="85"/>
        <v xml:space="preserve"> </v>
      </c>
    </row>
    <row r="221" spans="1:17" ht="9.9" customHeight="1">
      <c r="A221" s="91" t="s">
        <v>529</v>
      </c>
      <c r="B221" s="90">
        <v>10</v>
      </c>
      <c r="C221" s="89">
        <f t="shared" ca="1" si="73"/>
        <v>1</v>
      </c>
      <c r="D221" s="87">
        <f t="shared" ca="1" si="74"/>
        <v>10</v>
      </c>
      <c r="E221" s="88" t="str">
        <f t="shared" ca="1" si="66"/>
        <v>=</v>
      </c>
      <c r="F221" s="88" t="str">
        <f t="shared" ca="1" si="66"/>
        <v>-</v>
      </c>
      <c r="G221" s="86" t="str">
        <f t="shared" ca="1" si="75"/>
        <v xml:space="preserve"> </v>
      </c>
      <c r="H221" s="86" t="str">
        <f t="shared" ca="1" si="76"/>
        <v xml:space="preserve"> </v>
      </c>
      <c r="I221" s="86" t="str">
        <f t="shared" ca="1" si="77"/>
        <v xml:space="preserve"> </v>
      </c>
      <c r="J221" s="86" t="str">
        <f t="shared" ca="1" si="78"/>
        <v xml:space="preserve"> </v>
      </c>
      <c r="K221" s="86" t="str">
        <f t="shared" ca="1" si="79"/>
        <v>pratiques</v>
      </c>
      <c r="L221" s="86" t="str">
        <f t="shared" ca="1" si="80"/>
        <v>fermé</v>
      </c>
      <c r="M221" s="87">
        <f t="shared" ca="1" si="81"/>
        <v>0</v>
      </c>
      <c r="N221" s="86" t="str">
        <f t="shared" ca="1" si="82"/>
        <v>pas de marché</v>
      </c>
      <c r="O221" s="86" t="str">
        <f t="shared" ca="1" si="83"/>
        <v xml:space="preserve"> </v>
      </c>
      <c r="P221" s="86" t="str">
        <f t="shared" ca="1" si="84"/>
        <v>bataille</v>
      </c>
      <c r="Q221" s="85" t="str">
        <f t="shared" ca="1" si="85"/>
        <v xml:space="preserve"> </v>
      </c>
    </row>
    <row r="222" spans="1:17" ht="9.9" customHeight="1">
      <c r="A222" s="91" t="s">
        <v>529</v>
      </c>
      <c r="B222" s="90">
        <v>10</v>
      </c>
      <c r="C222" s="89">
        <f t="shared" ca="1" si="73"/>
        <v>1</v>
      </c>
      <c r="D222" s="87">
        <f t="shared" ca="1" si="74"/>
        <v>13</v>
      </c>
      <c r="E222" s="88" t="str">
        <f t="shared" ca="1" si="66"/>
        <v>+</v>
      </c>
      <c r="F222" s="88" t="str">
        <f t="shared" ca="1" si="66"/>
        <v>- -</v>
      </c>
      <c r="G222" s="86" t="str">
        <f t="shared" ca="1" si="75"/>
        <v xml:space="preserve"> </v>
      </c>
      <c r="H222" s="86" t="str">
        <f t="shared" ca="1" si="76"/>
        <v xml:space="preserve"> </v>
      </c>
      <c r="I222" s="86" t="str">
        <f t="shared" ca="1" si="77"/>
        <v xml:space="preserve"> </v>
      </c>
      <c r="J222" s="86" t="str">
        <f t="shared" ca="1" si="78"/>
        <v>fidèle</v>
      </c>
      <c r="K222" s="86" t="str">
        <f t="shared" ca="1" si="79"/>
        <v xml:space="preserve"> </v>
      </c>
      <c r="L222" s="86" t="str">
        <f t="shared" ca="1" si="80"/>
        <v xml:space="preserve"> </v>
      </c>
      <c r="M222" s="87">
        <f t="shared" ca="1" si="81"/>
        <v>0</v>
      </c>
      <c r="N222" s="86" t="str">
        <f t="shared" ca="1" si="82"/>
        <v>marché</v>
      </c>
      <c r="O222" s="86" t="str">
        <f t="shared" ca="1" si="83"/>
        <v>brigands</v>
      </c>
      <c r="P222" s="86" t="str">
        <f t="shared" ca="1" si="84"/>
        <v xml:space="preserve"> </v>
      </c>
      <c r="Q222" s="85" t="str">
        <f t="shared" ca="1" si="85"/>
        <v>abandonné</v>
      </c>
    </row>
    <row r="223" spans="1:17" ht="9.9" customHeight="1">
      <c r="A223" s="98" t="s">
        <v>528</v>
      </c>
      <c r="B223" s="97">
        <v>50</v>
      </c>
      <c r="C223" s="96">
        <f t="shared" ref="C223:C224" ca="1" si="98">ROUND(B223/(5+RANDBETWEEN(1,5)),0)</f>
        <v>7</v>
      </c>
      <c r="D223" s="94">
        <f t="shared" ref="D223:D224" ca="1" si="99">ROUND(B223*(100+RANDBETWEEN(1,50)-RANDBETWEEN(1,50))/100,0)</f>
        <v>51</v>
      </c>
      <c r="E223" s="95" t="str">
        <f t="shared" ca="1" si="66"/>
        <v>=</v>
      </c>
      <c r="F223" s="95" t="str">
        <f t="shared" ca="1" si="66"/>
        <v>=</v>
      </c>
      <c r="G223" s="93" t="str">
        <f t="shared" ref="G223:G224" ca="1" si="100">IF(RANDBETWEEN(1,10)&lt;=C223,LOOKUP(RANDBETWEEN(1,100),dé100,primaire)," ")</f>
        <v>Agriculture</v>
      </c>
      <c r="H223" s="93" t="str">
        <f t="shared" ref="H223:H224" ca="1" si="101">IF(RANDBETWEEN(1,50)&lt;=C223,LOOKUP(RANDBETWEEN(1,100),dé100,secondaire)," ")</f>
        <v xml:space="preserve"> </v>
      </c>
      <c r="I223" s="93" t="str">
        <f t="shared" ref="I223:I224" ca="1" si="102">IF(RANDBETWEEN(1,500)&lt;=C223,LOOKUP(RANDBETWEEN(1,100),dé100,tertiaire)," ")</f>
        <v xml:space="preserve"> </v>
      </c>
      <c r="J223" s="93" t="str">
        <f t="shared" ca="1" si="78"/>
        <v xml:space="preserve"> </v>
      </c>
      <c r="K223" s="93" t="str">
        <f t="shared" ca="1" si="79"/>
        <v xml:space="preserve"> </v>
      </c>
      <c r="L223" s="93" t="str">
        <f t="shared" ca="1" si="80"/>
        <v xml:space="preserve"> </v>
      </c>
      <c r="M223" s="94">
        <f t="shared" ref="M223:M224" ca="1" si="103">ROUND(C223/(RANDBETWEEN(1,5)+5),0)</f>
        <v>1</v>
      </c>
      <c r="N223" s="93" t="str">
        <f t="shared" ca="1" si="82"/>
        <v>peu d'échanges</v>
      </c>
      <c r="O223" s="93" t="str">
        <f t="shared" ca="1" si="83"/>
        <v xml:space="preserve"> </v>
      </c>
      <c r="P223" s="93" t="str">
        <f t="shared" ca="1" si="84"/>
        <v xml:space="preserve"> </v>
      </c>
      <c r="Q223" s="92" t="str">
        <f t="shared" ca="1" si="85"/>
        <v xml:space="preserve"> </v>
      </c>
    </row>
    <row r="224" spans="1:17" ht="9.9" customHeight="1">
      <c r="A224" s="98" t="s">
        <v>528</v>
      </c>
      <c r="B224" s="97">
        <v>50</v>
      </c>
      <c r="C224" s="96">
        <f t="shared" ca="1" si="98"/>
        <v>5</v>
      </c>
      <c r="D224" s="94">
        <f t="shared" ca="1" si="99"/>
        <v>72</v>
      </c>
      <c r="E224" s="95" t="str">
        <f t="shared" ref="E224:F263" ca="1" si="104">LOOKUP(RANDBETWEEN(1,100),dé100,richesse)</f>
        <v>+</v>
      </c>
      <c r="F224" s="95" t="str">
        <f t="shared" ca="1" si="104"/>
        <v>+</v>
      </c>
      <c r="G224" s="93" t="str">
        <f t="shared" ca="1" si="100"/>
        <v xml:space="preserve"> </v>
      </c>
      <c r="H224" s="93" t="str">
        <f t="shared" ca="1" si="101"/>
        <v xml:space="preserve"> </v>
      </c>
      <c r="I224" s="93" t="str">
        <f t="shared" ca="1" si="102"/>
        <v xml:space="preserve"> </v>
      </c>
      <c r="J224" s="93" t="str">
        <f t="shared" ca="1" si="78"/>
        <v>rebelle</v>
      </c>
      <c r="K224" s="93" t="str">
        <f t="shared" ca="1" si="79"/>
        <v xml:space="preserve"> </v>
      </c>
      <c r="L224" s="93" t="str">
        <f t="shared" ca="1" si="80"/>
        <v xml:space="preserve"> </v>
      </c>
      <c r="M224" s="94">
        <f t="shared" ca="1" si="103"/>
        <v>1</v>
      </c>
      <c r="N224" s="93" t="str">
        <f t="shared" ca="1" si="82"/>
        <v>désert</v>
      </c>
      <c r="O224" s="93" t="str">
        <f t="shared" ca="1" si="83"/>
        <v xml:space="preserve"> </v>
      </c>
      <c r="P224" s="93" t="str">
        <f t="shared" ca="1" si="84"/>
        <v xml:space="preserve"> </v>
      </c>
      <c r="Q224" s="92" t="str">
        <f t="shared" ca="1" si="85"/>
        <v xml:space="preserve"> </v>
      </c>
    </row>
    <row r="225" spans="1:17" ht="9.9" customHeight="1">
      <c r="A225" s="98" t="s">
        <v>528</v>
      </c>
      <c r="B225" s="97">
        <v>50</v>
      </c>
      <c r="C225" s="96">
        <f t="shared" ca="1" si="73"/>
        <v>8</v>
      </c>
      <c r="D225" s="94">
        <f t="shared" ca="1" si="74"/>
        <v>48</v>
      </c>
      <c r="E225" s="95" t="str">
        <f t="shared" ca="1" si="104"/>
        <v>- -</v>
      </c>
      <c r="F225" s="95" t="str">
        <f t="shared" ca="1" si="104"/>
        <v>=</v>
      </c>
      <c r="G225" s="93" t="str">
        <f t="shared" ca="1" si="75"/>
        <v xml:space="preserve"> </v>
      </c>
      <c r="H225" s="93" t="str">
        <f t="shared" ca="1" si="76"/>
        <v>Artisanat</v>
      </c>
      <c r="I225" s="93" t="str">
        <f t="shared" ca="1" si="77"/>
        <v xml:space="preserve"> </v>
      </c>
      <c r="J225" s="93" t="str">
        <f t="shared" ca="1" si="78"/>
        <v>fidèle</v>
      </c>
      <c r="K225" s="93" t="str">
        <f t="shared" ca="1" si="79"/>
        <v xml:space="preserve"> </v>
      </c>
      <c r="L225" s="93" t="str">
        <f t="shared" ca="1" si="80"/>
        <v>curieux</v>
      </c>
      <c r="M225" s="94">
        <f t="shared" ca="1" si="81"/>
        <v>1</v>
      </c>
      <c r="N225" s="93" t="str">
        <f t="shared" ca="1" si="82"/>
        <v xml:space="preserve"> </v>
      </c>
      <c r="O225" s="93" t="str">
        <f t="shared" ca="1" si="83"/>
        <v xml:space="preserve"> </v>
      </c>
      <c r="P225" s="93" t="str">
        <f t="shared" ca="1" si="84"/>
        <v xml:space="preserve"> </v>
      </c>
      <c r="Q225" s="92" t="str">
        <f t="shared" ca="1" si="85"/>
        <v xml:space="preserve"> </v>
      </c>
    </row>
    <row r="226" spans="1:17" ht="9.9" customHeight="1">
      <c r="A226" s="98" t="s">
        <v>528</v>
      </c>
      <c r="B226" s="97">
        <v>50</v>
      </c>
      <c r="C226" s="96">
        <f t="shared" ca="1" si="73"/>
        <v>6</v>
      </c>
      <c r="D226" s="94">
        <f t="shared" ca="1" si="74"/>
        <v>48</v>
      </c>
      <c r="E226" s="95" t="str">
        <f t="shared" ca="1" si="104"/>
        <v>-</v>
      </c>
      <c r="F226" s="95" t="str">
        <f t="shared" ca="1" si="104"/>
        <v>+</v>
      </c>
      <c r="G226" s="93" t="str">
        <f t="shared" ca="1" si="75"/>
        <v xml:space="preserve"> </v>
      </c>
      <c r="H226" s="93" t="str">
        <f t="shared" ca="1" si="76"/>
        <v xml:space="preserve"> </v>
      </c>
      <c r="I226" s="93" t="str">
        <f t="shared" ca="1" si="77"/>
        <v xml:space="preserve"> </v>
      </c>
      <c r="J226" s="93" t="str">
        <f t="shared" ca="1" si="78"/>
        <v xml:space="preserve"> </v>
      </c>
      <c r="K226" s="93" t="str">
        <f t="shared" ca="1" si="79"/>
        <v xml:space="preserve"> </v>
      </c>
      <c r="L226" s="93" t="str">
        <f t="shared" ca="1" si="80"/>
        <v>méfiant</v>
      </c>
      <c r="M226" s="94">
        <f t="shared" ca="1" si="81"/>
        <v>1</v>
      </c>
      <c r="N226" s="93" t="str">
        <f t="shared" ca="1" si="82"/>
        <v>pas de marché</v>
      </c>
      <c r="O226" s="93" t="str">
        <f t="shared" ca="1" si="83"/>
        <v xml:space="preserve"> </v>
      </c>
      <c r="P226" s="93" t="str">
        <f t="shared" ca="1" si="84"/>
        <v xml:space="preserve"> </v>
      </c>
      <c r="Q226" s="92" t="str">
        <f t="shared" ca="1" si="85"/>
        <v xml:space="preserve"> </v>
      </c>
    </row>
    <row r="227" spans="1:17" ht="9.9" customHeight="1">
      <c r="A227" s="91" t="s">
        <v>527</v>
      </c>
      <c r="B227" s="90">
        <v>100</v>
      </c>
      <c r="C227" s="89">
        <f t="shared" ca="1" si="73"/>
        <v>14</v>
      </c>
      <c r="D227" s="87">
        <f t="shared" ca="1" si="74"/>
        <v>122</v>
      </c>
      <c r="E227" s="88" t="str">
        <f t="shared" ca="1" si="104"/>
        <v>=</v>
      </c>
      <c r="F227" s="88" t="str">
        <f t="shared" ca="1" si="104"/>
        <v>=</v>
      </c>
      <c r="G227" s="86" t="str">
        <f t="shared" ca="1" si="75"/>
        <v>Agriculture</v>
      </c>
      <c r="H227" s="86" t="str">
        <f t="shared" ca="1" si="76"/>
        <v>Poterie</v>
      </c>
      <c r="I227" s="86" t="str">
        <f t="shared" ca="1" si="77"/>
        <v>Religion</v>
      </c>
      <c r="J227" s="86" t="str">
        <f t="shared" ca="1" si="78"/>
        <v>rebelle</v>
      </c>
      <c r="K227" s="86" t="str">
        <f t="shared" ca="1" si="79"/>
        <v xml:space="preserve"> </v>
      </c>
      <c r="L227" s="86" t="str">
        <f t="shared" ca="1" si="80"/>
        <v xml:space="preserve"> </v>
      </c>
      <c r="M227" s="87">
        <f t="shared" ca="1" si="81"/>
        <v>2</v>
      </c>
      <c r="N227" s="86" t="str">
        <f t="shared" ca="1" si="82"/>
        <v>guilde</v>
      </c>
      <c r="O227" s="86" t="str">
        <f t="shared" ca="1" si="83"/>
        <v xml:space="preserve"> </v>
      </c>
      <c r="P227" s="86" t="str">
        <f t="shared" ca="1" si="84"/>
        <v xml:space="preserve"> </v>
      </c>
      <c r="Q227" s="85" t="str">
        <f t="shared" ca="1" si="85"/>
        <v xml:space="preserve"> </v>
      </c>
    </row>
    <row r="228" spans="1:17" ht="9.9" customHeight="1">
      <c r="A228" s="91" t="s">
        <v>527</v>
      </c>
      <c r="B228" s="90">
        <v>100</v>
      </c>
      <c r="C228" s="89">
        <f t="shared" ref="C228:C232" ca="1" si="105">ROUND(B228/(5+RANDBETWEEN(1,5)),0)</f>
        <v>14</v>
      </c>
      <c r="D228" s="87">
        <f t="shared" ref="D228:D232" ca="1" si="106">ROUND(B228*(100+RANDBETWEEN(1,50)-RANDBETWEEN(1,50))/100,0)</f>
        <v>75</v>
      </c>
      <c r="E228" s="88" t="str">
        <f t="shared" ca="1" si="104"/>
        <v>=</v>
      </c>
      <c r="F228" s="88" t="str">
        <f t="shared" ca="1" si="104"/>
        <v>-</v>
      </c>
      <c r="G228" s="86" t="str">
        <f t="shared" ref="G228:G232" ca="1" si="107">IF(RANDBETWEEN(1,10)&lt;=C228,LOOKUP(RANDBETWEEN(1,100),dé100,primaire)," ")</f>
        <v>Agriculture</v>
      </c>
      <c r="H228" s="86" t="str">
        <f t="shared" ref="H228:H232" ca="1" si="108">IF(RANDBETWEEN(1,50)&lt;=C228,LOOKUP(RANDBETWEEN(1,100),dé100,secondaire)," ")</f>
        <v xml:space="preserve"> </v>
      </c>
      <c r="I228" s="86" t="str">
        <f t="shared" ref="I228:I232" ca="1" si="109">IF(RANDBETWEEN(1,500)&lt;=C228,LOOKUP(RANDBETWEEN(1,100),dé100,tertiaire)," ")</f>
        <v xml:space="preserve"> </v>
      </c>
      <c r="J228" s="86" t="str">
        <f t="shared" ca="1" si="78"/>
        <v>loyal</v>
      </c>
      <c r="K228" s="86" t="str">
        <f t="shared" ca="1" si="79"/>
        <v xml:space="preserve"> </v>
      </c>
      <c r="L228" s="86" t="str">
        <f t="shared" ca="1" si="80"/>
        <v xml:space="preserve"> </v>
      </c>
      <c r="M228" s="87">
        <f t="shared" ref="M228:M232" ca="1" si="110">ROUND(C228/(RANDBETWEEN(1,5)+5),0)</f>
        <v>1</v>
      </c>
      <c r="N228" s="86" t="str">
        <f t="shared" ca="1" si="82"/>
        <v xml:space="preserve"> </v>
      </c>
      <c r="O228" s="86" t="str">
        <f t="shared" ca="1" si="83"/>
        <v>meutres</v>
      </c>
      <c r="P228" s="86" t="str">
        <f t="shared" ca="1" si="84"/>
        <v xml:space="preserve"> </v>
      </c>
      <c r="Q228" s="85" t="str">
        <f t="shared" ca="1" si="85"/>
        <v xml:space="preserve"> </v>
      </c>
    </row>
    <row r="229" spans="1:17" ht="9.9" customHeight="1">
      <c r="A229" s="91" t="s">
        <v>527</v>
      </c>
      <c r="B229" s="90">
        <v>100</v>
      </c>
      <c r="C229" s="89">
        <f t="shared" ca="1" si="105"/>
        <v>10</v>
      </c>
      <c r="D229" s="87">
        <f t="shared" ca="1" si="106"/>
        <v>103</v>
      </c>
      <c r="E229" s="88" t="str">
        <f t="shared" ca="1" si="104"/>
        <v>+</v>
      </c>
      <c r="F229" s="88" t="str">
        <f t="shared" ca="1" si="104"/>
        <v>-</v>
      </c>
      <c r="G229" s="86" t="str">
        <f t="shared" ca="1" si="107"/>
        <v>Agriculture</v>
      </c>
      <c r="H229" s="86" t="str">
        <f t="shared" ca="1" si="108"/>
        <v xml:space="preserve"> </v>
      </c>
      <c r="I229" s="86" t="str">
        <f t="shared" ca="1" si="109"/>
        <v xml:space="preserve"> </v>
      </c>
      <c r="J229" s="86" t="str">
        <f t="shared" ca="1" si="78"/>
        <v>très loyal</v>
      </c>
      <c r="K229" s="86" t="str">
        <f t="shared" ca="1" si="79"/>
        <v>pratiques</v>
      </c>
      <c r="L229" s="86" t="str">
        <f t="shared" ca="1" si="80"/>
        <v>xénophobe</v>
      </c>
      <c r="M229" s="87">
        <f t="shared" ca="1" si="110"/>
        <v>1</v>
      </c>
      <c r="N229" s="86" t="str">
        <f t="shared" ca="1" si="82"/>
        <v xml:space="preserve"> </v>
      </c>
      <c r="O229" s="86" t="str">
        <f t="shared" ca="1" si="83"/>
        <v>brigands</v>
      </c>
      <c r="P229" s="86" t="str">
        <f t="shared" ca="1" si="84"/>
        <v xml:space="preserve"> </v>
      </c>
      <c r="Q229" s="85" t="str">
        <f t="shared" ca="1" si="85"/>
        <v xml:space="preserve"> </v>
      </c>
    </row>
    <row r="230" spans="1:17" ht="9.9" customHeight="1">
      <c r="A230" s="91" t="s">
        <v>527</v>
      </c>
      <c r="B230" s="90">
        <v>100</v>
      </c>
      <c r="C230" s="89">
        <f t="shared" ca="1" si="105"/>
        <v>14</v>
      </c>
      <c r="D230" s="87">
        <f t="shared" ca="1" si="106"/>
        <v>125</v>
      </c>
      <c r="E230" s="88" t="str">
        <f t="shared" ca="1" si="104"/>
        <v>++</v>
      </c>
      <c r="F230" s="88" t="str">
        <f t="shared" ca="1" si="104"/>
        <v>=</v>
      </c>
      <c r="G230" s="86" t="str">
        <f t="shared" ca="1" si="107"/>
        <v>Elevage</v>
      </c>
      <c r="H230" s="86" t="str">
        <f t="shared" ca="1" si="108"/>
        <v>Dressage</v>
      </c>
      <c r="I230" s="86" t="str">
        <f t="shared" ca="1" si="109"/>
        <v xml:space="preserve"> </v>
      </c>
      <c r="J230" s="86" t="str">
        <f t="shared" ca="1" si="78"/>
        <v>opposé</v>
      </c>
      <c r="K230" s="86" t="str">
        <f t="shared" ca="1" si="79"/>
        <v xml:space="preserve"> </v>
      </c>
      <c r="L230" s="86" t="str">
        <f t="shared" ca="1" si="80"/>
        <v xml:space="preserve"> </v>
      </c>
      <c r="M230" s="87">
        <f t="shared" ca="1" si="110"/>
        <v>1</v>
      </c>
      <c r="N230" s="86" t="str">
        <f t="shared" ca="1" si="82"/>
        <v>pas de marché</v>
      </c>
      <c r="O230" s="86" t="str">
        <f t="shared" ca="1" si="83"/>
        <v>meutres</v>
      </c>
      <c r="P230" s="86" t="str">
        <f t="shared" ca="1" si="84"/>
        <v xml:space="preserve"> </v>
      </c>
      <c r="Q230" s="85" t="str">
        <f t="shared" ca="1" si="85"/>
        <v xml:space="preserve"> </v>
      </c>
    </row>
    <row r="231" spans="1:17" ht="9.9" customHeight="1">
      <c r="A231" s="91" t="s">
        <v>527</v>
      </c>
      <c r="B231" s="90">
        <v>100</v>
      </c>
      <c r="C231" s="89">
        <f t="shared" ca="1" si="105"/>
        <v>17</v>
      </c>
      <c r="D231" s="87">
        <f t="shared" ca="1" si="106"/>
        <v>81</v>
      </c>
      <c r="E231" s="88" t="str">
        <f t="shared" ca="1" si="104"/>
        <v>-</v>
      </c>
      <c r="F231" s="88" t="str">
        <f t="shared" ca="1" si="104"/>
        <v>+</v>
      </c>
      <c r="G231" s="86" t="str">
        <f t="shared" ca="1" si="107"/>
        <v>Epice/Fruit</v>
      </c>
      <c r="H231" s="86" t="str">
        <f t="shared" ca="1" si="108"/>
        <v xml:space="preserve"> </v>
      </c>
      <c r="I231" s="86" t="str">
        <f t="shared" ca="1" si="109"/>
        <v xml:space="preserve"> </v>
      </c>
      <c r="J231" s="86" t="str">
        <f t="shared" ca="1" si="78"/>
        <v xml:space="preserve"> </v>
      </c>
      <c r="K231" s="86" t="str">
        <f t="shared" ca="1" si="79"/>
        <v>fervent</v>
      </c>
      <c r="L231" s="86" t="str">
        <f t="shared" ca="1" si="80"/>
        <v xml:space="preserve"> </v>
      </c>
      <c r="M231" s="87">
        <f t="shared" ca="1" si="110"/>
        <v>3</v>
      </c>
      <c r="N231" s="86" t="str">
        <f t="shared" ca="1" si="82"/>
        <v xml:space="preserve"> </v>
      </c>
      <c r="O231" s="86" t="str">
        <f t="shared" ca="1" si="83"/>
        <v>brigands</v>
      </c>
      <c r="P231" s="86" t="str">
        <f t="shared" ca="1" si="84"/>
        <v xml:space="preserve"> </v>
      </c>
      <c r="Q231" s="85" t="str">
        <f t="shared" ca="1" si="85"/>
        <v xml:space="preserve"> </v>
      </c>
    </row>
    <row r="232" spans="1:17" ht="9.9" customHeight="1">
      <c r="A232" s="91" t="s">
        <v>527</v>
      </c>
      <c r="B232" s="90">
        <v>100</v>
      </c>
      <c r="C232" s="89">
        <f t="shared" ca="1" si="105"/>
        <v>14</v>
      </c>
      <c r="D232" s="87">
        <f t="shared" ca="1" si="106"/>
        <v>106</v>
      </c>
      <c r="E232" s="88" t="str">
        <f t="shared" ca="1" si="104"/>
        <v>=</v>
      </c>
      <c r="F232" s="88" t="str">
        <f t="shared" ca="1" si="104"/>
        <v>-</v>
      </c>
      <c r="G232" s="86" t="str">
        <f t="shared" ca="1" si="107"/>
        <v>Bois</v>
      </c>
      <c r="H232" s="86" t="str">
        <f t="shared" ca="1" si="108"/>
        <v xml:space="preserve"> </v>
      </c>
      <c r="I232" s="86" t="str">
        <f t="shared" ca="1" si="109"/>
        <v xml:space="preserve"> </v>
      </c>
      <c r="J232" s="86" t="str">
        <f t="shared" ca="1" si="78"/>
        <v xml:space="preserve"> </v>
      </c>
      <c r="K232" s="86" t="str">
        <f t="shared" ca="1" si="79"/>
        <v xml:space="preserve"> </v>
      </c>
      <c r="L232" s="86" t="str">
        <f t="shared" ca="1" si="80"/>
        <v xml:space="preserve"> </v>
      </c>
      <c r="M232" s="87">
        <f t="shared" ca="1" si="110"/>
        <v>1</v>
      </c>
      <c r="N232" s="86" t="str">
        <f t="shared" ca="1" si="82"/>
        <v xml:space="preserve"> </v>
      </c>
      <c r="O232" s="86" t="str">
        <f t="shared" ca="1" si="83"/>
        <v>très sûr</v>
      </c>
      <c r="P232" s="86" t="str">
        <f t="shared" ca="1" si="84"/>
        <v xml:space="preserve"> </v>
      </c>
      <c r="Q232" s="85" t="str">
        <f t="shared" ca="1" si="85"/>
        <v xml:space="preserve"> </v>
      </c>
    </row>
    <row r="233" spans="1:17" ht="9.9" customHeight="1">
      <c r="A233" s="91" t="s">
        <v>527</v>
      </c>
      <c r="B233" s="90">
        <v>100</v>
      </c>
      <c r="C233" s="89">
        <f t="shared" ca="1" si="73"/>
        <v>17</v>
      </c>
      <c r="D233" s="87">
        <f t="shared" ca="1" si="74"/>
        <v>102</v>
      </c>
      <c r="E233" s="88" t="str">
        <f t="shared" ca="1" si="104"/>
        <v>- -</v>
      </c>
      <c r="F233" s="88" t="str">
        <f t="shared" ca="1" si="104"/>
        <v>=</v>
      </c>
      <c r="G233" s="86" t="str">
        <f t="shared" ca="1" si="75"/>
        <v>Agriculture</v>
      </c>
      <c r="H233" s="86" t="str">
        <f t="shared" ca="1" si="76"/>
        <v xml:space="preserve"> </v>
      </c>
      <c r="I233" s="86" t="str">
        <f t="shared" ca="1" si="77"/>
        <v xml:space="preserve"> </v>
      </c>
      <c r="J233" s="86" t="str">
        <f t="shared" ca="1" si="78"/>
        <v>loyal</v>
      </c>
      <c r="K233" s="86" t="str">
        <f t="shared" ca="1" si="79"/>
        <v xml:space="preserve"> </v>
      </c>
      <c r="L233" s="86" t="str">
        <f t="shared" ca="1" si="80"/>
        <v xml:space="preserve"> </v>
      </c>
      <c r="M233" s="87">
        <f t="shared" ca="1" si="81"/>
        <v>2</v>
      </c>
      <c r="N233" s="86" t="str">
        <f t="shared" ca="1" si="82"/>
        <v>pas de marché</v>
      </c>
      <c r="O233" s="86" t="str">
        <f t="shared" ca="1" si="83"/>
        <v xml:space="preserve"> </v>
      </c>
      <c r="P233" s="86" t="str">
        <f t="shared" ca="1" si="84"/>
        <v>monstre</v>
      </c>
      <c r="Q233" s="85" t="str">
        <f t="shared" ca="1" si="85"/>
        <v xml:space="preserve"> </v>
      </c>
    </row>
    <row r="234" spans="1:17" ht="9.9" customHeight="1">
      <c r="A234" s="91" t="s">
        <v>527</v>
      </c>
      <c r="B234" s="90">
        <v>100</v>
      </c>
      <c r="C234" s="89">
        <f t="shared" ca="1" si="73"/>
        <v>14</v>
      </c>
      <c r="D234" s="87">
        <f t="shared" ca="1" si="74"/>
        <v>90</v>
      </c>
      <c r="E234" s="88" t="str">
        <f t="shared" ca="1" si="104"/>
        <v>=</v>
      </c>
      <c r="F234" s="88" t="str">
        <f t="shared" ca="1" si="104"/>
        <v>+</v>
      </c>
      <c r="G234" s="86" t="str">
        <f t="shared" ca="1" si="75"/>
        <v>Elevage</v>
      </c>
      <c r="H234" s="86" t="str">
        <f t="shared" ca="1" si="76"/>
        <v>Poterie</v>
      </c>
      <c r="I234" s="86" t="str">
        <f t="shared" ca="1" si="77"/>
        <v xml:space="preserve"> </v>
      </c>
      <c r="J234" s="86" t="str">
        <f t="shared" ca="1" si="78"/>
        <v xml:space="preserve"> </v>
      </c>
      <c r="K234" s="86" t="str">
        <f t="shared" ca="1" si="79"/>
        <v>chasse</v>
      </c>
      <c r="L234" s="86" t="str">
        <f t="shared" ca="1" si="80"/>
        <v>méfiant</v>
      </c>
      <c r="M234" s="87">
        <f t="shared" ca="1" si="81"/>
        <v>1</v>
      </c>
      <c r="N234" s="86" t="str">
        <f t="shared" ca="1" si="82"/>
        <v>marché</v>
      </c>
      <c r="O234" s="86" t="str">
        <f t="shared" ca="1" si="83"/>
        <v>corruption</v>
      </c>
      <c r="P234" s="86" t="str">
        <f t="shared" ca="1" si="84"/>
        <v xml:space="preserve"> </v>
      </c>
      <c r="Q234" s="85" t="str">
        <f t="shared" ca="1" si="85"/>
        <v xml:space="preserve"> </v>
      </c>
    </row>
    <row r="235" spans="1:17" ht="9.9" customHeight="1">
      <c r="A235" s="91" t="s">
        <v>527</v>
      </c>
      <c r="B235" s="90">
        <v>100</v>
      </c>
      <c r="C235" s="89">
        <f t="shared" ca="1" si="73"/>
        <v>13</v>
      </c>
      <c r="D235" s="87">
        <f t="shared" ca="1" si="74"/>
        <v>69</v>
      </c>
      <c r="E235" s="88" t="str">
        <f t="shared" ca="1" si="104"/>
        <v>=</v>
      </c>
      <c r="F235" s="88" t="str">
        <f t="shared" ca="1" si="104"/>
        <v>+</v>
      </c>
      <c r="G235" s="86" t="str">
        <f t="shared" ca="1" si="75"/>
        <v>Agriculture</v>
      </c>
      <c r="H235" s="86" t="str">
        <f t="shared" ca="1" si="76"/>
        <v xml:space="preserve"> </v>
      </c>
      <c r="I235" s="86" t="str">
        <f t="shared" ca="1" si="77"/>
        <v xml:space="preserve"> </v>
      </c>
      <c r="J235" s="86" t="str">
        <f t="shared" ca="1" si="78"/>
        <v>loyal</v>
      </c>
      <c r="K235" s="86" t="str">
        <f t="shared" ca="1" si="79"/>
        <v>païen</v>
      </c>
      <c r="L235" s="86" t="str">
        <f t="shared" ca="1" si="80"/>
        <v xml:space="preserve"> </v>
      </c>
      <c r="M235" s="87">
        <f t="shared" ca="1" si="81"/>
        <v>2</v>
      </c>
      <c r="N235" s="86" t="str">
        <f t="shared" ca="1" si="82"/>
        <v>rien à vendre</v>
      </c>
      <c r="O235" s="86" t="str">
        <f t="shared" ca="1" si="83"/>
        <v xml:space="preserve"> </v>
      </c>
      <c r="P235" s="86" t="str">
        <f t="shared" ca="1" si="84"/>
        <v xml:space="preserve"> </v>
      </c>
      <c r="Q235" s="85" t="str">
        <f t="shared" ca="1" si="85"/>
        <v xml:space="preserve"> </v>
      </c>
    </row>
    <row r="236" spans="1:17" ht="9.9" customHeight="1">
      <c r="A236" s="91" t="s">
        <v>527</v>
      </c>
      <c r="B236" s="90">
        <v>100</v>
      </c>
      <c r="C236" s="89">
        <f t="shared" ca="1" si="73"/>
        <v>11</v>
      </c>
      <c r="D236" s="87">
        <f t="shared" ca="1" si="74"/>
        <v>76</v>
      </c>
      <c r="E236" s="88" t="str">
        <f t="shared" ca="1" si="104"/>
        <v>=</v>
      </c>
      <c r="F236" s="88" t="str">
        <f t="shared" ca="1" si="104"/>
        <v>+</v>
      </c>
      <c r="G236" s="86" t="str">
        <f t="shared" ca="1" si="75"/>
        <v>Agriculture</v>
      </c>
      <c r="H236" s="86" t="str">
        <f t="shared" ca="1" si="76"/>
        <v xml:space="preserve"> </v>
      </c>
      <c r="I236" s="86" t="str">
        <f t="shared" ca="1" si="77"/>
        <v xml:space="preserve"> </v>
      </c>
      <c r="J236" s="86" t="str">
        <f t="shared" ca="1" si="78"/>
        <v xml:space="preserve"> </v>
      </c>
      <c r="K236" s="86" t="str">
        <f t="shared" ca="1" si="79"/>
        <v xml:space="preserve"> </v>
      </c>
      <c r="L236" s="86" t="str">
        <f t="shared" ca="1" si="80"/>
        <v xml:space="preserve"> </v>
      </c>
      <c r="M236" s="87">
        <f t="shared" ca="1" si="81"/>
        <v>2</v>
      </c>
      <c r="N236" s="86" t="str">
        <f t="shared" ca="1" si="82"/>
        <v xml:space="preserve"> </v>
      </c>
      <c r="O236" s="86" t="str">
        <f t="shared" ca="1" si="83"/>
        <v>protection</v>
      </c>
      <c r="P236" s="86" t="str">
        <f t="shared" ca="1" si="84"/>
        <v xml:space="preserve"> </v>
      </c>
      <c r="Q236" s="85" t="str">
        <f t="shared" ca="1" si="85"/>
        <v xml:space="preserve"> </v>
      </c>
    </row>
    <row r="237" spans="1:17" ht="9.9" customHeight="1">
      <c r="A237" s="91" t="s">
        <v>527</v>
      </c>
      <c r="B237" s="90">
        <v>100</v>
      </c>
      <c r="C237" s="89">
        <f t="shared" ca="1" si="73"/>
        <v>10</v>
      </c>
      <c r="D237" s="87">
        <f t="shared" ca="1" si="74"/>
        <v>131</v>
      </c>
      <c r="E237" s="88" t="str">
        <f t="shared" ca="1" si="104"/>
        <v>=</v>
      </c>
      <c r="F237" s="88" t="str">
        <f t="shared" ca="1" si="104"/>
        <v>=</v>
      </c>
      <c r="G237" s="86" t="str">
        <f t="shared" ca="1" si="75"/>
        <v>Agriculture</v>
      </c>
      <c r="H237" s="86" t="str">
        <f t="shared" ca="1" si="76"/>
        <v xml:space="preserve"> </v>
      </c>
      <c r="I237" s="86" t="str">
        <f t="shared" ca="1" si="77"/>
        <v xml:space="preserve"> </v>
      </c>
      <c r="J237" s="86" t="str">
        <f t="shared" ca="1" si="78"/>
        <v xml:space="preserve"> </v>
      </c>
      <c r="K237" s="86" t="str">
        <f t="shared" ca="1" si="79"/>
        <v xml:space="preserve"> </v>
      </c>
      <c r="L237" s="86" t="str">
        <f t="shared" ca="1" si="80"/>
        <v xml:space="preserve"> </v>
      </c>
      <c r="M237" s="87">
        <f t="shared" ca="1" si="81"/>
        <v>2</v>
      </c>
      <c r="N237" s="86" t="str">
        <f t="shared" ca="1" si="82"/>
        <v>peu d'échanges</v>
      </c>
      <c r="O237" s="86" t="str">
        <f t="shared" ca="1" si="83"/>
        <v>tyrannie</v>
      </c>
      <c r="P237" s="86" t="str">
        <f t="shared" ca="1" si="84"/>
        <v xml:space="preserve"> </v>
      </c>
      <c r="Q237" s="85" t="str">
        <f t="shared" ca="1" si="85"/>
        <v xml:space="preserve"> </v>
      </c>
    </row>
    <row r="238" spans="1:17" ht="9.9" customHeight="1">
      <c r="A238" s="91" t="s">
        <v>527</v>
      </c>
      <c r="B238" s="90">
        <v>100</v>
      </c>
      <c r="C238" s="89">
        <f t="shared" ca="1" si="73"/>
        <v>17</v>
      </c>
      <c r="D238" s="87">
        <f t="shared" ca="1" si="74"/>
        <v>78</v>
      </c>
      <c r="E238" s="88" t="str">
        <f t="shared" ca="1" si="104"/>
        <v>=</v>
      </c>
      <c r="F238" s="88" t="str">
        <f t="shared" ca="1" si="104"/>
        <v>- -</v>
      </c>
      <c r="G238" s="86" t="str">
        <f t="shared" ca="1" si="75"/>
        <v>Epice/Fruit</v>
      </c>
      <c r="H238" s="86" t="str">
        <f t="shared" ca="1" si="76"/>
        <v>Poterie</v>
      </c>
      <c r="I238" s="86" t="str">
        <f t="shared" ca="1" si="77"/>
        <v xml:space="preserve"> </v>
      </c>
      <c r="J238" s="86" t="str">
        <f t="shared" ca="1" si="78"/>
        <v>fidèle</v>
      </c>
      <c r="K238" s="86" t="str">
        <f t="shared" ca="1" si="79"/>
        <v xml:space="preserve"> </v>
      </c>
      <c r="L238" s="86" t="str">
        <f t="shared" ca="1" si="80"/>
        <v>xénophobe</v>
      </c>
      <c r="M238" s="87">
        <f t="shared" ca="1" si="81"/>
        <v>2</v>
      </c>
      <c r="N238" s="86" t="str">
        <f t="shared" ca="1" si="82"/>
        <v xml:space="preserve"> </v>
      </c>
      <c r="O238" s="86" t="str">
        <f t="shared" ca="1" si="83"/>
        <v xml:space="preserve"> </v>
      </c>
      <c r="P238" s="86" t="str">
        <f t="shared" ca="1" si="84"/>
        <v xml:space="preserve"> </v>
      </c>
      <c r="Q238" s="85" t="str">
        <f t="shared" ca="1" si="85"/>
        <v xml:space="preserve"> </v>
      </c>
    </row>
    <row r="239" spans="1:17" ht="9.9" customHeight="1">
      <c r="A239" s="98" t="s">
        <v>526</v>
      </c>
      <c r="B239" s="97">
        <v>150</v>
      </c>
      <c r="C239" s="96">
        <f t="shared" ca="1" si="73"/>
        <v>25</v>
      </c>
      <c r="D239" s="94">
        <f t="shared" ca="1" si="74"/>
        <v>140</v>
      </c>
      <c r="E239" s="95" t="str">
        <f t="shared" ca="1" si="104"/>
        <v>+</v>
      </c>
      <c r="F239" s="95" t="str">
        <f t="shared" ca="1" si="104"/>
        <v>=</v>
      </c>
      <c r="G239" s="93" t="str">
        <f t="shared" ca="1" si="75"/>
        <v>Bois</v>
      </c>
      <c r="H239" s="93" t="str">
        <f t="shared" ca="1" si="76"/>
        <v xml:space="preserve"> </v>
      </c>
      <c r="I239" s="93" t="str">
        <f t="shared" ca="1" si="77"/>
        <v xml:space="preserve"> </v>
      </c>
      <c r="J239" s="93" t="str">
        <f t="shared" ca="1" si="78"/>
        <v>félon</v>
      </c>
      <c r="K239" s="93" t="str">
        <f t="shared" ca="1" si="79"/>
        <v xml:space="preserve"> </v>
      </c>
      <c r="L239" s="93" t="str">
        <f t="shared" ca="1" si="80"/>
        <v xml:space="preserve"> </v>
      </c>
      <c r="M239" s="94">
        <f t="shared" ca="1" si="81"/>
        <v>4</v>
      </c>
      <c r="N239" s="93" t="str">
        <f t="shared" ca="1" si="82"/>
        <v>centre</v>
      </c>
      <c r="O239" s="93" t="str">
        <f t="shared" ca="1" si="83"/>
        <v xml:space="preserve"> </v>
      </c>
      <c r="P239" s="93" t="str">
        <f t="shared" ca="1" si="84"/>
        <v xml:space="preserve"> </v>
      </c>
      <c r="Q239" s="92" t="str">
        <f t="shared" ca="1" si="85"/>
        <v xml:space="preserve"> </v>
      </c>
    </row>
    <row r="240" spans="1:17" ht="9.9" customHeight="1">
      <c r="A240" s="98" t="s">
        <v>526</v>
      </c>
      <c r="B240" s="97">
        <v>150</v>
      </c>
      <c r="C240" s="96">
        <f t="shared" ca="1" si="73"/>
        <v>21</v>
      </c>
      <c r="D240" s="94">
        <f t="shared" ca="1" si="74"/>
        <v>143</v>
      </c>
      <c r="E240" s="95" t="str">
        <f t="shared" ca="1" si="104"/>
        <v>-</v>
      </c>
      <c r="F240" s="95" t="str">
        <f t="shared" ca="1" si="104"/>
        <v>+</v>
      </c>
      <c r="G240" s="93" t="str">
        <f t="shared" ca="1" si="75"/>
        <v>Agriculture</v>
      </c>
      <c r="H240" s="93" t="str">
        <f t="shared" ca="1" si="76"/>
        <v xml:space="preserve"> </v>
      </c>
      <c r="I240" s="93" t="str">
        <f t="shared" ca="1" si="77"/>
        <v xml:space="preserve"> </v>
      </c>
      <c r="J240" s="93" t="str">
        <f t="shared" ca="1" si="78"/>
        <v>fidèle</v>
      </c>
      <c r="K240" s="93" t="str">
        <f t="shared" ca="1" si="79"/>
        <v xml:space="preserve"> </v>
      </c>
      <c r="L240" s="93" t="str">
        <f t="shared" ca="1" si="80"/>
        <v>très accueillant</v>
      </c>
      <c r="M240" s="94">
        <f t="shared" ca="1" si="81"/>
        <v>3</v>
      </c>
      <c r="N240" s="93" t="str">
        <f t="shared" ca="1" si="82"/>
        <v xml:space="preserve"> </v>
      </c>
      <c r="O240" s="93" t="str">
        <f t="shared" ca="1" si="83"/>
        <v>protection</v>
      </c>
      <c r="P240" s="93" t="str">
        <f t="shared" ca="1" si="84"/>
        <v xml:space="preserve"> </v>
      </c>
      <c r="Q240" s="92" t="str">
        <f t="shared" ca="1" si="85"/>
        <v xml:space="preserve"> </v>
      </c>
    </row>
    <row r="241" spans="1:17" ht="9.9" customHeight="1">
      <c r="A241" s="98" t="s">
        <v>526</v>
      </c>
      <c r="B241" s="97">
        <v>150</v>
      </c>
      <c r="C241" s="96">
        <f t="shared" ref="C241" ca="1" si="111">ROUND(B241/(5+RANDBETWEEN(1,5)),0)</f>
        <v>21</v>
      </c>
      <c r="D241" s="94">
        <f t="shared" ref="D241" ca="1" si="112">ROUND(B241*(100+RANDBETWEEN(1,50)-RANDBETWEEN(1,50))/100,0)</f>
        <v>105</v>
      </c>
      <c r="E241" s="95" t="str">
        <f t="shared" ca="1" si="104"/>
        <v>=</v>
      </c>
      <c r="F241" s="95" t="str">
        <f t="shared" ca="1" si="104"/>
        <v>- -</v>
      </c>
      <c r="G241" s="93" t="str">
        <f t="shared" ref="G241" ca="1" si="113">IF(RANDBETWEEN(1,10)&lt;=C241,LOOKUP(RANDBETWEEN(1,100),dé100,primaire)," ")</f>
        <v>Agriculture</v>
      </c>
      <c r="H241" s="93" t="str">
        <f t="shared" ref="H241" ca="1" si="114">IF(RANDBETWEEN(1,50)&lt;=C241,LOOKUP(RANDBETWEEN(1,100),dé100,secondaire)," ")</f>
        <v>Tissu</v>
      </c>
      <c r="I241" s="93" t="str">
        <f t="shared" ref="I241" ca="1" si="115">IF(RANDBETWEEN(1,500)&lt;=C241,LOOKUP(RANDBETWEEN(1,100),dé100,tertiaire)," ")</f>
        <v xml:space="preserve"> </v>
      </c>
      <c r="J241" s="93" t="str">
        <f t="shared" ca="1" si="78"/>
        <v>fidèle</v>
      </c>
      <c r="K241" s="93" t="str">
        <f t="shared" ca="1" si="79"/>
        <v>fervent</v>
      </c>
      <c r="L241" s="93" t="str">
        <f t="shared" ca="1" si="80"/>
        <v>accueillant</v>
      </c>
      <c r="M241" s="94">
        <f t="shared" ref="M241" ca="1" si="116">ROUND(C241/(RANDBETWEEN(1,5)+5),0)</f>
        <v>3</v>
      </c>
      <c r="N241" s="93" t="str">
        <f t="shared" ca="1" si="82"/>
        <v xml:space="preserve"> </v>
      </c>
      <c r="O241" s="93" t="str">
        <f t="shared" ca="1" si="83"/>
        <v>brigands</v>
      </c>
      <c r="P241" s="93" t="str">
        <f t="shared" ca="1" si="84"/>
        <v xml:space="preserve"> </v>
      </c>
      <c r="Q241" s="92" t="str">
        <f t="shared" ca="1" si="85"/>
        <v xml:space="preserve"> </v>
      </c>
    </row>
    <row r="242" spans="1:17" ht="9.9" customHeight="1">
      <c r="A242" s="98" t="s">
        <v>526</v>
      </c>
      <c r="B242" s="97">
        <v>150</v>
      </c>
      <c r="C242" s="96">
        <f t="shared" ca="1" si="73"/>
        <v>25</v>
      </c>
      <c r="D242" s="94">
        <f t="shared" ca="1" si="74"/>
        <v>150</v>
      </c>
      <c r="E242" s="95" t="str">
        <f t="shared" ca="1" si="104"/>
        <v>=</v>
      </c>
      <c r="F242" s="95" t="str">
        <f t="shared" ca="1" si="104"/>
        <v>=</v>
      </c>
      <c r="G242" s="93" t="str">
        <f t="shared" ca="1" si="75"/>
        <v>Cueillette</v>
      </c>
      <c r="H242" s="93" t="str">
        <f t="shared" ca="1" si="76"/>
        <v>Poterie</v>
      </c>
      <c r="I242" s="93" t="str">
        <f t="shared" ca="1" si="77"/>
        <v xml:space="preserve"> </v>
      </c>
      <c r="J242" s="93" t="str">
        <f t="shared" ca="1" si="78"/>
        <v>félon</v>
      </c>
      <c r="K242" s="93" t="str">
        <f t="shared" ca="1" si="79"/>
        <v xml:space="preserve"> </v>
      </c>
      <c r="L242" s="93" t="str">
        <f t="shared" ca="1" si="80"/>
        <v xml:space="preserve"> </v>
      </c>
      <c r="M242" s="94">
        <f t="shared" ca="1" si="81"/>
        <v>4</v>
      </c>
      <c r="N242" s="93" t="str">
        <f t="shared" ca="1" si="82"/>
        <v xml:space="preserve"> </v>
      </c>
      <c r="O242" s="93" t="str">
        <f t="shared" ca="1" si="83"/>
        <v>brigands</v>
      </c>
      <c r="P242" s="93" t="str">
        <f t="shared" ca="1" si="84"/>
        <v xml:space="preserve"> </v>
      </c>
      <c r="Q242" s="92" t="str">
        <f t="shared" ca="1" si="85"/>
        <v xml:space="preserve"> </v>
      </c>
    </row>
    <row r="243" spans="1:17" ht="9.9" customHeight="1">
      <c r="A243" s="98" t="s">
        <v>526</v>
      </c>
      <c r="B243" s="97">
        <v>150</v>
      </c>
      <c r="C243" s="96">
        <f t="shared" ref="C243" ca="1" si="117">ROUND(B243/(5+RANDBETWEEN(1,5)),0)</f>
        <v>19</v>
      </c>
      <c r="D243" s="94">
        <f t="shared" ref="D243" ca="1" si="118">ROUND(B243*(100+RANDBETWEEN(1,50)-RANDBETWEEN(1,50))/100,0)</f>
        <v>108</v>
      </c>
      <c r="E243" s="95" t="str">
        <f t="shared" ca="1" si="104"/>
        <v>=</v>
      </c>
      <c r="F243" s="95" t="str">
        <f t="shared" ca="1" si="104"/>
        <v>- - -</v>
      </c>
      <c r="G243" s="93" t="str">
        <f t="shared" ref="G243" ca="1" si="119">IF(RANDBETWEEN(1,10)&lt;=C243,LOOKUP(RANDBETWEEN(1,100),dé100,primaire)," ")</f>
        <v>Bois</v>
      </c>
      <c r="H243" s="93" t="str">
        <f t="shared" ref="H243" ca="1" si="120">IF(RANDBETWEEN(1,50)&lt;=C243,LOOKUP(RANDBETWEEN(1,100),dé100,secondaire)," ")</f>
        <v xml:space="preserve"> </v>
      </c>
      <c r="I243" s="93" t="str">
        <f t="shared" ref="I243" ca="1" si="121">IF(RANDBETWEEN(1,500)&lt;=C243,LOOKUP(RANDBETWEEN(1,100),dé100,tertiaire)," ")</f>
        <v xml:space="preserve"> </v>
      </c>
      <c r="J243" s="93" t="str">
        <f t="shared" ca="1" si="78"/>
        <v xml:space="preserve"> </v>
      </c>
      <c r="K243" s="93" t="str">
        <f t="shared" ca="1" si="79"/>
        <v>très fervent</v>
      </c>
      <c r="L243" s="93" t="str">
        <f t="shared" ca="1" si="80"/>
        <v xml:space="preserve"> </v>
      </c>
      <c r="M243" s="94">
        <f t="shared" ref="M243" ca="1" si="122">ROUND(C243/(RANDBETWEEN(1,5)+5),0)</f>
        <v>3</v>
      </c>
      <c r="N243" s="93" t="str">
        <f t="shared" ca="1" si="82"/>
        <v xml:space="preserve"> </v>
      </c>
      <c r="O243" s="93" t="str">
        <f t="shared" ca="1" si="83"/>
        <v>brigands</v>
      </c>
      <c r="P243" s="93" t="str">
        <f t="shared" ca="1" si="84"/>
        <v xml:space="preserve"> </v>
      </c>
      <c r="Q243" s="92" t="str">
        <f t="shared" ca="1" si="85"/>
        <v xml:space="preserve"> </v>
      </c>
    </row>
    <row r="244" spans="1:17" ht="9.9" customHeight="1">
      <c r="A244" s="98" t="s">
        <v>526</v>
      </c>
      <c r="B244" s="97">
        <v>150</v>
      </c>
      <c r="C244" s="96">
        <f t="shared" ref="C244:C245" ca="1" si="123">ROUND(B244/(5+RANDBETWEEN(1,5)),0)</f>
        <v>19</v>
      </c>
      <c r="D244" s="94">
        <f t="shared" ref="D244:D245" ca="1" si="124">ROUND(B244*(100+RANDBETWEEN(1,50)-RANDBETWEEN(1,50))/100,0)</f>
        <v>95</v>
      </c>
      <c r="E244" s="95" t="str">
        <f t="shared" ca="1" si="104"/>
        <v>=</v>
      </c>
      <c r="F244" s="95" t="str">
        <f t="shared" ca="1" si="104"/>
        <v>+</v>
      </c>
      <c r="G244" s="93" t="str">
        <f t="shared" ref="G244:G245" ca="1" si="125">IF(RANDBETWEEN(1,10)&lt;=C244,LOOKUP(RANDBETWEEN(1,100),dé100,primaire)," ")</f>
        <v>Epice/Fruit</v>
      </c>
      <c r="H244" s="93" t="str">
        <f t="shared" ref="H244:H245" ca="1" si="126">IF(RANDBETWEEN(1,50)&lt;=C244,LOOKUP(RANDBETWEEN(1,100),dé100,secondaire)," ")</f>
        <v>Tissu</v>
      </c>
      <c r="I244" s="93" t="str">
        <f t="shared" ref="I244:I245" ca="1" si="127">IF(RANDBETWEEN(1,500)&lt;=C244,LOOKUP(RANDBETWEEN(1,100),dé100,tertiaire)," ")</f>
        <v xml:space="preserve"> </v>
      </c>
      <c r="J244" s="93" t="str">
        <f t="shared" ca="1" si="78"/>
        <v xml:space="preserve"> </v>
      </c>
      <c r="K244" s="93" t="str">
        <f t="shared" ca="1" si="79"/>
        <v xml:space="preserve"> </v>
      </c>
      <c r="L244" s="93" t="str">
        <f t="shared" ca="1" si="80"/>
        <v xml:space="preserve"> </v>
      </c>
      <c r="M244" s="94">
        <f t="shared" ref="M244:M245" ca="1" si="128">ROUND(C244/(RANDBETWEEN(1,5)+5),0)</f>
        <v>2</v>
      </c>
      <c r="N244" s="93" t="str">
        <f t="shared" ca="1" si="82"/>
        <v>guilde</v>
      </c>
      <c r="O244" s="93" t="str">
        <f t="shared" ca="1" si="83"/>
        <v>tyrannie</v>
      </c>
      <c r="P244" s="93" t="str">
        <f t="shared" ca="1" si="84"/>
        <v>étrangers</v>
      </c>
      <c r="Q244" s="92" t="str">
        <f t="shared" ca="1" si="85"/>
        <v xml:space="preserve"> </v>
      </c>
    </row>
    <row r="245" spans="1:17" ht="9.9" customHeight="1">
      <c r="A245" s="98" t="s">
        <v>526</v>
      </c>
      <c r="B245" s="97">
        <v>150</v>
      </c>
      <c r="C245" s="96">
        <f t="shared" ca="1" si="123"/>
        <v>15</v>
      </c>
      <c r="D245" s="94">
        <f t="shared" ca="1" si="124"/>
        <v>149</v>
      </c>
      <c r="E245" s="95" t="str">
        <f t="shared" ca="1" si="104"/>
        <v>=</v>
      </c>
      <c r="F245" s="95" t="str">
        <f t="shared" ca="1" si="104"/>
        <v>=</v>
      </c>
      <c r="G245" s="93" t="str">
        <f t="shared" ca="1" si="125"/>
        <v>Agriculture</v>
      </c>
      <c r="H245" s="93" t="str">
        <f t="shared" ca="1" si="126"/>
        <v xml:space="preserve"> </v>
      </c>
      <c r="I245" s="93" t="str">
        <f t="shared" ca="1" si="127"/>
        <v xml:space="preserve"> </v>
      </c>
      <c r="J245" s="93" t="str">
        <f t="shared" ca="1" si="78"/>
        <v>fidèle</v>
      </c>
      <c r="K245" s="93" t="str">
        <f t="shared" ca="1" si="79"/>
        <v>inquisition</v>
      </c>
      <c r="L245" s="93" t="str">
        <f t="shared" ca="1" si="80"/>
        <v xml:space="preserve"> </v>
      </c>
      <c r="M245" s="94">
        <f t="shared" ca="1" si="128"/>
        <v>2</v>
      </c>
      <c r="N245" s="93" t="str">
        <f t="shared" ca="1" si="82"/>
        <v xml:space="preserve"> </v>
      </c>
      <c r="O245" s="93" t="str">
        <f t="shared" ca="1" si="83"/>
        <v xml:space="preserve"> </v>
      </c>
      <c r="P245" s="93" t="str">
        <f t="shared" ca="1" si="84"/>
        <v xml:space="preserve"> </v>
      </c>
      <c r="Q245" s="92" t="str">
        <f t="shared" ca="1" si="85"/>
        <v xml:space="preserve"> </v>
      </c>
    </row>
    <row r="246" spans="1:17" ht="9.9" customHeight="1">
      <c r="A246" s="98" t="s">
        <v>526</v>
      </c>
      <c r="B246" s="97">
        <v>150</v>
      </c>
      <c r="C246" s="96">
        <f t="shared" ca="1" si="73"/>
        <v>19</v>
      </c>
      <c r="D246" s="94">
        <f t="shared" ca="1" si="74"/>
        <v>177</v>
      </c>
      <c r="E246" s="95" t="str">
        <f t="shared" ca="1" si="104"/>
        <v>- -</v>
      </c>
      <c r="F246" s="95" t="str">
        <f t="shared" ca="1" si="104"/>
        <v>-</v>
      </c>
      <c r="G246" s="93" t="str">
        <f t="shared" ca="1" si="75"/>
        <v>Végétal</v>
      </c>
      <c r="H246" s="93" t="str">
        <f t="shared" ca="1" si="76"/>
        <v xml:space="preserve"> </v>
      </c>
      <c r="I246" s="93" t="str">
        <f t="shared" ca="1" si="77"/>
        <v xml:space="preserve"> </v>
      </c>
      <c r="J246" s="93" t="str">
        <f t="shared" ca="1" si="78"/>
        <v>très loyal</v>
      </c>
      <c r="K246" s="93" t="str">
        <f t="shared" ca="1" si="79"/>
        <v xml:space="preserve"> </v>
      </c>
      <c r="L246" s="93" t="str">
        <f t="shared" ca="1" si="80"/>
        <v xml:space="preserve"> </v>
      </c>
      <c r="M246" s="94">
        <f t="shared" ca="1" si="81"/>
        <v>2</v>
      </c>
      <c r="N246" s="93" t="str">
        <f t="shared" ca="1" si="82"/>
        <v xml:space="preserve"> </v>
      </c>
      <c r="O246" s="93" t="str">
        <f t="shared" ca="1" si="83"/>
        <v xml:space="preserve"> </v>
      </c>
      <c r="P246" s="93" t="str">
        <f t="shared" ca="1" si="84"/>
        <v xml:space="preserve"> </v>
      </c>
      <c r="Q246" s="92" t="str">
        <f t="shared" ca="1" si="85"/>
        <v xml:space="preserve"> </v>
      </c>
    </row>
    <row r="247" spans="1:17" ht="9.9" customHeight="1">
      <c r="A247" s="98" t="s">
        <v>526</v>
      </c>
      <c r="B247" s="97">
        <v>150</v>
      </c>
      <c r="C247" s="96">
        <f t="shared" ca="1" si="73"/>
        <v>17</v>
      </c>
      <c r="D247" s="94">
        <f t="shared" ca="1" si="74"/>
        <v>137</v>
      </c>
      <c r="E247" s="95" t="str">
        <f t="shared" ca="1" si="104"/>
        <v>=</v>
      </c>
      <c r="F247" s="95" t="str">
        <f t="shared" ca="1" si="104"/>
        <v>+</v>
      </c>
      <c r="G247" s="93" t="str">
        <f t="shared" ca="1" si="75"/>
        <v>Bois</v>
      </c>
      <c r="H247" s="93" t="str">
        <f t="shared" ca="1" si="76"/>
        <v>Peaux</v>
      </c>
      <c r="I247" s="93" t="str">
        <f t="shared" ca="1" si="77"/>
        <v xml:space="preserve"> </v>
      </c>
      <c r="J247" s="93" t="str">
        <f t="shared" ca="1" si="78"/>
        <v>fidèle</v>
      </c>
      <c r="K247" s="93" t="str">
        <f t="shared" ca="1" si="79"/>
        <v>opposé</v>
      </c>
      <c r="L247" s="93" t="str">
        <f t="shared" ca="1" si="80"/>
        <v>tolérant</v>
      </c>
      <c r="M247" s="94">
        <f t="shared" ca="1" si="81"/>
        <v>2</v>
      </c>
      <c r="N247" s="93" t="str">
        <f t="shared" ca="1" si="82"/>
        <v>pas de marché</v>
      </c>
      <c r="O247" s="93" t="str">
        <f t="shared" ca="1" si="83"/>
        <v>corruption</v>
      </c>
      <c r="P247" s="93" t="str">
        <f t="shared" ca="1" si="84"/>
        <v xml:space="preserve"> </v>
      </c>
      <c r="Q247" s="92" t="str">
        <f t="shared" ca="1" si="85"/>
        <v xml:space="preserve"> </v>
      </c>
    </row>
    <row r="248" spans="1:17" ht="9.9" customHeight="1">
      <c r="A248" s="98" t="s">
        <v>526</v>
      </c>
      <c r="B248" s="97">
        <v>150</v>
      </c>
      <c r="C248" s="96">
        <f t="shared" ca="1" si="73"/>
        <v>15</v>
      </c>
      <c r="D248" s="94">
        <f t="shared" ca="1" si="74"/>
        <v>201</v>
      </c>
      <c r="E248" s="95" t="str">
        <f t="shared" ca="1" si="104"/>
        <v>=</v>
      </c>
      <c r="F248" s="95" t="str">
        <f t="shared" ca="1" si="104"/>
        <v>+</v>
      </c>
      <c r="G248" s="93" t="str">
        <f t="shared" ca="1" si="75"/>
        <v>Agriculture</v>
      </c>
      <c r="H248" s="93" t="str">
        <f t="shared" ca="1" si="76"/>
        <v xml:space="preserve"> </v>
      </c>
      <c r="I248" s="93" t="str">
        <f t="shared" ca="1" si="77"/>
        <v xml:space="preserve"> </v>
      </c>
      <c r="J248" s="93" t="str">
        <f t="shared" ca="1" si="78"/>
        <v xml:space="preserve"> </v>
      </c>
      <c r="K248" s="93" t="str">
        <f t="shared" ca="1" si="79"/>
        <v xml:space="preserve"> </v>
      </c>
      <c r="L248" s="93" t="str">
        <f t="shared" ca="1" si="80"/>
        <v xml:space="preserve"> </v>
      </c>
      <c r="M248" s="94">
        <f t="shared" ca="1" si="81"/>
        <v>2</v>
      </c>
      <c r="N248" s="93" t="str">
        <f t="shared" ca="1" si="82"/>
        <v xml:space="preserve"> </v>
      </c>
      <c r="O248" s="93" t="str">
        <f t="shared" ca="1" si="83"/>
        <v>brigands</v>
      </c>
      <c r="P248" s="93" t="str">
        <f t="shared" ca="1" si="84"/>
        <v xml:space="preserve"> </v>
      </c>
      <c r="Q248" s="92" t="str">
        <f t="shared" ca="1" si="85"/>
        <v xml:space="preserve"> </v>
      </c>
    </row>
    <row r="249" spans="1:17" ht="9.9" customHeight="1">
      <c r="A249" s="91" t="s">
        <v>525</v>
      </c>
      <c r="B249" s="90">
        <v>5</v>
      </c>
      <c r="C249" s="89">
        <f t="shared" ca="1" si="73"/>
        <v>1</v>
      </c>
      <c r="D249" s="87">
        <f t="shared" ca="1" si="74"/>
        <v>6</v>
      </c>
      <c r="E249" s="88" t="str">
        <f t="shared" ca="1" si="104"/>
        <v>=</v>
      </c>
      <c r="F249" s="88" t="str">
        <f t="shared" ca="1" si="104"/>
        <v>++</v>
      </c>
      <c r="G249" s="86" t="str">
        <f t="shared" ca="1" si="75"/>
        <v xml:space="preserve"> </v>
      </c>
      <c r="H249" s="86" t="str">
        <f t="shared" ca="1" si="76"/>
        <v xml:space="preserve"> </v>
      </c>
      <c r="I249" s="86" t="str">
        <f t="shared" ca="1" si="77"/>
        <v xml:space="preserve"> </v>
      </c>
      <c r="J249" s="86" t="str">
        <f t="shared" ca="1" si="78"/>
        <v xml:space="preserve"> </v>
      </c>
      <c r="K249" s="86" t="str">
        <f t="shared" ca="1" si="79"/>
        <v xml:space="preserve"> </v>
      </c>
      <c r="L249" s="86" t="str">
        <f t="shared" ca="1" si="80"/>
        <v>tolérant</v>
      </c>
      <c r="M249" s="87">
        <f t="shared" ca="1" si="81"/>
        <v>0</v>
      </c>
      <c r="N249" s="86" t="str">
        <f t="shared" ca="1" si="82"/>
        <v>marché</v>
      </c>
      <c r="O249" s="86" t="str">
        <f t="shared" ca="1" si="83"/>
        <v>corruption</v>
      </c>
      <c r="P249" s="86" t="str">
        <f t="shared" ca="1" si="84"/>
        <v xml:space="preserve"> </v>
      </c>
      <c r="Q249" s="85" t="str">
        <f t="shared" ca="1" si="85"/>
        <v xml:space="preserve"> </v>
      </c>
    </row>
    <row r="250" spans="1:17" ht="9.9" customHeight="1">
      <c r="A250" s="91" t="s">
        <v>525</v>
      </c>
      <c r="B250" s="90">
        <v>5</v>
      </c>
      <c r="C250" s="89">
        <f t="shared" ref="C250:C251" ca="1" si="129">ROUND(B250/(5+RANDBETWEEN(1,5)),0)</f>
        <v>1</v>
      </c>
      <c r="D250" s="87">
        <f t="shared" ref="D250:D251" ca="1" si="130">ROUND(B250*(100+RANDBETWEEN(1,50)-RANDBETWEEN(1,50))/100,0)</f>
        <v>4</v>
      </c>
      <c r="E250" s="88" t="str">
        <f t="shared" ca="1" si="104"/>
        <v>=</v>
      </c>
      <c r="F250" s="88" t="str">
        <f t="shared" ca="1" si="104"/>
        <v>=</v>
      </c>
      <c r="G250" s="86" t="str">
        <f t="shared" ref="G250:G251" ca="1" si="131">IF(RANDBETWEEN(1,10)&lt;=C250,LOOKUP(RANDBETWEEN(1,100),dé100,primaire)," ")</f>
        <v xml:space="preserve"> </v>
      </c>
      <c r="H250" s="86" t="str">
        <f t="shared" ref="H250:H251" ca="1" si="132">IF(RANDBETWEEN(1,50)&lt;=C250,LOOKUP(RANDBETWEEN(1,100),dé100,secondaire)," ")</f>
        <v xml:space="preserve"> </v>
      </c>
      <c r="I250" s="86" t="str">
        <f t="shared" ref="I250:I251" ca="1" si="133">IF(RANDBETWEEN(1,500)&lt;=C250,LOOKUP(RANDBETWEEN(1,100),dé100,tertiaire)," ")</f>
        <v xml:space="preserve"> </v>
      </c>
      <c r="J250" s="86" t="str">
        <f t="shared" ca="1" si="78"/>
        <v>fidèle</v>
      </c>
      <c r="K250" s="86" t="str">
        <f t="shared" ca="1" si="79"/>
        <v xml:space="preserve"> </v>
      </c>
      <c r="L250" s="86" t="str">
        <f t="shared" ca="1" si="80"/>
        <v xml:space="preserve"> </v>
      </c>
      <c r="M250" s="87">
        <f t="shared" ref="M250:M251" ca="1" si="134">ROUND(C250/(RANDBETWEEN(1,5)+5),0)</f>
        <v>0</v>
      </c>
      <c r="N250" s="86" t="str">
        <f t="shared" ca="1" si="82"/>
        <v xml:space="preserve"> </v>
      </c>
      <c r="O250" s="86" t="str">
        <f t="shared" ca="1" si="83"/>
        <v>corruption</v>
      </c>
      <c r="P250" s="86" t="str">
        <f t="shared" ca="1" si="84"/>
        <v xml:space="preserve"> </v>
      </c>
      <c r="Q250" s="85" t="str">
        <f t="shared" ca="1" si="85"/>
        <v xml:space="preserve"> </v>
      </c>
    </row>
    <row r="251" spans="1:17" ht="9.9" customHeight="1">
      <c r="A251" s="91" t="s">
        <v>525</v>
      </c>
      <c r="B251" s="90">
        <v>5</v>
      </c>
      <c r="C251" s="89">
        <f t="shared" ca="1" si="129"/>
        <v>1</v>
      </c>
      <c r="D251" s="87">
        <f t="shared" ca="1" si="130"/>
        <v>6</v>
      </c>
      <c r="E251" s="88" t="str">
        <f t="shared" ca="1" si="104"/>
        <v>=</v>
      </c>
      <c r="F251" s="88" t="str">
        <f t="shared" ca="1" si="104"/>
        <v>=</v>
      </c>
      <c r="G251" s="86" t="str">
        <f t="shared" ca="1" si="131"/>
        <v xml:space="preserve"> </v>
      </c>
      <c r="H251" s="86" t="str">
        <f t="shared" ca="1" si="132"/>
        <v xml:space="preserve"> </v>
      </c>
      <c r="I251" s="86" t="str">
        <f t="shared" ca="1" si="133"/>
        <v xml:space="preserve"> </v>
      </c>
      <c r="J251" s="86" t="str">
        <f t="shared" ca="1" si="78"/>
        <v>fidèle</v>
      </c>
      <c r="K251" s="86" t="str">
        <f t="shared" ca="1" si="79"/>
        <v xml:space="preserve"> </v>
      </c>
      <c r="L251" s="86" t="str">
        <f t="shared" ca="1" si="80"/>
        <v>très accueillant</v>
      </c>
      <c r="M251" s="87">
        <f t="shared" ca="1" si="134"/>
        <v>0</v>
      </c>
      <c r="N251" s="86" t="str">
        <f t="shared" ca="1" si="82"/>
        <v>marché</v>
      </c>
      <c r="O251" s="86" t="str">
        <f t="shared" ca="1" si="83"/>
        <v xml:space="preserve"> </v>
      </c>
      <c r="P251" s="86" t="str">
        <f t="shared" ca="1" si="84"/>
        <v xml:space="preserve"> </v>
      </c>
      <c r="Q251" s="85" t="str">
        <f t="shared" ca="1" si="85"/>
        <v xml:space="preserve"> </v>
      </c>
    </row>
    <row r="252" spans="1:17" ht="9.9" customHeight="1">
      <c r="A252" s="91" t="s">
        <v>525</v>
      </c>
      <c r="B252" s="90">
        <v>5</v>
      </c>
      <c r="C252" s="89">
        <f t="shared" ca="1" si="73"/>
        <v>1</v>
      </c>
      <c r="D252" s="87">
        <f t="shared" ca="1" si="74"/>
        <v>5</v>
      </c>
      <c r="E252" s="88" t="str">
        <f t="shared" ca="1" si="104"/>
        <v>- -</v>
      </c>
      <c r="F252" s="88" t="str">
        <f t="shared" ca="1" si="104"/>
        <v>+</v>
      </c>
      <c r="G252" s="86" t="str">
        <f t="shared" ca="1" si="75"/>
        <v xml:space="preserve"> </v>
      </c>
      <c r="H252" s="86" t="str">
        <f t="shared" ca="1" si="76"/>
        <v xml:space="preserve"> </v>
      </c>
      <c r="I252" s="86" t="str">
        <f t="shared" ca="1" si="77"/>
        <v xml:space="preserve"> </v>
      </c>
      <c r="J252" s="86" t="str">
        <f t="shared" ca="1" si="78"/>
        <v xml:space="preserve"> </v>
      </c>
      <c r="K252" s="86" t="str">
        <f t="shared" ca="1" si="79"/>
        <v xml:space="preserve"> </v>
      </c>
      <c r="L252" s="86" t="str">
        <f t="shared" ca="1" si="80"/>
        <v xml:space="preserve"> </v>
      </c>
      <c r="M252" s="87">
        <f t="shared" ca="1" si="81"/>
        <v>0</v>
      </c>
      <c r="N252" s="86" t="str">
        <f t="shared" ca="1" si="82"/>
        <v xml:space="preserve"> </v>
      </c>
      <c r="O252" s="86" t="str">
        <f t="shared" ca="1" si="83"/>
        <v>protection</v>
      </c>
      <c r="P252" s="86" t="str">
        <f t="shared" ca="1" si="84"/>
        <v xml:space="preserve"> </v>
      </c>
      <c r="Q252" s="85" t="str">
        <f t="shared" ca="1" si="85"/>
        <v xml:space="preserve"> </v>
      </c>
    </row>
    <row r="253" spans="1:17" ht="9.9" customHeight="1">
      <c r="A253" s="91" t="s">
        <v>525</v>
      </c>
      <c r="B253" s="90">
        <v>5</v>
      </c>
      <c r="C253" s="89">
        <f t="shared" ca="1" si="73"/>
        <v>1</v>
      </c>
      <c r="D253" s="87">
        <f t="shared" ca="1" si="74"/>
        <v>4</v>
      </c>
      <c r="E253" s="88" t="str">
        <f t="shared" ca="1" si="104"/>
        <v>+</v>
      </c>
      <c r="F253" s="88" t="str">
        <f t="shared" ca="1" si="104"/>
        <v>=</v>
      </c>
      <c r="G253" s="86" t="str">
        <f t="shared" ca="1" si="75"/>
        <v xml:space="preserve"> </v>
      </c>
      <c r="H253" s="86" t="str">
        <f t="shared" ca="1" si="76"/>
        <v xml:space="preserve"> </v>
      </c>
      <c r="I253" s="86" t="str">
        <f t="shared" ca="1" si="77"/>
        <v xml:space="preserve"> </v>
      </c>
      <c r="J253" s="86" t="str">
        <f t="shared" ca="1" si="78"/>
        <v xml:space="preserve"> </v>
      </c>
      <c r="K253" s="86" t="str">
        <f t="shared" ca="1" si="79"/>
        <v>fervent</v>
      </c>
      <c r="L253" s="86" t="str">
        <f t="shared" ca="1" si="80"/>
        <v xml:space="preserve"> </v>
      </c>
      <c r="M253" s="87">
        <f t="shared" ca="1" si="81"/>
        <v>0</v>
      </c>
      <c r="N253" s="86" t="str">
        <f t="shared" ca="1" si="82"/>
        <v xml:space="preserve"> </v>
      </c>
      <c r="O253" s="86" t="str">
        <f t="shared" ca="1" si="83"/>
        <v>brigands</v>
      </c>
      <c r="P253" s="86" t="str">
        <f t="shared" ca="1" si="84"/>
        <v>étrangers</v>
      </c>
      <c r="Q253" s="85" t="str">
        <f t="shared" ca="1" si="85"/>
        <v xml:space="preserve"> </v>
      </c>
    </row>
    <row r="254" spans="1:17" ht="9.9" customHeight="1">
      <c r="A254" s="98" t="s">
        <v>2453</v>
      </c>
      <c r="B254" s="97">
        <v>10</v>
      </c>
      <c r="C254" s="96">
        <f t="shared" ca="1" si="73"/>
        <v>1</v>
      </c>
      <c r="D254" s="94">
        <f t="shared" ca="1" si="74"/>
        <v>12</v>
      </c>
      <c r="E254" s="95" t="str">
        <f t="shared" ca="1" si="104"/>
        <v>- -</v>
      </c>
      <c r="F254" s="95" t="str">
        <f t="shared" ca="1" si="104"/>
        <v>-</v>
      </c>
      <c r="G254" s="93" t="str">
        <f t="shared" ca="1" si="75"/>
        <v xml:space="preserve"> </v>
      </c>
      <c r="H254" s="93" t="str">
        <f t="shared" ca="1" si="76"/>
        <v xml:space="preserve"> </v>
      </c>
      <c r="I254" s="93" t="str">
        <f t="shared" ca="1" si="77"/>
        <v xml:space="preserve"> </v>
      </c>
      <c r="J254" s="93" t="str">
        <f t="shared" ca="1" si="78"/>
        <v>loyal</v>
      </c>
      <c r="K254" s="93" t="str">
        <f t="shared" ca="1" si="79"/>
        <v xml:space="preserve"> </v>
      </c>
      <c r="L254" s="93" t="str">
        <f t="shared" ca="1" si="80"/>
        <v xml:space="preserve"> </v>
      </c>
      <c r="M254" s="94">
        <f t="shared" ca="1" si="81"/>
        <v>0</v>
      </c>
      <c r="N254" s="93" t="str">
        <f t="shared" ca="1" si="82"/>
        <v xml:space="preserve"> </v>
      </c>
      <c r="O254" s="93" t="str">
        <f t="shared" ca="1" si="83"/>
        <v xml:space="preserve"> </v>
      </c>
      <c r="P254" s="93" t="str">
        <f t="shared" ca="1" si="84"/>
        <v xml:space="preserve"> </v>
      </c>
      <c r="Q254" s="92" t="str">
        <f t="shared" ca="1" si="85"/>
        <v xml:space="preserve"> </v>
      </c>
    </row>
    <row r="255" spans="1:17" ht="9.9" customHeight="1">
      <c r="A255" s="98" t="s">
        <v>2453</v>
      </c>
      <c r="B255" s="97">
        <v>10</v>
      </c>
      <c r="C255" s="96">
        <f t="shared" ref="C255" ca="1" si="135">ROUND(B255/(5+RANDBETWEEN(1,5)),0)</f>
        <v>1</v>
      </c>
      <c r="D255" s="94">
        <f t="shared" ref="D255" ca="1" si="136">ROUND(B255*(100+RANDBETWEEN(1,50)-RANDBETWEEN(1,50))/100,0)</f>
        <v>9</v>
      </c>
      <c r="E255" s="95" t="str">
        <f t="shared" ca="1" si="104"/>
        <v>=</v>
      </c>
      <c r="F255" s="95" t="str">
        <f t="shared" ca="1" si="104"/>
        <v>+</v>
      </c>
      <c r="G255" s="93" t="str">
        <f t="shared" ref="G255" ca="1" si="137">IF(RANDBETWEEN(1,10)&lt;=C255,LOOKUP(RANDBETWEEN(1,100),dé100,primaire)," ")</f>
        <v xml:space="preserve"> </v>
      </c>
      <c r="H255" s="93" t="str">
        <f t="shared" ref="H255" ca="1" si="138">IF(RANDBETWEEN(1,50)&lt;=C255,LOOKUP(RANDBETWEEN(1,100),dé100,secondaire)," ")</f>
        <v xml:space="preserve"> </v>
      </c>
      <c r="I255" s="93" t="str">
        <f t="shared" ref="I255" ca="1" si="139">IF(RANDBETWEEN(1,500)&lt;=C255,LOOKUP(RANDBETWEEN(1,100),dé100,tertiaire)," ")</f>
        <v xml:space="preserve"> </v>
      </c>
      <c r="J255" s="93" t="str">
        <f t="shared" ca="1" si="78"/>
        <v xml:space="preserve"> </v>
      </c>
      <c r="K255" s="93" t="str">
        <f t="shared" ca="1" si="79"/>
        <v xml:space="preserve"> </v>
      </c>
      <c r="L255" s="93" t="str">
        <f t="shared" ca="1" si="80"/>
        <v>xénophobe</v>
      </c>
      <c r="M255" s="94">
        <f t="shared" ref="M255" ca="1" si="140">ROUND(C255/(RANDBETWEEN(1,5)+5),0)</f>
        <v>0</v>
      </c>
      <c r="N255" s="93" t="str">
        <f t="shared" ca="1" si="82"/>
        <v>pas de marché</v>
      </c>
      <c r="O255" s="93" t="str">
        <f t="shared" ca="1" si="83"/>
        <v>brigands</v>
      </c>
      <c r="P255" s="93" t="str">
        <f t="shared" ca="1" si="84"/>
        <v xml:space="preserve"> </v>
      </c>
      <c r="Q255" s="92" t="str">
        <f t="shared" ca="1" si="85"/>
        <v xml:space="preserve"> </v>
      </c>
    </row>
    <row r="256" spans="1:17" ht="9.9" customHeight="1">
      <c r="A256" s="98" t="s">
        <v>2453</v>
      </c>
      <c r="B256" s="97">
        <v>10</v>
      </c>
      <c r="C256" s="96">
        <f t="shared" ref="C256" ca="1" si="141">ROUND(B256/(5+RANDBETWEEN(1,5)),0)</f>
        <v>1</v>
      </c>
      <c r="D256" s="94">
        <f t="shared" ref="D256" ca="1" si="142">ROUND(B256*(100+RANDBETWEEN(1,50)-RANDBETWEEN(1,50))/100,0)</f>
        <v>8</v>
      </c>
      <c r="E256" s="95" t="str">
        <f t="shared" ca="1" si="104"/>
        <v>+</v>
      </c>
      <c r="F256" s="95" t="str">
        <f t="shared" ca="1" si="104"/>
        <v>+</v>
      </c>
      <c r="G256" s="93" t="str">
        <f t="shared" ref="G256" ca="1" si="143">IF(RANDBETWEEN(1,10)&lt;=C256,LOOKUP(RANDBETWEEN(1,100),dé100,primaire)," ")</f>
        <v xml:space="preserve"> </v>
      </c>
      <c r="H256" s="93" t="str">
        <f t="shared" ref="H256" ca="1" si="144">IF(RANDBETWEEN(1,50)&lt;=C256,LOOKUP(RANDBETWEEN(1,100),dé100,secondaire)," ")</f>
        <v xml:space="preserve"> </v>
      </c>
      <c r="I256" s="93" t="str">
        <f t="shared" ref="I256" ca="1" si="145">IF(RANDBETWEEN(1,500)&lt;=C256,LOOKUP(RANDBETWEEN(1,100),dé100,tertiaire)," ")</f>
        <v xml:space="preserve"> </v>
      </c>
      <c r="J256" s="93" t="str">
        <f t="shared" ca="1" si="78"/>
        <v xml:space="preserve"> </v>
      </c>
      <c r="K256" s="93" t="str">
        <f t="shared" ca="1" si="79"/>
        <v>chasse</v>
      </c>
      <c r="L256" s="93" t="str">
        <f t="shared" ca="1" si="80"/>
        <v>curieux</v>
      </c>
      <c r="M256" s="94">
        <f t="shared" ref="M256" ca="1" si="146">ROUND(C256/(RANDBETWEEN(1,5)+5),0)</f>
        <v>0</v>
      </c>
      <c r="N256" s="93" t="str">
        <f t="shared" ca="1" si="82"/>
        <v xml:space="preserve"> </v>
      </c>
      <c r="O256" s="93" t="str">
        <f t="shared" ca="1" si="83"/>
        <v xml:space="preserve"> </v>
      </c>
      <c r="P256" s="93" t="str">
        <f t="shared" ca="1" si="84"/>
        <v>étrangers</v>
      </c>
      <c r="Q256" s="92" t="str">
        <f t="shared" ca="1" si="85"/>
        <v xml:space="preserve"> </v>
      </c>
    </row>
    <row r="257" spans="1:17" ht="9.9" customHeight="1">
      <c r="A257" s="98" t="s">
        <v>2453</v>
      </c>
      <c r="B257" s="97">
        <v>10</v>
      </c>
      <c r="C257" s="96">
        <f t="shared" ca="1" si="73"/>
        <v>1</v>
      </c>
      <c r="D257" s="94">
        <f t="shared" ca="1" si="74"/>
        <v>11</v>
      </c>
      <c r="E257" s="95" t="str">
        <f t="shared" ca="1" si="104"/>
        <v>+</v>
      </c>
      <c r="F257" s="95" t="str">
        <f t="shared" ca="1" si="104"/>
        <v>++</v>
      </c>
      <c r="G257" s="93" t="str">
        <f t="shared" ca="1" si="75"/>
        <v xml:space="preserve"> </v>
      </c>
      <c r="H257" s="93" t="str">
        <f t="shared" ca="1" si="76"/>
        <v xml:space="preserve"> </v>
      </c>
      <c r="I257" s="93" t="str">
        <f t="shared" ca="1" si="77"/>
        <v xml:space="preserve"> </v>
      </c>
      <c r="J257" s="93" t="str">
        <f t="shared" ca="1" si="78"/>
        <v xml:space="preserve"> </v>
      </c>
      <c r="K257" s="93" t="str">
        <f t="shared" ca="1" si="79"/>
        <v>païen</v>
      </c>
      <c r="L257" s="93" t="str">
        <f t="shared" ca="1" si="80"/>
        <v xml:space="preserve"> </v>
      </c>
      <c r="M257" s="94">
        <f t="shared" ca="1" si="81"/>
        <v>0</v>
      </c>
      <c r="N257" s="93" t="str">
        <f t="shared" ca="1" si="82"/>
        <v>peu d'échanges</v>
      </c>
      <c r="O257" s="93" t="str">
        <f t="shared" ca="1" si="83"/>
        <v xml:space="preserve"> </v>
      </c>
      <c r="P257" s="93" t="str">
        <f t="shared" ca="1" si="84"/>
        <v>fantoche</v>
      </c>
      <c r="Q257" s="92" t="str">
        <f t="shared" ca="1" si="85"/>
        <v xml:space="preserve"> </v>
      </c>
    </row>
    <row r="258" spans="1:17" ht="9.9" customHeight="1">
      <c r="A258" s="98" t="s">
        <v>2453</v>
      </c>
      <c r="B258" s="97">
        <v>10</v>
      </c>
      <c r="C258" s="96">
        <f t="shared" ref="C258:C263" ca="1" si="147">ROUND(B258/(5+RANDBETWEEN(1,5)),0)</f>
        <v>1</v>
      </c>
      <c r="D258" s="94">
        <f t="shared" ca="1" si="74"/>
        <v>7</v>
      </c>
      <c r="E258" s="95" t="str">
        <f t="shared" ca="1" si="104"/>
        <v>-</v>
      </c>
      <c r="F258" s="95" t="str">
        <f t="shared" ca="1" si="104"/>
        <v>-</v>
      </c>
      <c r="G258" s="93" t="str">
        <f t="shared" ca="1" si="75"/>
        <v xml:space="preserve"> </v>
      </c>
      <c r="H258" s="93" t="str">
        <f t="shared" ca="1" si="76"/>
        <v xml:space="preserve"> </v>
      </c>
      <c r="I258" s="93" t="str">
        <f t="shared" ca="1" si="77"/>
        <v xml:space="preserve"> </v>
      </c>
      <c r="J258" s="93" t="str">
        <f t="shared" ca="1" si="78"/>
        <v>fidèle</v>
      </c>
      <c r="K258" s="93" t="str">
        <f t="shared" ca="1" si="79"/>
        <v xml:space="preserve"> </v>
      </c>
      <c r="L258" s="93" t="str">
        <f t="shared" ca="1" si="80"/>
        <v xml:space="preserve"> </v>
      </c>
      <c r="M258" s="94">
        <f t="shared" ca="1" si="81"/>
        <v>0</v>
      </c>
      <c r="N258" s="93" t="str">
        <f t="shared" ca="1" si="82"/>
        <v xml:space="preserve"> </v>
      </c>
      <c r="O258" s="93" t="str">
        <f t="shared" ca="1" si="83"/>
        <v xml:space="preserve"> </v>
      </c>
      <c r="P258" s="93" t="str">
        <f t="shared" ca="1" si="84"/>
        <v xml:space="preserve"> </v>
      </c>
      <c r="Q258" s="92" t="str">
        <f t="shared" ca="1" si="85"/>
        <v xml:space="preserve"> </v>
      </c>
    </row>
    <row r="259" spans="1:17" ht="9.9" customHeight="1">
      <c r="A259" s="91" t="s">
        <v>2452</v>
      </c>
      <c r="B259" s="90">
        <v>5</v>
      </c>
      <c r="C259" s="89">
        <f t="shared" ca="1" si="147"/>
        <v>1</v>
      </c>
      <c r="D259" s="87">
        <f t="shared" ca="1" si="74"/>
        <v>5</v>
      </c>
      <c r="E259" s="88" t="str">
        <f t="shared" ca="1" si="104"/>
        <v>=</v>
      </c>
      <c r="F259" s="88" t="str">
        <f t="shared" ca="1" si="104"/>
        <v>=</v>
      </c>
      <c r="G259" s="86" t="str">
        <f t="shared" ca="1" si="75"/>
        <v xml:space="preserve"> </v>
      </c>
      <c r="H259" s="86" t="str">
        <f t="shared" ca="1" si="76"/>
        <v xml:space="preserve"> </v>
      </c>
      <c r="I259" s="86" t="str">
        <f t="shared" ca="1" si="77"/>
        <v xml:space="preserve"> </v>
      </c>
      <c r="J259" s="86" t="str">
        <f t="shared" ca="1" si="78"/>
        <v xml:space="preserve"> </v>
      </c>
      <c r="K259" s="86" t="str">
        <f t="shared" ca="1" si="79"/>
        <v xml:space="preserve"> </v>
      </c>
      <c r="L259" s="86" t="str">
        <f t="shared" ca="1" si="80"/>
        <v xml:space="preserve"> </v>
      </c>
      <c r="M259" s="87">
        <f t="shared" ca="1" si="81"/>
        <v>0</v>
      </c>
      <c r="N259" s="86" t="str">
        <f t="shared" ca="1" si="82"/>
        <v>pas de marché</v>
      </c>
      <c r="O259" s="86" t="str">
        <f t="shared" ca="1" si="83"/>
        <v xml:space="preserve"> </v>
      </c>
      <c r="P259" s="86" t="str">
        <f t="shared" ca="1" si="84"/>
        <v xml:space="preserve"> </v>
      </c>
      <c r="Q259" s="85" t="str">
        <f t="shared" ca="1" si="85"/>
        <v xml:space="preserve"> </v>
      </c>
    </row>
    <row r="260" spans="1:17" ht="9.9" customHeight="1">
      <c r="A260" s="91" t="s">
        <v>2452</v>
      </c>
      <c r="B260" s="90">
        <v>5</v>
      </c>
      <c r="C260" s="89">
        <f t="shared" ref="C260" ca="1" si="148">ROUND(B260/(5+RANDBETWEEN(1,5)),0)</f>
        <v>1</v>
      </c>
      <c r="D260" s="87">
        <f t="shared" ref="D260" ca="1" si="149">ROUND(B260*(100+RANDBETWEEN(1,50)-RANDBETWEEN(1,50))/100,0)</f>
        <v>4</v>
      </c>
      <c r="E260" s="88" t="str">
        <f t="shared" ca="1" si="104"/>
        <v>+</v>
      </c>
      <c r="F260" s="88" t="str">
        <f t="shared" ca="1" si="104"/>
        <v>=</v>
      </c>
      <c r="G260" s="86" t="str">
        <f t="shared" ref="G260" ca="1" si="150">IF(RANDBETWEEN(1,10)&lt;=C260,LOOKUP(RANDBETWEEN(1,100),dé100,primaire)," ")</f>
        <v xml:space="preserve"> </v>
      </c>
      <c r="H260" s="86" t="str">
        <f t="shared" ref="H260" ca="1" si="151">IF(RANDBETWEEN(1,50)&lt;=C260,LOOKUP(RANDBETWEEN(1,100),dé100,secondaire)," ")</f>
        <v xml:space="preserve"> </v>
      </c>
      <c r="I260" s="86" t="str">
        <f t="shared" ref="I260" ca="1" si="152">IF(RANDBETWEEN(1,500)&lt;=C260,LOOKUP(RANDBETWEEN(1,100),dé100,tertiaire)," ")</f>
        <v xml:space="preserve"> </v>
      </c>
      <c r="J260" s="86" t="str">
        <f t="shared" ca="1" si="78"/>
        <v xml:space="preserve"> </v>
      </c>
      <c r="K260" s="86" t="str">
        <f t="shared" ca="1" si="79"/>
        <v>inquisition</v>
      </c>
      <c r="L260" s="86" t="str">
        <f t="shared" ca="1" si="80"/>
        <v>fermé</v>
      </c>
      <c r="M260" s="87">
        <f t="shared" ref="M260" ca="1" si="153">ROUND(C260/(RANDBETWEEN(1,5)+5),0)</f>
        <v>0</v>
      </c>
      <c r="N260" s="86" t="str">
        <f t="shared" ca="1" si="82"/>
        <v xml:space="preserve"> </v>
      </c>
      <c r="O260" s="86" t="str">
        <f t="shared" ca="1" si="83"/>
        <v>protection</v>
      </c>
      <c r="P260" s="86" t="str">
        <f t="shared" ca="1" si="84"/>
        <v xml:space="preserve"> </v>
      </c>
      <c r="Q260" s="85" t="str">
        <f t="shared" ca="1" si="85"/>
        <v xml:space="preserve"> </v>
      </c>
    </row>
    <row r="261" spans="1:17" ht="9.9" customHeight="1">
      <c r="A261" s="91" t="s">
        <v>2452</v>
      </c>
      <c r="B261" s="90">
        <v>5</v>
      </c>
      <c r="C261" s="89">
        <f t="shared" ref="C261" ca="1" si="154">ROUND(B261/(5+RANDBETWEEN(1,5)),0)</f>
        <v>1</v>
      </c>
      <c r="D261" s="87">
        <f t="shared" ref="D261" ca="1" si="155">ROUND(B261*(100+RANDBETWEEN(1,50)-RANDBETWEEN(1,50))/100,0)</f>
        <v>6</v>
      </c>
      <c r="E261" s="88" t="str">
        <f t="shared" ca="1" si="104"/>
        <v>+</v>
      </c>
      <c r="F261" s="88" t="str">
        <f t="shared" ca="1" si="104"/>
        <v>=</v>
      </c>
      <c r="G261" s="86" t="str">
        <f t="shared" ref="G261" ca="1" si="156">IF(RANDBETWEEN(1,10)&lt;=C261,LOOKUP(RANDBETWEEN(1,100),dé100,primaire)," ")</f>
        <v xml:space="preserve"> </v>
      </c>
      <c r="H261" s="86" t="str">
        <f t="shared" ref="H261" ca="1" si="157">IF(RANDBETWEEN(1,50)&lt;=C261,LOOKUP(RANDBETWEEN(1,100),dé100,secondaire)," ")</f>
        <v xml:space="preserve"> </v>
      </c>
      <c r="I261" s="86" t="str">
        <f t="shared" ref="I261" ca="1" si="158">IF(RANDBETWEEN(1,500)&lt;=C261,LOOKUP(RANDBETWEEN(1,100),dé100,tertiaire)," ")</f>
        <v xml:space="preserve"> </v>
      </c>
      <c r="J261" s="86" t="str">
        <f t="shared" ca="1" si="78"/>
        <v xml:space="preserve"> </v>
      </c>
      <c r="K261" s="86" t="str">
        <f t="shared" ca="1" si="79"/>
        <v>fervent</v>
      </c>
      <c r="L261" s="86" t="str">
        <f t="shared" ca="1" si="80"/>
        <v xml:space="preserve"> </v>
      </c>
      <c r="M261" s="87">
        <f t="shared" ref="M261" ca="1" si="159">ROUND(C261/(RANDBETWEEN(1,5)+5),0)</f>
        <v>0</v>
      </c>
      <c r="N261" s="86" t="str">
        <f t="shared" ca="1" si="82"/>
        <v xml:space="preserve"> </v>
      </c>
      <c r="O261" s="86" t="str">
        <f t="shared" ca="1" si="83"/>
        <v>protection</v>
      </c>
      <c r="P261" s="86" t="str">
        <f t="shared" ca="1" si="84"/>
        <v xml:space="preserve"> </v>
      </c>
      <c r="Q261" s="85" t="str">
        <f t="shared" ca="1" si="85"/>
        <v xml:space="preserve"> </v>
      </c>
    </row>
    <row r="262" spans="1:17" ht="9.9" customHeight="1">
      <c r="A262" s="91" t="s">
        <v>2452</v>
      </c>
      <c r="B262" s="90">
        <v>5</v>
      </c>
      <c r="C262" s="89">
        <f t="shared" ca="1" si="147"/>
        <v>1</v>
      </c>
      <c r="D262" s="87">
        <f t="shared" ca="1" si="74"/>
        <v>7</v>
      </c>
      <c r="E262" s="88" t="str">
        <f t="shared" ca="1" si="104"/>
        <v>=</v>
      </c>
      <c r="F262" s="88" t="str">
        <f t="shared" ca="1" si="104"/>
        <v>-</v>
      </c>
      <c r="G262" s="86" t="str">
        <f t="shared" ca="1" si="75"/>
        <v>Agriculture</v>
      </c>
      <c r="H262" s="86" t="str">
        <f t="shared" ca="1" si="76"/>
        <v xml:space="preserve"> </v>
      </c>
      <c r="I262" s="86" t="str">
        <f t="shared" ca="1" si="77"/>
        <v xml:space="preserve"> </v>
      </c>
      <c r="J262" s="86" t="str">
        <f t="shared" ca="1" si="78"/>
        <v>opposé</v>
      </c>
      <c r="K262" s="86" t="str">
        <f t="shared" ca="1" si="79"/>
        <v xml:space="preserve"> </v>
      </c>
      <c r="L262" s="86" t="str">
        <f t="shared" ca="1" si="80"/>
        <v xml:space="preserve"> </v>
      </c>
      <c r="M262" s="87">
        <f t="shared" ca="1" si="81"/>
        <v>0</v>
      </c>
      <c r="N262" s="86" t="str">
        <f t="shared" ca="1" si="82"/>
        <v>rien à vendre</v>
      </c>
      <c r="O262" s="86" t="str">
        <f t="shared" ca="1" si="83"/>
        <v>gardes</v>
      </c>
      <c r="P262" s="86" t="str">
        <f t="shared" ca="1" si="84"/>
        <v xml:space="preserve"> </v>
      </c>
      <c r="Q262" s="85" t="str">
        <f t="shared" ca="1" si="85"/>
        <v xml:space="preserve"> </v>
      </c>
    </row>
    <row r="263" spans="1:17" ht="9.9" customHeight="1" thickBot="1">
      <c r="A263" s="91" t="s">
        <v>2452</v>
      </c>
      <c r="B263" s="84">
        <v>5</v>
      </c>
      <c r="C263" s="83">
        <f t="shared" ca="1" si="147"/>
        <v>1</v>
      </c>
      <c r="D263" s="81">
        <f t="shared" ca="1" si="74"/>
        <v>6</v>
      </c>
      <c r="E263" s="82" t="str">
        <f t="shared" ca="1" si="104"/>
        <v>-</v>
      </c>
      <c r="F263" s="82" t="str">
        <f t="shared" ca="1" si="104"/>
        <v>-</v>
      </c>
      <c r="G263" s="80" t="str">
        <f t="shared" ca="1" si="75"/>
        <v xml:space="preserve"> </v>
      </c>
      <c r="H263" s="80" t="str">
        <f t="shared" ca="1" si="76"/>
        <v xml:space="preserve"> </v>
      </c>
      <c r="I263" s="80" t="str">
        <f t="shared" ca="1" si="77"/>
        <v xml:space="preserve"> </v>
      </c>
      <c r="J263" s="80" t="str">
        <f t="shared" ca="1" si="78"/>
        <v>loyal</v>
      </c>
      <c r="K263" s="80" t="str">
        <f t="shared" ca="1" si="79"/>
        <v>fervent</v>
      </c>
      <c r="L263" s="80" t="str">
        <f t="shared" ca="1" si="80"/>
        <v>fermé</v>
      </c>
      <c r="M263" s="81">
        <f t="shared" ca="1" si="81"/>
        <v>0</v>
      </c>
      <c r="N263" s="80" t="str">
        <f t="shared" ca="1" si="82"/>
        <v>nœud</v>
      </c>
      <c r="O263" s="80" t="str">
        <f t="shared" ca="1" si="83"/>
        <v xml:space="preserve"> </v>
      </c>
      <c r="P263" s="80" t="str">
        <f t="shared" ca="1" si="84"/>
        <v>complot</v>
      </c>
      <c r="Q263" s="79" t="str">
        <f t="shared" ca="1" si="85"/>
        <v xml:space="preserve"> </v>
      </c>
    </row>
    <row r="264" spans="1:17">
      <c r="A264" s="78" t="s">
        <v>524</v>
      </c>
    </row>
  </sheetData>
  <pageMargins left="0.23622047244094491" right="0.23622047244094491" top="0.35433070866141736" bottom="0.35433070866141736" header="0.31496062992125984" footer="0.31496062992125984"/>
  <pageSetup paperSize="9" orientation="landscape" horizontalDpi="300" verticalDpi="300" r:id="rId1"/>
  <headerFooter>
    <oddFooter>&amp;C_x000D_&amp;1#&amp;"Arial"&amp;9&amp;K000000 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0"/>
  <sheetViews>
    <sheetView tabSelected="1" topLeftCell="A42" zoomScaleNormal="100" workbookViewId="0">
      <selection activeCell="E63" sqref="E63"/>
    </sheetView>
  </sheetViews>
  <sheetFormatPr baseColWidth="10" defaultColWidth="8.88671875" defaultRowHeight="12" customHeight="1"/>
  <cols>
    <col min="1" max="1" width="6.6640625" style="1" bestFit="1" customWidth="1"/>
    <col min="2" max="16" width="10.6640625" style="1" customWidth="1"/>
    <col min="17" max="16384" width="8.88671875" style="1"/>
  </cols>
  <sheetData>
    <row r="1" spans="1:16" ht="12" hidden="1" customHeight="1" thickBot="1">
      <c r="A1" s="1" t="s">
        <v>523</v>
      </c>
      <c r="B1" s="1" t="s">
        <v>344</v>
      </c>
      <c r="C1" s="1" t="s">
        <v>343</v>
      </c>
      <c r="D1" s="1" t="s">
        <v>342</v>
      </c>
      <c r="E1" s="1" t="s">
        <v>341</v>
      </c>
      <c r="F1" s="1" t="s">
        <v>340</v>
      </c>
      <c r="G1" s="1" t="s">
        <v>339</v>
      </c>
      <c r="H1" s="1" t="s">
        <v>338</v>
      </c>
      <c r="I1" s="1" t="s">
        <v>337</v>
      </c>
      <c r="J1" s="1" t="s">
        <v>336</v>
      </c>
      <c r="K1" s="1" t="s">
        <v>335</v>
      </c>
      <c r="L1" s="1" t="s">
        <v>334</v>
      </c>
      <c r="M1" s="1" t="s">
        <v>333</v>
      </c>
      <c r="N1" s="1" t="s">
        <v>332</v>
      </c>
      <c r="O1" s="1" t="s">
        <v>331</v>
      </c>
      <c r="P1" s="1" t="s">
        <v>330</v>
      </c>
    </row>
    <row r="2" spans="1:16" ht="12" hidden="1" customHeight="1" thickBot="1">
      <c r="A2" s="1">
        <v>1</v>
      </c>
      <c r="B2" s="77" t="s">
        <v>361</v>
      </c>
      <c r="C2" s="77" t="s">
        <v>353</v>
      </c>
      <c r="D2" s="77" t="s">
        <v>489</v>
      </c>
      <c r="E2" s="77" t="s">
        <v>359</v>
      </c>
      <c r="F2" s="77" t="s">
        <v>471</v>
      </c>
      <c r="G2" s="77" t="s">
        <v>389</v>
      </c>
      <c r="H2" s="77" t="s">
        <v>513</v>
      </c>
      <c r="I2" s="77" t="s">
        <v>384</v>
      </c>
      <c r="J2" s="77" t="s">
        <v>474</v>
      </c>
      <c r="K2" s="77" t="s">
        <v>367</v>
      </c>
      <c r="L2" s="77" t="s">
        <v>481</v>
      </c>
      <c r="M2" s="77" t="s">
        <v>408</v>
      </c>
      <c r="N2" s="77" t="s">
        <v>435</v>
      </c>
      <c r="O2" s="77" t="s">
        <v>367</v>
      </c>
      <c r="P2" s="77" t="s">
        <v>516</v>
      </c>
    </row>
    <row r="3" spans="1:16" ht="12" hidden="1" customHeight="1" thickBot="1">
      <c r="A3" s="1">
        <v>5</v>
      </c>
      <c r="B3" s="75" t="s">
        <v>347</v>
      </c>
      <c r="C3" s="75" t="s">
        <v>384</v>
      </c>
      <c r="D3" s="75" t="s">
        <v>521</v>
      </c>
      <c r="E3" s="75" t="s">
        <v>442</v>
      </c>
      <c r="F3" s="75" t="s">
        <v>367</v>
      </c>
      <c r="G3" s="75" t="s">
        <v>377</v>
      </c>
      <c r="H3" s="75" t="s">
        <v>346</v>
      </c>
      <c r="I3" s="75" t="s">
        <v>521</v>
      </c>
      <c r="J3" s="75" t="s">
        <v>505</v>
      </c>
      <c r="K3" s="75" t="s">
        <v>429</v>
      </c>
      <c r="L3" s="75" t="s">
        <v>504</v>
      </c>
      <c r="M3" s="75" t="s">
        <v>366</v>
      </c>
      <c r="N3" s="75" t="s">
        <v>367</v>
      </c>
      <c r="O3" s="75" t="s">
        <v>521</v>
      </c>
      <c r="P3" s="75" t="s">
        <v>399</v>
      </c>
    </row>
    <row r="4" spans="1:16" ht="12" hidden="1" customHeight="1" thickBot="1">
      <c r="A4" s="1">
        <v>9</v>
      </c>
      <c r="B4" s="76" t="s">
        <v>478</v>
      </c>
      <c r="C4" s="76" t="s">
        <v>521</v>
      </c>
      <c r="D4" s="76" t="s">
        <v>471</v>
      </c>
      <c r="E4" s="76" t="s">
        <v>345</v>
      </c>
      <c r="F4" s="76" t="s">
        <v>387</v>
      </c>
      <c r="G4" s="76" t="s">
        <v>367</v>
      </c>
      <c r="H4" s="76" t="s">
        <v>348</v>
      </c>
      <c r="I4" s="76" t="s">
        <v>489</v>
      </c>
      <c r="J4" s="76" t="s">
        <v>522</v>
      </c>
      <c r="K4" s="76" t="s">
        <v>349</v>
      </c>
      <c r="L4" s="76" t="s">
        <v>359</v>
      </c>
      <c r="M4" s="76" t="s">
        <v>347</v>
      </c>
      <c r="N4" s="76" t="s">
        <v>446</v>
      </c>
      <c r="O4" s="76" t="s">
        <v>346</v>
      </c>
      <c r="P4" s="76" t="s">
        <v>429</v>
      </c>
    </row>
    <row r="5" spans="1:16" ht="12" hidden="1" customHeight="1" thickBot="1">
      <c r="A5" s="1">
        <v>13</v>
      </c>
      <c r="B5" s="75" t="s">
        <v>380</v>
      </c>
      <c r="C5" s="75" t="s">
        <v>443</v>
      </c>
      <c r="D5" s="75" t="s">
        <v>499</v>
      </c>
      <c r="E5" s="75" t="s">
        <v>358</v>
      </c>
      <c r="F5" s="75" t="s">
        <v>521</v>
      </c>
      <c r="G5" s="75" t="s">
        <v>358</v>
      </c>
      <c r="H5" s="75" t="s">
        <v>358</v>
      </c>
      <c r="I5" s="75" t="s">
        <v>457</v>
      </c>
      <c r="J5" s="75" t="s">
        <v>450</v>
      </c>
      <c r="K5" s="75" t="s">
        <v>371</v>
      </c>
      <c r="L5" s="75" t="s">
        <v>473</v>
      </c>
      <c r="M5" s="75" t="s">
        <v>371</v>
      </c>
      <c r="N5" s="75" t="s">
        <v>350</v>
      </c>
      <c r="O5" s="75" t="s">
        <v>360</v>
      </c>
      <c r="P5" s="75" t="s">
        <v>371</v>
      </c>
    </row>
    <row r="6" spans="1:16" ht="12" hidden="1" customHeight="1" thickBot="1">
      <c r="A6" s="1">
        <v>17</v>
      </c>
      <c r="B6" s="76" t="s">
        <v>390</v>
      </c>
      <c r="C6" s="76" t="s">
        <v>509</v>
      </c>
      <c r="D6" s="76" t="s">
        <v>446</v>
      </c>
      <c r="E6" s="76" t="s">
        <v>520</v>
      </c>
      <c r="F6" s="76" t="s">
        <v>451</v>
      </c>
      <c r="G6" s="76" t="s">
        <v>465</v>
      </c>
      <c r="H6" s="76" t="s">
        <v>475</v>
      </c>
      <c r="I6" s="76" t="s">
        <v>504</v>
      </c>
      <c r="J6" s="76" t="s">
        <v>348</v>
      </c>
      <c r="K6" s="76" t="s">
        <v>359</v>
      </c>
      <c r="L6" s="76" t="s">
        <v>388</v>
      </c>
      <c r="M6" s="76" t="s">
        <v>475</v>
      </c>
      <c r="N6" s="76" t="s">
        <v>366</v>
      </c>
      <c r="O6" s="76" t="s">
        <v>358</v>
      </c>
      <c r="P6" s="76" t="s">
        <v>359</v>
      </c>
    </row>
    <row r="7" spans="1:16" ht="12" hidden="1" customHeight="1" thickBot="1">
      <c r="A7" s="1">
        <v>21</v>
      </c>
      <c r="B7" s="75" t="s">
        <v>519</v>
      </c>
      <c r="C7" s="75" t="s">
        <v>471</v>
      </c>
      <c r="D7" s="75" t="s">
        <v>354</v>
      </c>
      <c r="E7" s="75" t="s">
        <v>482</v>
      </c>
      <c r="F7" s="75" t="s">
        <v>513</v>
      </c>
      <c r="G7" s="75" t="s">
        <v>353</v>
      </c>
      <c r="H7" s="75" t="s">
        <v>457</v>
      </c>
      <c r="I7" s="75" t="s">
        <v>513</v>
      </c>
      <c r="J7" s="75" t="s">
        <v>518</v>
      </c>
      <c r="K7" s="75" t="s">
        <v>353</v>
      </c>
      <c r="L7" s="75" t="s">
        <v>361</v>
      </c>
      <c r="M7" s="75" t="s">
        <v>513</v>
      </c>
      <c r="N7" s="75" t="s">
        <v>348</v>
      </c>
      <c r="O7" s="75" t="s">
        <v>509</v>
      </c>
      <c r="P7" s="75" t="s">
        <v>345</v>
      </c>
    </row>
    <row r="8" spans="1:16" ht="12" hidden="1" customHeight="1" thickBot="1">
      <c r="A8" s="1">
        <v>25</v>
      </c>
      <c r="B8" s="76" t="s">
        <v>389</v>
      </c>
      <c r="C8" s="76" t="s">
        <v>354</v>
      </c>
      <c r="D8" s="76" t="s">
        <v>507</v>
      </c>
      <c r="E8" s="76" t="s">
        <v>437</v>
      </c>
      <c r="F8" s="76" t="s">
        <v>353</v>
      </c>
      <c r="G8" s="76" t="s">
        <v>389</v>
      </c>
      <c r="H8" s="76" t="s">
        <v>369</v>
      </c>
      <c r="I8" s="76" t="s">
        <v>481</v>
      </c>
      <c r="J8" s="76" t="s">
        <v>346</v>
      </c>
      <c r="K8" s="76" t="s">
        <v>452</v>
      </c>
      <c r="L8" s="76" t="s">
        <v>371</v>
      </c>
      <c r="M8" s="76" t="s">
        <v>517</v>
      </c>
      <c r="N8" s="76" t="s">
        <v>353</v>
      </c>
      <c r="O8" s="76" t="s">
        <v>387</v>
      </c>
      <c r="P8" s="76" t="s">
        <v>443</v>
      </c>
    </row>
    <row r="9" spans="1:16" ht="12" hidden="1" customHeight="1" thickBot="1">
      <c r="A9" s="1">
        <v>29</v>
      </c>
      <c r="B9" s="75" t="s">
        <v>389</v>
      </c>
      <c r="C9" s="75" t="s">
        <v>346</v>
      </c>
      <c r="D9" s="75" t="s">
        <v>509</v>
      </c>
      <c r="E9" s="75" t="s">
        <v>516</v>
      </c>
      <c r="F9" s="75" t="s">
        <v>496</v>
      </c>
      <c r="G9" s="75" t="s">
        <v>377</v>
      </c>
      <c r="H9" s="75" t="s">
        <v>476</v>
      </c>
      <c r="I9" s="75" t="s">
        <v>358</v>
      </c>
      <c r="J9" s="75" t="s">
        <v>515</v>
      </c>
      <c r="K9" s="75" t="s">
        <v>514</v>
      </c>
      <c r="L9" s="75" t="s">
        <v>513</v>
      </c>
      <c r="M9" s="75" t="s">
        <v>472</v>
      </c>
      <c r="N9" s="75" t="s">
        <v>361</v>
      </c>
      <c r="O9" s="75" t="s">
        <v>348</v>
      </c>
      <c r="P9" s="75" t="s">
        <v>471</v>
      </c>
    </row>
    <row r="10" spans="1:16" ht="12" hidden="1" customHeight="1" thickBot="1">
      <c r="A10" s="1">
        <v>33</v>
      </c>
      <c r="B10" s="76" t="s">
        <v>512</v>
      </c>
      <c r="C10" s="76" t="s">
        <v>483</v>
      </c>
      <c r="D10" s="76" t="s">
        <v>346</v>
      </c>
      <c r="E10" s="76" t="s">
        <v>442</v>
      </c>
      <c r="F10" s="76" t="s">
        <v>507</v>
      </c>
      <c r="G10" s="76" t="s">
        <v>367</v>
      </c>
      <c r="H10" s="76" t="s">
        <v>377</v>
      </c>
      <c r="I10" s="76" t="s">
        <v>360</v>
      </c>
      <c r="J10" s="76" t="s">
        <v>346</v>
      </c>
      <c r="K10" s="76" t="s">
        <v>511</v>
      </c>
      <c r="L10" s="76" t="s">
        <v>496</v>
      </c>
      <c r="M10" s="76" t="s">
        <v>510</v>
      </c>
      <c r="N10" s="76" t="s">
        <v>347</v>
      </c>
      <c r="O10" s="76" t="s">
        <v>353</v>
      </c>
      <c r="P10" s="76" t="s">
        <v>509</v>
      </c>
    </row>
    <row r="11" spans="1:16" ht="12" hidden="1" customHeight="1" thickBot="1">
      <c r="A11" s="1">
        <v>37</v>
      </c>
      <c r="B11" s="75" t="s">
        <v>508</v>
      </c>
      <c r="C11" s="75" t="s">
        <v>346</v>
      </c>
      <c r="D11" s="75" t="s">
        <v>407</v>
      </c>
      <c r="E11" s="75" t="s">
        <v>437</v>
      </c>
      <c r="F11" s="75" t="s">
        <v>346</v>
      </c>
      <c r="G11" s="75" t="s">
        <v>353</v>
      </c>
      <c r="H11" s="75" t="s">
        <v>507</v>
      </c>
      <c r="I11" s="75" t="s">
        <v>506</v>
      </c>
      <c r="J11" s="75" t="s">
        <v>505</v>
      </c>
      <c r="K11" s="75" t="s">
        <v>353</v>
      </c>
      <c r="L11" s="75" t="s">
        <v>358</v>
      </c>
      <c r="M11" s="75" t="s">
        <v>475</v>
      </c>
      <c r="N11" s="75" t="s">
        <v>347</v>
      </c>
      <c r="O11" s="75" t="s">
        <v>471</v>
      </c>
      <c r="P11" s="75" t="s">
        <v>353</v>
      </c>
    </row>
    <row r="12" spans="1:16" ht="12" hidden="1" customHeight="1" thickBot="1">
      <c r="A12" s="1">
        <v>40</v>
      </c>
      <c r="B12" s="74" t="s">
        <v>454</v>
      </c>
      <c r="C12" s="74" t="s">
        <v>360</v>
      </c>
      <c r="D12" s="74" t="s">
        <v>368</v>
      </c>
      <c r="E12" s="74" t="s">
        <v>436</v>
      </c>
      <c r="F12" s="74" t="s">
        <v>380</v>
      </c>
      <c r="G12" s="74" t="s">
        <v>482</v>
      </c>
      <c r="H12" s="74" t="s">
        <v>504</v>
      </c>
      <c r="I12" s="74" t="s">
        <v>493</v>
      </c>
      <c r="J12" s="74" t="s">
        <v>387</v>
      </c>
      <c r="K12" s="74" t="s">
        <v>352</v>
      </c>
      <c r="L12" s="74" t="s">
        <v>442</v>
      </c>
      <c r="M12" s="74" t="s">
        <v>464</v>
      </c>
      <c r="N12" s="74" t="s">
        <v>503</v>
      </c>
      <c r="O12" s="74" t="s">
        <v>502</v>
      </c>
      <c r="P12" s="74" t="s">
        <v>367</v>
      </c>
    </row>
    <row r="13" spans="1:16" ht="12" hidden="1" customHeight="1" thickBot="1">
      <c r="A13" s="1">
        <v>43</v>
      </c>
      <c r="B13" s="72" t="s">
        <v>490</v>
      </c>
      <c r="C13" s="72" t="s">
        <v>345</v>
      </c>
      <c r="D13" s="72" t="s">
        <v>441</v>
      </c>
      <c r="E13" s="72" t="s">
        <v>371</v>
      </c>
      <c r="F13" s="72" t="s">
        <v>475</v>
      </c>
      <c r="G13" s="72" t="s">
        <v>413</v>
      </c>
      <c r="H13" s="72" t="s">
        <v>367</v>
      </c>
      <c r="I13" s="72" t="s">
        <v>451</v>
      </c>
      <c r="J13" s="72" t="s">
        <v>438</v>
      </c>
      <c r="K13" s="72" t="s">
        <v>423</v>
      </c>
      <c r="L13" s="72" t="s">
        <v>467</v>
      </c>
      <c r="M13" s="72" t="s">
        <v>359</v>
      </c>
      <c r="N13" s="72" t="s">
        <v>453</v>
      </c>
      <c r="O13" s="72" t="s">
        <v>501</v>
      </c>
      <c r="P13" s="72" t="s">
        <v>475</v>
      </c>
    </row>
    <row r="14" spans="1:16" ht="12" hidden="1" customHeight="1" thickBot="1">
      <c r="A14" s="1">
        <v>47</v>
      </c>
      <c r="B14" s="73" t="s">
        <v>482</v>
      </c>
      <c r="C14" s="73" t="s">
        <v>422</v>
      </c>
      <c r="D14" s="73" t="s">
        <v>500</v>
      </c>
      <c r="E14" s="73" t="s">
        <v>380</v>
      </c>
      <c r="F14" s="73" t="s">
        <v>499</v>
      </c>
      <c r="G14" s="73" t="s">
        <v>407</v>
      </c>
      <c r="H14" s="73" t="s">
        <v>399</v>
      </c>
      <c r="I14" s="73" t="s">
        <v>499</v>
      </c>
      <c r="J14" s="73" t="s">
        <v>498</v>
      </c>
      <c r="K14" s="73" t="s">
        <v>433</v>
      </c>
      <c r="L14" s="73" t="s">
        <v>345</v>
      </c>
      <c r="M14" s="73" t="s">
        <v>441</v>
      </c>
      <c r="N14" s="73" t="s">
        <v>383</v>
      </c>
      <c r="O14" s="73" t="s">
        <v>497</v>
      </c>
      <c r="P14" s="73" t="s">
        <v>360</v>
      </c>
    </row>
    <row r="15" spans="1:16" ht="12" hidden="1" customHeight="1" thickBot="1">
      <c r="A15" s="1">
        <v>50</v>
      </c>
      <c r="B15" s="72" t="s">
        <v>401</v>
      </c>
      <c r="C15" s="72" t="s">
        <v>390</v>
      </c>
      <c r="D15" s="72" t="s">
        <v>398</v>
      </c>
      <c r="E15" s="72" t="s">
        <v>399</v>
      </c>
      <c r="F15" s="72" t="s">
        <v>366</v>
      </c>
      <c r="G15" s="72" t="s">
        <v>348</v>
      </c>
      <c r="H15" s="72" t="s">
        <v>452</v>
      </c>
      <c r="I15" s="72" t="s">
        <v>496</v>
      </c>
      <c r="J15" s="72" t="s">
        <v>455</v>
      </c>
      <c r="K15" s="72" t="s">
        <v>495</v>
      </c>
      <c r="L15" s="72" t="s">
        <v>494</v>
      </c>
      <c r="M15" s="72" t="s">
        <v>354</v>
      </c>
      <c r="N15" s="72" t="s">
        <v>373</v>
      </c>
      <c r="O15" s="72" t="s">
        <v>434</v>
      </c>
      <c r="P15" s="72" t="s">
        <v>358</v>
      </c>
    </row>
    <row r="16" spans="1:16" ht="12" hidden="1" customHeight="1" thickBot="1">
      <c r="A16" s="1">
        <v>53</v>
      </c>
      <c r="B16" s="73" t="s">
        <v>454</v>
      </c>
      <c r="C16" s="73" t="s">
        <v>358</v>
      </c>
      <c r="D16" s="73" t="s">
        <v>412</v>
      </c>
      <c r="E16" s="73" t="s">
        <v>390</v>
      </c>
      <c r="F16" s="73" t="s">
        <v>493</v>
      </c>
      <c r="G16" s="73" t="s">
        <v>493</v>
      </c>
      <c r="H16" s="73" t="s">
        <v>446</v>
      </c>
      <c r="I16" s="73" t="s">
        <v>492</v>
      </c>
      <c r="J16" s="73" t="s">
        <v>369</v>
      </c>
      <c r="K16" s="73" t="s">
        <v>441</v>
      </c>
      <c r="L16" s="73" t="s">
        <v>369</v>
      </c>
      <c r="M16" s="73" t="s">
        <v>348</v>
      </c>
      <c r="N16" s="73" t="s">
        <v>361</v>
      </c>
      <c r="O16" s="73" t="s">
        <v>491</v>
      </c>
      <c r="P16" s="73" t="s">
        <v>440</v>
      </c>
    </row>
    <row r="17" spans="1:16" ht="12" hidden="1" customHeight="1" thickBot="1">
      <c r="A17" s="1">
        <v>56</v>
      </c>
      <c r="B17" s="72" t="s">
        <v>490</v>
      </c>
      <c r="C17" s="72" t="s">
        <v>349</v>
      </c>
      <c r="D17" s="72" t="s">
        <v>362</v>
      </c>
      <c r="E17" s="72" t="s">
        <v>379</v>
      </c>
      <c r="F17" s="72" t="s">
        <v>481</v>
      </c>
      <c r="G17" s="72" t="s">
        <v>366</v>
      </c>
      <c r="H17" s="72" t="s">
        <v>440</v>
      </c>
      <c r="I17" s="72" t="s">
        <v>445</v>
      </c>
      <c r="J17" s="72" t="s">
        <v>368</v>
      </c>
      <c r="K17" s="72" t="s">
        <v>350</v>
      </c>
      <c r="L17" s="72" t="s">
        <v>349</v>
      </c>
      <c r="M17" s="72" t="s">
        <v>449</v>
      </c>
      <c r="N17" s="72" t="s">
        <v>347</v>
      </c>
      <c r="O17" s="72" t="s">
        <v>413</v>
      </c>
      <c r="P17" s="72" t="s">
        <v>390</v>
      </c>
    </row>
    <row r="18" spans="1:16" ht="12" hidden="1" customHeight="1" thickBot="1">
      <c r="A18" s="1">
        <v>59</v>
      </c>
      <c r="B18" s="73" t="s">
        <v>482</v>
      </c>
      <c r="C18" s="73" t="s">
        <v>368</v>
      </c>
      <c r="D18" s="73" t="s">
        <v>408</v>
      </c>
      <c r="E18" s="73" t="s">
        <v>359</v>
      </c>
      <c r="F18" s="73" t="s">
        <v>413</v>
      </c>
      <c r="G18" s="73" t="s">
        <v>389</v>
      </c>
      <c r="H18" s="73" t="s">
        <v>489</v>
      </c>
      <c r="I18" s="73" t="s">
        <v>439</v>
      </c>
      <c r="J18" s="73" t="s">
        <v>488</v>
      </c>
      <c r="K18" s="73" t="s">
        <v>437</v>
      </c>
      <c r="L18" s="73" t="s">
        <v>408</v>
      </c>
      <c r="M18" s="73" t="s">
        <v>487</v>
      </c>
      <c r="N18" s="73" t="s">
        <v>350</v>
      </c>
      <c r="O18" s="73" t="s">
        <v>354</v>
      </c>
      <c r="P18" s="73" t="s">
        <v>436</v>
      </c>
    </row>
    <row r="19" spans="1:16" ht="12" hidden="1" customHeight="1" thickBot="1">
      <c r="A19" s="1">
        <v>62</v>
      </c>
      <c r="B19" s="72" t="s">
        <v>401</v>
      </c>
      <c r="C19" s="72" t="s">
        <v>486</v>
      </c>
      <c r="D19" s="72" t="s">
        <v>451</v>
      </c>
      <c r="E19" s="72" t="s">
        <v>358</v>
      </c>
      <c r="F19" s="72" t="s">
        <v>407</v>
      </c>
      <c r="G19" s="72" t="s">
        <v>377</v>
      </c>
      <c r="H19" s="72" t="s">
        <v>471</v>
      </c>
      <c r="I19" s="72" t="s">
        <v>485</v>
      </c>
      <c r="J19" s="72" t="s">
        <v>450</v>
      </c>
      <c r="K19" s="72" t="s">
        <v>484</v>
      </c>
      <c r="L19" s="72" t="s">
        <v>383</v>
      </c>
      <c r="M19" s="72" t="s">
        <v>444</v>
      </c>
      <c r="N19" s="72" t="s">
        <v>366</v>
      </c>
      <c r="O19" s="72" t="s">
        <v>349</v>
      </c>
      <c r="P19" s="72" t="s">
        <v>483</v>
      </c>
    </row>
    <row r="20" spans="1:16" ht="12" hidden="1" customHeight="1" thickBot="1">
      <c r="A20" s="1">
        <v>65</v>
      </c>
      <c r="B20" s="73" t="s">
        <v>347</v>
      </c>
      <c r="C20" s="73" t="s">
        <v>437</v>
      </c>
      <c r="D20" s="73" t="s">
        <v>407</v>
      </c>
      <c r="E20" s="73" t="s">
        <v>482</v>
      </c>
      <c r="F20" s="73" t="s">
        <v>389</v>
      </c>
      <c r="G20" s="73" t="s">
        <v>367</v>
      </c>
      <c r="H20" s="73" t="s">
        <v>479</v>
      </c>
      <c r="I20" s="73" t="s">
        <v>481</v>
      </c>
      <c r="J20" s="73" t="s">
        <v>346</v>
      </c>
      <c r="K20" s="73" t="s">
        <v>349</v>
      </c>
      <c r="L20" s="73" t="s">
        <v>359</v>
      </c>
      <c r="M20" s="73" t="s">
        <v>366</v>
      </c>
      <c r="N20" s="73" t="s">
        <v>348</v>
      </c>
      <c r="O20" s="73" t="s">
        <v>480</v>
      </c>
      <c r="P20" s="73" t="s">
        <v>479</v>
      </c>
    </row>
    <row r="21" spans="1:16" ht="12" hidden="1" customHeight="1" thickBot="1">
      <c r="A21" s="1">
        <v>68</v>
      </c>
      <c r="B21" s="72" t="s">
        <v>478</v>
      </c>
      <c r="C21" s="72" t="s">
        <v>477</v>
      </c>
      <c r="D21" s="72" t="s">
        <v>375</v>
      </c>
      <c r="E21" s="72" t="s">
        <v>345</v>
      </c>
      <c r="F21" s="72" t="s">
        <v>476</v>
      </c>
      <c r="G21" s="72" t="s">
        <v>353</v>
      </c>
      <c r="H21" s="72" t="s">
        <v>475</v>
      </c>
      <c r="I21" s="72" t="s">
        <v>360</v>
      </c>
      <c r="J21" s="72" t="s">
        <v>474</v>
      </c>
      <c r="K21" s="72" t="s">
        <v>359</v>
      </c>
      <c r="L21" s="72" t="s">
        <v>473</v>
      </c>
      <c r="M21" s="72" t="s">
        <v>347</v>
      </c>
      <c r="N21" s="72" t="s">
        <v>353</v>
      </c>
      <c r="O21" s="72" t="s">
        <v>472</v>
      </c>
      <c r="P21" s="72" t="s">
        <v>471</v>
      </c>
    </row>
    <row r="22" spans="1:16" ht="12" hidden="1" customHeight="1" thickBot="1">
      <c r="A22" s="1">
        <v>70</v>
      </c>
      <c r="B22" s="74" t="s">
        <v>459</v>
      </c>
      <c r="C22" s="74" t="s">
        <v>352</v>
      </c>
      <c r="D22" s="74" t="s">
        <v>385</v>
      </c>
      <c r="E22" s="74" t="s">
        <v>417</v>
      </c>
      <c r="F22" s="74" t="s">
        <v>452</v>
      </c>
      <c r="G22" s="74" t="s">
        <v>416</v>
      </c>
      <c r="H22" s="74" t="s">
        <v>372</v>
      </c>
      <c r="I22" s="74" t="s">
        <v>388</v>
      </c>
      <c r="J22" s="74" t="s">
        <v>470</v>
      </c>
      <c r="K22" s="74" t="s">
        <v>416</v>
      </c>
      <c r="L22" s="74" t="s">
        <v>469</v>
      </c>
      <c r="M22" s="74" t="s">
        <v>368</v>
      </c>
      <c r="N22" s="74" t="s">
        <v>468</v>
      </c>
      <c r="O22" s="74" t="s">
        <v>364</v>
      </c>
      <c r="P22" s="74" t="s">
        <v>416</v>
      </c>
    </row>
    <row r="23" spans="1:16" ht="12" hidden="1" customHeight="1" thickBot="1">
      <c r="A23" s="1">
        <v>72</v>
      </c>
      <c r="B23" s="72" t="s">
        <v>447</v>
      </c>
      <c r="C23" s="72" t="s">
        <v>367</v>
      </c>
      <c r="D23" s="72" t="s">
        <v>414</v>
      </c>
      <c r="E23" s="72" t="s">
        <v>467</v>
      </c>
      <c r="F23" s="72" t="s">
        <v>466</v>
      </c>
      <c r="G23" s="72" t="s">
        <v>452</v>
      </c>
      <c r="H23" s="72" t="s">
        <v>407</v>
      </c>
      <c r="I23" s="72" t="s">
        <v>350</v>
      </c>
      <c r="J23" s="72" t="s">
        <v>376</v>
      </c>
      <c r="K23" s="72" t="s">
        <v>368</v>
      </c>
      <c r="L23" s="72" t="s">
        <v>385</v>
      </c>
      <c r="M23" s="72" t="s">
        <v>463</v>
      </c>
      <c r="N23" s="72" t="s">
        <v>394</v>
      </c>
      <c r="O23" s="72" t="s">
        <v>368</v>
      </c>
      <c r="P23" s="72" t="s">
        <v>423</v>
      </c>
    </row>
    <row r="24" spans="1:16" ht="12" hidden="1" customHeight="1" thickBot="1">
      <c r="A24" s="1">
        <v>74</v>
      </c>
      <c r="B24" s="73" t="s">
        <v>370</v>
      </c>
      <c r="C24" s="73" t="s">
        <v>395</v>
      </c>
      <c r="D24" s="73" t="s">
        <v>372</v>
      </c>
      <c r="E24" s="73" t="s">
        <v>401</v>
      </c>
      <c r="F24" s="73" t="s">
        <v>465</v>
      </c>
      <c r="G24" s="73" t="s">
        <v>380</v>
      </c>
      <c r="H24" s="73" t="s">
        <v>380</v>
      </c>
      <c r="I24" s="73" t="s">
        <v>365</v>
      </c>
      <c r="J24" s="73" t="s">
        <v>364</v>
      </c>
      <c r="K24" s="73" t="s">
        <v>405</v>
      </c>
      <c r="L24" s="73" t="s">
        <v>375</v>
      </c>
      <c r="M24" s="73" t="s">
        <v>433</v>
      </c>
      <c r="N24" s="73" t="s">
        <v>416</v>
      </c>
      <c r="O24" s="73" t="s">
        <v>422</v>
      </c>
      <c r="P24" s="73" t="s">
        <v>464</v>
      </c>
    </row>
    <row r="25" spans="1:16" ht="12" hidden="1" customHeight="1" thickBot="1">
      <c r="A25" s="1">
        <v>76</v>
      </c>
      <c r="B25" s="72" t="s">
        <v>358</v>
      </c>
      <c r="C25" s="72" t="s">
        <v>365</v>
      </c>
      <c r="D25" s="72" t="s">
        <v>352</v>
      </c>
      <c r="E25" s="72" t="s">
        <v>349</v>
      </c>
      <c r="F25" s="72" t="s">
        <v>378</v>
      </c>
      <c r="G25" s="72" t="s">
        <v>413</v>
      </c>
      <c r="H25" s="72" t="s">
        <v>356</v>
      </c>
      <c r="I25" s="72" t="s">
        <v>351</v>
      </c>
      <c r="J25" s="72" t="s">
        <v>378</v>
      </c>
      <c r="K25" s="72" t="s">
        <v>395</v>
      </c>
      <c r="L25" s="72" t="s">
        <v>362</v>
      </c>
      <c r="M25" s="72" t="s">
        <v>384</v>
      </c>
      <c r="N25" s="72" t="s">
        <v>463</v>
      </c>
      <c r="O25" s="72" t="s">
        <v>428</v>
      </c>
      <c r="P25" s="72" t="s">
        <v>462</v>
      </c>
    </row>
    <row r="26" spans="1:16" ht="12" hidden="1" customHeight="1" thickBot="1">
      <c r="A26" s="1">
        <v>78</v>
      </c>
      <c r="B26" s="73" t="s">
        <v>404</v>
      </c>
      <c r="C26" s="73" t="s">
        <v>416</v>
      </c>
      <c r="D26" s="73" t="s">
        <v>401</v>
      </c>
      <c r="E26" s="73" t="s">
        <v>355</v>
      </c>
      <c r="F26" s="73" t="s">
        <v>384</v>
      </c>
      <c r="G26" s="73" t="s">
        <v>407</v>
      </c>
      <c r="H26" s="73" t="s">
        <v>366</v>
      </c>
      <c r="I26" s="73" t="s">
        <v>461</v>
      </c>
      <c r="J26" s="73" t="s">
        <v>396</v>
      </c>
      <c r="K26" s="73" t="s">
        <v>386</v>
      </c>
      <c r="L26" s="73" t="s">
        <v>412</v>
      </c>
      <c r="M26" s="73" t="s">
        <v>374</v>
      </c>
      <c r="N26" s="73" t="s">
        <v>458</v>
      </c>
      <c r="O26" s="73" t="s">
        <v>447</v>
      </c>
      <c r="P26" s="73" t="s">
        <v>374</v>
      </c>
    </row>
    <row r="27" spans="1:16" ht="12" hidden="1" customHeight="1" thickBot="1">
      <c r="A27" s="1">
        <v>80</v>
      </c>
      <c r="B27" s="72" t="s">
        <v>442</v>
      </c>
      <c r="C27" s="72" t="s">
        <v>357</v>
      </c>
      <c r="D27" s="72" t="s">
        <v>381</v>
      </c>
      <c r="E27" s="72" t="s">
        <v>436</v>
      </c>
      <c r="F27" s="72" t="s">
        <v>365</v>
      </c>
      <c r="G27" s="72" t="s">
        <v>348</v>
      </c>
      <c r="H27" s="72" t="s">
        <v>352</v>
      </c>
      <c r="I27" s="72" t="s">
        <v>460</v>
      </c>
      <c r="J27" s="72" t="s">
        <v>387</v>
      </c>
      <c r="K27" s="72" t="s">
        <v>345</v>
      </c>
      <c r="L27" s="72" t="s">
        <v>398</v>
      </c>
      <c r="M27" s="72" t="s">
        <v>354</v>
      </c>
      <c r="N27" s="72" t="s">
        <v>383</v>
      </c>
      <c r="O27" s="72" t="s">
        <v>459</v>
      </c>
      <c r="P27" s="72" t="s">
        <v>365</v>
      </c>
    </row>
    <row r="28" spans="1:16" ht="12" hidden="1" customHeight="1" thickBot="1">
      <c r="A28" s="1">
        <v>82</v>
      </c>
      <c r="B28" s="73" t="s">
        <v>458</v>
      </c>
      <c r="C28" s="73" t="s">
        <v>352</v>
      </c>
      <c r="D28" s="73" t="s">
        <v>457</v>
      </c>
      <c r="E28" s="73" t="s">
        <v>371</v>
      </c>
      <c r="F28" s="73" t="s">
        <v>422</v>
      </c>
      <c r="G28" s="73" t="s">
        <v>389</v>
      </c>
      <c r="H28" s="73" t="s">
        <v>383</v>
      </c>
      <c r="I28" s="73" t="s">
        <v>456</v>
      </c>
      <c r="J28" s="73" t="s">
        <v>455</v>
      </c>
      <c r="K28" s="73" t="s">
        <v>411</v>
      </c>
      <c r="L28" s="73" t="s">
        <v>349</v>
      </c>
      <c r="M28" s="73" t="s">
        <v>348</v>
      </c>
      <c r="N28" s="73" t="s">
        <v>373</v>
      </c>
      <c r="O28" s="73" t="s">
        <v>454</v>
      </c>
      <c r="P28" s="73" t="s">
        <v>364</v>
      </c>
    </row>
    <row r="29" spans="1:16" ht="12" hidden="1" customHeight="1" thickBot="1">
      <c r="A29" s="1">
        <v>84</v>
      </c>
      <c r="B29" s="72" t="s">
        <v>381</v>
      </c>
      <c r="C29" s="72" t="s">
        <v>453</v>
      </c>
      <c r="D29" s="72" t="s">
        <v>351</v>
      </c>
      <c r="E29" s="72" t="s">
        <v>380</v>
      </c>
      <c r="F29" s="72" t="s">
        <v>368</v>
      </c>
      <c r="G29" s="72" t="s">
        <v>377</v>
      </c>
      <c r="H29" s="72" t="s">
        <v>452</v>
      </c>
      <c r="I29" s="72" t="s">
        <v>451</v>
      </c>
      <c r="J29" s="72" t="s">
        <v>450</v>
      </c>
      <c r="K29" s="72" t="s">
        <v>352</v>
      </c>
      <c r="L29" s="72" t="s">
        <v>408</v>
      </c>
      <c r="M29" s="72" t="s">
        <v>449</v>
      </c>
      <c r="N29" s="72" t="s">
        <v>361</v>
      </c>
      <c r="O29" s="72" t="s">
        <v>448</v>
      </c>
      <c r="P29" s="72" t="s">
        <v>368</v>
      </c>
    </row>
    <row r="30" spans="1:16" ht="12" hidden="1" customHeight="1" thickBot="1">
      <c r="A30" s="1">
        <v>86</v>
      </c>
      <c r="B30" s="73" t="s">
        <v>447</v>
      </c>
      <c r="C30" s="73" t="s">
        <v>368</v>
      </c>
      <c r="D30" s="73" t="s">
        <v>345</v>
      </c>
      <c r="E30" s="73" t="s">
        <v>399</v>
      </c>
      <c r="F30" s="73" t="s">
        <v>354</v>
      </c>
      <c r="G30" s="73" t="s">
        <v>367</v>
      </c>
      <c r="H30" s="73" t="s">
        <v>446</v>
      </c>
      <c r="I30" s="73" t="s">
        <v>445</v>
      </c>
      <c r="J30" s="73" t="s">
        <v>346</v>
      </c>
      <c r="K30" s="73" t="s">
        <v>350</v>
      </c>
      <c r="L30" s="73" t="s">
        <v>383</v>
      </c>
      <c r="M30" s="73" t="s">
        <v>444</v>
      </c>
      <c r="N30" s="73" t="s">
        <v>347</v>
      </c>
      <c r="O30" s="73" t="s">
        <v>443</v>
      </c>
      <c r="P30" s="73" t="s">
        <v>390</v>
      </c>
    </row>
    <row r="31" spans="1:16" ht="12" hidden="1" customHeight="1" thickBot="1">
      <c r="A31" s="1">
        <v>88</v>
      </c>
      <c r="B31" s="72" t="s">
        <v>442</v>
      </c>
      <c r="C31" s="72" t="s">
        <v>437</v>
      </c>
      <c r="D31" s="72" t="s">
        <v>434</v>
      </c>
      <c r="E31" s="72" t="s">
        <v>390</v>
      </c>
      <c r="F31" s="72" t="s">
        <v>441</v>
      </c>
      <c r="G31" s="72" t="s">
        <v>353</v>
      </c>
      <c r="H31" s="72" t="s">
        <v>440</v>
      </c>
      <c r="I31" s="72" t="s">
        <v>439</v>
      </c>
      <c r="J31" s="72" t="s">
        <v>438</v>
      </c>
      <c r="K31" s="72" t="s">
        <v>437</v>
      </c>
      <c r="L31" s="72" t="s">
        <v>345</v>
      </c>
      <c r="M31" s="72" t="s">
        <v>366</v>
      </c>
      <c r="N31" s="72" t="s">
        <v>348</v>
      </c>
      <c r="O31" s="72" t="s">
        <v>346</v>
      </c>
      <c r="P31" s="72" t="s">
        <v>436</v>
      </c>
    </row>
    <row r="32" spans="1:16" ht="12" hidden="1" customHeight="1" thickBot="1">
      <c r="A32" s="1">
        <v>90</v>
      </c>
      <c r="B32" s="74" t="s">
        <v>435</v>
      </c>
      <c r="C32" s="74" t="s">
        <v>385</v>
      </c>
      <c r="D32" s="74" t="s">
        <v>413</v>
      </c>
      <c r="E32" s="74" t="s">
        <v>416</v>
      </c>
      <c r="F32" s="74" t="s">
        <v>416</v>
      </c>
      <c r="G32" s="74" t="s">
        <v>392</v>
      </c>
      <c r="H32" s="74" t="s">
        <v>434</v>
      </c>
      <c r="I32" s="74" t="s">
        <v>433</v>
      </c>
      <c r="J32" s="74" t="s">
        <v>432</v>
      </c>
      <c r="K32" s="74" t="s">
        <v>392</v>
      </c>
      <c r="L32" s="74" t="s">
        <v>431</v>
      </c>
      <c r="M32" s="74" t="s">
        <v>416</v>
      </c>
      <c r="N32" s="74" t="s">
        <v>392</v>
      </c>
      <c r="O32" s="74" t="s">
        <v>430</v>
      </c>
      <c r="P32" s="74" t="s">
        <v>414</v>
      </c>
    </row>
    <row r="33" spans="1:16" ht="12" hidden="1" customHeight="1" thickBot="1">
      <c r="A33" s="1">
        <v>91</v>
      </c>
      <c r="B33" s="72" t="s">
        <v>391</v>
      </c>
      <c r="C33" s="72" t="s">
        <v>392</v>
      </c>
      <c r="D33" s="72" t="s">
        <v>429</v>
      </c>
      <c r="E33" s="72" t="s">
        <v>385</v>
      </c>
      <c r="F33" s="72" t="s">
        <v>392</v>
      </c>
      <c r="G33" s="72" t="s">
        <v>385</v>
      </c>
      <c r="H33" s="72" t="s">
        <v>392</v>
      </c>
      <c r="I33" s="72" t="s">
        <v>428</v>
      </c>
      <c r="J33" s="72" t="s">
        <v>427</v>
      </c>
      <c r="K33" s="72" t="s">
        <v>425</v>
      </c>
      <c r="L33" s="72" t="s">
        <v>426</v>
      </c>
      <c r="M33" s="72" t="s">
        <v>385</v>
      </c>
      <c r="N33" s="72" t="s">
        <v>425</v>
      </c>
      <c r="O33" s="72" t="s">
        <v>425</v>
      </c>
      <c r="P33" s="72" t="s">
        <v>385</v>
      </c>
    </row>
    <row r="34" spans="1:16" ht="12" hidden="1" customHeight="1" thickBot="1">
      <c r="A34" s="1">
        <v>92</v>
      </c>
      <c r="B34" s="73" t="s">
        <v>424</v>
      </c>
      <c r="C34" s="73" t="s">
        <v>414</v>
      </c>
      <c r="D34" s="73" t="s">
        <v>423</v>
      </c>
      <c r="E34" s="73" t="s">
        <v>392</v>
      </c>
      <c r="F34" s="73" t="s">
        <v>385</v>
      </c>
      <c r="G34" s="73" t="s">
        <v>380</v>
      </c>
      <c r="H34" s="73" t="s">
        <v>362</v>
      </c>
      <c r="I34" s="73" t="s">
        <v>422</v>
      </c>
      <c r="J34" s="73" t="s">
        <v>421</v>
      </c>
      <c r="K34" s="73" t="s">
        <v>420</v>
      </c>
      <c r="L34" s="73" t="s">
        <v>365</v>
      </c>
      <c r="M34" s="73" t="s">
        <v>414</v>
      </c>
      <c r="N34" s="73" t="s">
        <v>419</v>
      </c>
      <c r="O34" s="73" t="s">
        <v>405</v>
      </c>
      <c r="P34" s="73" t="s">
        <v>405</v>
      </c>
    </row>
    <row r="35" spans="1:16" ht="12" hidden="1" customHeight="1" thickBot="1">
      <c r="A35" s="1">
        <v>93</v>
      </c>
      <c r="B35" s="72" t="s">
        <v>418</v>
      </c>
      <c r="C35" s="72" t="s">
        <v>417</v>
      </c>
      <c r="D35" s="72" t="s">
        <v>416</v>
      </c>
      <c r="E35" s="72" t="s">
        <v>415</v>
      </c>
      <c r="F35" s="72" t="s">
        <v>414</v>
      </c>
      <c r="G35" s="72" t="s">
        <v>413</v>
      </c>
      <c r="H35" s="72" t="s">
        <v>412</v>
      </c>
      <c r="I35" s="72" t="s">
        <v>411</v>
      </c>
      <c r="J35" s="72" t="s">
        <v>410</v>
      </c>
      <c r="K35" s="72" t="s">
        <v>368</v>
      </c>
      <c r="L35" s="72" t="s">
        <v>409</v>
      </c>
      <c r="M35" s="72" t="s">
        <v>391</v>
      </c>
      <c r="N35" s="72" t="s">
        <v>409</v>
      </c>
      <c r="O35" s="72" t="s">
        <v>386</v>
      </c>
      <c r="P35" s="72" t="s">
        <v>392</v>
      </c>
    </row>
    <row r="36" spans="1:16" ht="12" hidden="1" customHeight="1" thickBot="1">
      <c r="A36" s="1">
        <v>94</v>
      </c>
      <c r="B36" s="73" t="s">
        <v>394</v>
      </c>
      <c r="C36" s="73" t="s">
        <v>351</v>
      </c>
      <c r="D36" s="73" t="s">
        <v>392</v>
      </c>
      <c r="E36" s="73" t="s">
        <v>374</v>
      </c>
      <c r="F36" s="73" t="s">
        <v>408</v>
      </c>
      <c r="G36" s="73" t="s">
        <v>407</v>
      </c>
      <c r="H36" s="73" t="s">
        <v>406</v>
      </c>
      <c r="I36" s="73" t="s">
        <v>375</v>
      </c>
      <c r="J36" s="73" t="s">
        <v>378</v>
      </c>
      <c r="K36" s="73" t="s">
        <v>405</v>
      </c>
      <c r="L36" s="73" t="s">
        <v>351</v>
      </c>
      <c r="M36" s="73" t="s">
        <v>392</v>
      </c>
      <c r="N36" s="73" t="s">
        <v>404</v>
      </c>
      <c r="O36" s="73" t="s">
        <v>403</v>
      </c>
      <c r="P36" s="73" t="s">
        <v>357</v>
      </c>
    </row>
    <row r="37" spans="1:16" ht="12" hidden="1" customHeight="1" thickBot="1">
      <c r="A37" s="1">
        <v>95</v>
      </c>
      <c r="B37" s="72" t="s">
        <v>402</v>
      </c>
      <c r="C37" s="72" t="s">
        <v>401</v>
      </c>
      <c r="D37" s="72" t="s">
        <v>400</v>
      </c>
      <c r="E37" s="72" t="s">
        <v>399</v>
      </c>
      <c r="F37" s="72" t="s">
        <v>395</v>
      </c>
      <c r="G37" s="72" t="s">
        <v>348</v>
      </c>
      <c r="H37" s="72" t="s">
        <v>398</v>
      </c>
      <c r="I37" s="72" t="s">
        <v>397</v>
      </c>
      <c r="J37" s="72" t="s">
        <v>396</v>
      </c>
      <c r="K37" s="72" t="s">
        <v>395</v>
      </c>
      <c r="L37" s="72" t="s">
        <v>372</v>
      </c>
      <c r="M37" s="72" t="s">
        <v>368</v>
      </c>
      <c r="N37" s="72" t="s">
        <v>394</v>
      </c>
      <c r="O37" s="72" t="s">
        <v>393</v>
      </c>
      <c r="P37" s="72" t="s">
        <v>364</v>
      </c>
    </row>
    <row r="38" spans="1:16" ht="12" hidden="1" customHeight="1" thickBot="1">
      <c r="A38" s="1">
        <v>96</v>
      </c>
      <c r="B38" s="73" t="s">
        <v>392</v>
      </c>
      <c r="C38" s="73" t="s">
        <v>372</v>
      </c>
      <c r="D38" s="73" t="s">
        <v>391</v>
      </c>
      <c r="E38" s="73" t="s">
        <v>390</v>
      </c>
      <c r="F38" s="73" t="s">
        <v>351</v>
      </c>
      <c r="G38" s="73" t="s">
        <v>389</v>
      </c>
      <c r="H38" s="73" t="s">
        <v>380</v>
      </c>
      <c r="I38" s="73" t="s">
        <v>388</v>
      </c>
      <c r="J38" s="73" t="s">
        <v>387</v>
      </c>
      <c r="K38" s="73" t="s">
        <v>386</v>
      </c>
      <c r="L38" s="73" t="s">
        <v>385</v>
      </c>
      <c r="M38" s="73" t="s">
        <v>384</v>
      </c>
      <c r="N38" s="73" t="s">
        <v>383</v>
      </c>
      <c r="O38" s="73" t="s">
        <v>382</v>
      </c>
      <c r="P38" s="73" t="s">
        <v>368</v>
      </c>
    </row>
    <row r="39" spans="1:16" ht="12" hidden="1" customHeight="1" thickBot="1">
      <c r="A39" s="1">
        <v>97</v>
      </c>
      <c r="B39" s="72" t="s">
        <v>381</v>
      </c>
      <c r="C39" s="72" t="s">
        <v>367</v>
      </c>
      <c r="D39" s="72" t="s">
        <v>380</v>
      </c>
      <c r="E39" s="72" t="s">
        <v>379</v>
      </c>
      <c r="F39" s="72" t="s">
        <v>378</v>
      </c>
      <c r="G39" s="72" t="s">
        <v>377</v>
      </c>
      <c r="H39" s="72" t="s">
        <v>356</v>
      </c>
      <c r="I39" s="72" t="s">
        <v>350</v>
      </c>
      <c r="J39" s="72" t="s">
        <v>376</v>
      </c>
      <c r="K39" s="72" t="s">
        <v>345</v>
      </c>
      <c r="L39" s="72" t="s">
        <v>375</v>
      </c>
      <c r="M39" s="72" t="s">
        <v>374</v>
      </c>
      <c r="N39" s="72" t="s">
        <v>373</v>
      </c>
      <c r="O39" s="72" t="s">
        <v>372</v>
      </c>
      <c r="P39" s="72" t="s">
        <v>371</v>
      </c>
    </row>
    <row r="40" spans="1:16" ht="12" hidden="1" customHeight="1" thickBot="1">
      <c r="A40" s="1">
        <v>98</v>
      </c>
      <c r="B40" s="73" t="s">
        <v>370</v>
      </c>
      <c r="C40" s="73" t="s">
        <v>352</v>
      </c>
      <c r="D40" s="73" t="s">
        <v>369</v>
      </c>
      <c r="E40" s="73" t="s">
        <v>349</v>
      </c>
      <c r="F40" s="73" t="s">
        <v>368</v>
      </c>
      <c r="G40" s="73" t="s">
        <v>367</v>
      </c>
      <c r="H40" s="73" t="s">
        <v>366</v>
      </c>
      <c r="I40" s="73" t="s">
        <v>365</v>
      </c>
      <c r="J40" s="73" t="s">
        <v>364</v>
      </c>
      <c r="K40" s="73" t="s">
        <v>363</v>
      </c>
      <c r="L40" s="73" t="s">
        <v>362</v>
      </c>
      <c r="M40" s="73" t="s">
        <v>354</v>
      </c>
      <c r="N40" s="73" t="s">
        <v>361</v>
      </c>
      <c r="O40" s="73" t="s">
        <v>360</v>
      </c>
      <c r="P40" s="73" t="s">
        <v>359</v>
      </c>
    </row>
    <row r="41" spans="1:16" ht="12" hidden="1" customHeight="1" thickBot="1">
      <c r="A41" s="1">
        <v>99</v>
      </c>
      <c r="B41" s="72" t="s">
        <v>358</v>
      </c>
      <c r="C41" s="72" t="s">
        <v>357</v>
      </c>
      <c r="D41" s="72" t="s">
        <v>356</v>
      </c>
      <c r="E41" s="72" t="s">
        <v>355</v>
      </c>
      <c r="F41" s="72" t="s">
        <v>354</v>
      </c>
      <c r="G41" s="72" t="s">
        <v>353</v>
      </c>
      <c r="H41" s="72" t="s">
        <v>352</v>
      </c>
      <c r="I41" s="72" t="s">
        <v>351</v>
      </c>
      <c r="J41" s="72" t="s">
        <v>346</v>
      </c>
      <c r="K41" s="72" t="s">
        <v>350</v>
      </c>
      <c r="L41" s="72" t="s">
        <v>349</v>
      </c>
      <c r="M41" s="72" t="s">
        <v>348</v>
      </c>
      <c r="N41" s="72" t="s">
        <v>347</v>
      </c>
      <c r="O41" s="72" t="s">
        <v>346</v>
      </c>
      <c r="P41" s="72" t="s">
        <v>345</v>
      </c>
    </row>
    <row r="42" spans="1:16" ht="12" customHeight="1" thickBot="1">
      <c r="A42" s="4" t="s">
        <v>2454</v>
      </c>
    </row>
    <row r="43" spans="1:16" ht="12" customHeight="1" thickBot="1">
      <c r="B43" s="833" t="s">
        <v>344</v>
      </c>
      <c r="C43" s="834" t="s">
        <v>343</v>
      </c>
      <c r="D43" s="834" t="s">
        <v>342</v>
      </c>
      <c r="E43" s="834" t="s">
        <v>341</v>
      </c>
      <c r="F43" s="834" t="s">
        <v>340</v>
      </c>
      <c r="G43" s="834" t="s">
        <v>339</v>
      </c>
      <c r="H43" s="834" t="s">
        <v>338</v>
      </c>
      <c r="I43" s="835" t="s">
        <v>337</v>
      </c>
    </row>
    <row r="44" spans="1:16" s="5" customFormat="1" ht="12" customHeight="1">
      <c r="A44" s="842" t="s">
        <v>329</v>
      </c>
      <c r="B44" s="836">
        <v>0</v>
      </c>
      <c r="C44" s="837">
        <v>0</v>
      </c>
      <c r="D44" s="837">
        <v>49</v>
      </c>
      <c r="E44" s="837">
        <v>0</v>
      </c>
      <c r="F44" s="837">
        <v>49</v>
      </c>
      <c r="G44" s="837">
        <v>0</v>
      </c>
      <c r="H44" s="837">
        <v>0</v>
      </c>
      <c r="I44" s="838">
        <v>0</v>
      </c>
    </row>
    <row r="45" spans="1:16" ht="12" customHeight="1" thickBot="1">
      <c r="A45" s="843"/>
      <c r="B45" s="839"/>
      <c r="C45" s="840"/>
      <c r="D45" s="840"/>
      <c r="E45" s="840"/>
      <c r="F45" s="840"/>
      <c r="G45" s="840"/>
      <c r="H45" s="840"/>
      <c r="I45" s="841"/>
    </row>
    <row r="46" spans="1:16" ht="12" customHeight="1">
      <c r="A46" s="71">
        <v>1</v>
      </c>
      <c r="B46" s="829" t="str">
        <f t="shared" ref="B46:I55" ca="1" si="0">IF(ROUND(B$44/5,0)&gt;=$A46,LOOKUP(RANDBETWEEN(1,100),$A$2:$A$41,B$2:B$41)," ")</f>
        <v xml:space="preserve"> </v>
      </c>
      <c r="C46" s="609" t="str">
        <f t="shared" ca="1" si="0"/>
        <v xml:space="preserve"> </v>
      </c>
      <c r="D46" s="609" t="str">
        <f t="shared" ca="1" si="0"/>
        <v>Casfan</v>
      </c>
      <c r="E46" s="609" t="str">
        <f t="shared" ca="1" si="0"/>
        <v xml:space="preserve"> </v>
      </c>
      <c r="F46" s="609" t="str">
        <f t="shared" ca="1" si="0"/>
        <v>Taureau vert</v>
      </c>
      <c r="G46" s="609" t="str">
        <f t="shared" ca="1" si="0"/>
        <v xml:space="preserve"> </v>
      </c>
      <c r="H46" s="609" t="str">
        <f t="shared" ca="1" si="0"/>
        <v xml:space="preserve"> </v>
      </c>
      <c r="I46" s="610" t="str">
        <f t="shared" ca="1" si="0"/>
        <v xml:space="preserve"> </v>
      </c>
    </row>
    <row r="47" spans="1:16" s="66" customFormat="1" ht="12" customHeight="1">
      <c r="A47" s="68">
        <v>2</v>
      </c>
      <c r="B47" s="830" t="str">
        <f t="shared" ca="1" si="0"/>
        <v xml:space="preserve"> </v>
      </c>
      <c r="C47" s="611" t="str">
        <f t="shared" ca="1" si="0"/>
        <v xml:space="preserve"> </v>
      </c>
      <c r="D47" s="611" t="str">
        <f t="shared" ca="1" si="0"/>
        <v>Irnolo des forêts</v>
      </c>
      <c r="E47" s="611" t="str">
        <f t="shared" ca="1" si="0"/>
        <v xml:space="preserve"> </v>
      </c>
      <c r="F47" s="611" t="str">
        <f t="shared" ca="1" si="0"/>
        <v>Cyclom</v>
      </c>
      <c r="G47" s="611" t="str">
        <f t="shared" ca="1" si="0"/>
        <v xml:space="preserve"> </v>
      </c>
      <c r="H47" s="611" t="str">
        <f t="shared" ca="1" si="0"/>
        <v xml:space="preserve"> </v>
      </c>
      <c r="I47" s="612" t="str">
        <f t="shared" ca="1" si="0"/>
        <v xml:space="preserve"> </v>
      </c>
    </row>
    <row r="48" spans="1:16" ht="12" customHeight="1">
      <c r="A48" s="55">
        <v>3</v>
      </c>
      <c r="B48" s="831" t="str">
        <f t="shared" ca="1" si="0"/>
        <v xml:space="preserve"> </v>
      </c>
      <c r="C48" s="613" t="str">
        <f t="shared" ca="1" si="0"/>
        <v xml:space="preserve"> </v>
      </c>
      <c r="D48" s="613" t="str">
        <f t="shared" ca="1" si="0"/>
        <v>Sirpent</v>
      </c>
      <c r="E48" s="613" t="str">
        <f t="shared" ca="1" si="0"/>
        <v xml:space="preserve"> </v>
      </c>
      <c r="F48" s="613" t="str">
        <f t="shared" ca="1" si="0"/>
        <v>Catel</v>
      </c>
      <c r="G48" s="613" t="str">
        <f t="shared" ca="1" si="0"/>
        <v xml:space="preserve"> </v>
      </c>
      <c r="H48" s="613" t="str">
        <f t="shared" ca="1" si="0"/>
        <v xml:space="preserve"> </v>
      </c>
      <c r="I48" s="614" t="str">
        <f t="shared" ca="1" si="0"/>
        <v xml:space="preserve"> </v>
      </c>
    </row>
    <row r="49" spans="1:9" s="69" customFormat="1" ht="12" customHeight="1">
      <c r="A49" s="70">
        <v>4</v>
      </c>
      <c r="B49" s="830" t="str">
        <f t="shared" ca="1" si="0"/>
        <v xml:space="preserve"> </v>
      </c>
      <c r="C49" s="611" t="str">
        <f t="shared" ca="1" si="0"/>
        <v xml:space="preserve"> </v>
      </c>
      <c r="D49" s="611" t="str">
        <f t="shared" ca="1" si="0"/>
        <v>Casfan</v>
      </c>
      <c r="E49" s="611" t="str">
        <f t="shared" ca="1" si="0"/>
        <v xml:space="preserve"> </v>
      </c>
      <c r="F49" s="611" t="str">
        <f t="shared" ca="1" si="0"/>
        <v>Irnolo des marais</v>
      </c>
      <c r="G49" s="611" t="str">
        <f t="shared" ca="1" si="0"/>
        <v xml:space="preserve"> </v>
      </c>
      <c r="H49" s="611" t="str">
        <f t="shared" ca="1" si="0"/>
        <v xml:space="preserve"> </v>
      </c>
      <c r="I49" s="612" t="str">
        <f t="shared" ca="1" si="0"/>
        <v xml:space="preserve"> </v>
      </c>
    </row>
    <row r="50" spans="1:9" ht="12" customHeight="1">
      <c r="A50" s="55">
        <v>5</v>
      </c>
      <c r="B50" s="831" t="str">
        <f t="shared" ca="1" si="0"/>
        <v xml:space="preserve"> </v>
      </c>
      <c r="C50" s="613" t="str">
        <f t="shared" ca="1" si="0"/>
        <v xml:space="preserve"> </v>
      </c>
      <c r="D50" s="613" t="str">
        <f t="shared" ca="1" si="0"/>
        <v>Casfan</v>
      </c>
      <c r="E50" s="613" t="str">
        <f t="shared" ca="1" si="0"/>
        <v xml:space="preserve"> </v>
      </c>
      <c r="F50" s="613" t="str">
        <f t="shared" ca="1" si="0"/>
        <v>Minotaure</v>
      </c>
      <c r="G50" s="613" t="str">
        <f t="shared" ca="1" si="0"/>
        <v xml:space="preserve"> </v>
      </c>
      <c r="H50" s="613" t="str">
        <f t="shared" ca="1" si="0"/>
        <v xml:space="preserve"> </v>
      </c>
      <c r="I50" s="614" t="str">
        <f t="shared" ca="1" si="0"/>
        <v xml:space="preserve"> </v>
      </c>
    </row>
    <row r="51" spans="1:9" s="66" customFormat="1" ht="12" customHeight="1">
      <c r="A51" s="68">
        <v>6</v>
      </c>
      <c r="B51" s="830" t="str">
        <f t="shared" ca="1" si="0"/>
        <v xml:space="preserve"> </v>
      </c>
      <c r="C51" s="611" t="str">
        <f t="shared" ca="1" si="0"/>
        <v xml:space="preserve"> </v>
      </c>
      <c r="D51" s="611" t="str">
        <f t="shared" ca="1" si="0"/>
        <v>Chien baveur</v>
      </c>
      <c r="E51" s="611" t="str">
        <f t="shared" ca="1" si="0"/>
        <v xml:space="preserve"> </v>
      </c>
      <c r="F51" s="611" t="str">
        <f t="shared" ca="1" si="0"/>
        <v>Lyrch</v>
      </c>
      <c r="G51" s="611" t="str">
        <f t="shared" ca="1" si="0"/>
        <v xml:space="preserve"> </v>
      </c>
      <c r="H51" s="611" t="str">
        <f t="shared" ca="1" si="0"/>
        <v xml:space="preserve"> </v>
      </c>
      <c r="I51" s="612" t="str">
        <f t="shared" ca="1" si="0"/>
        <v xml:space="preserve"> </v>
      </c>
    </row>
    <row r="52" spans="1:9" ht="12" customHeight="1">
      <c r="A52" s="55">
        <v>7</v>
      </c>
      <c r="B52" s="831" t="str">
        <f t="shared" ca="1" si="0"/>
        <v xml:space="preserve"> </v>
      </c>
      <c r="C52" s="613" t="str">
        <f t="shared" ca="1" si="0"/>
        <v xml:space="preserve"> </v>
      </c>
      <c r="D52" s="613" t="str">
        <f t="shared" ca="1" si="0"/>
        <v>Chiméara</v>
      </c>
      <c r="E52" s="613" t="str">
        <f t="shared" ca="1" si="0"/>
        <v xml:space="preserve"> </v>
      </c>
      <c r="F52" s="613" t="str">
        <f t="shared" ca="1" si="0"/>
        <v>Blanc serpent</v>
      </c>
      <c r="G52" s="613" t="str">
        <f t="shared" ca="1" si="0"/>
        <v xml:space="preserve"> </v>
      </c>
      <c r="H52" s="613" t="str">
        <f t="shared" ca="1" si="0"/>
        <v xml:space="preserve"> </v>
      </c>
      <c r="I52" s="614" t="str">
        <f t="shared" ca="1" si="0"/>
        <v xml:space="preserve"> </v>
      </c>
    </row>
    <row r="53" spans="1:9" s="66" customFormat="1" ht="12" customHeight="1">
      <c r="A53" s="68">
        <v>8</v>
      </c>
      <c r="B53" s="830" t="str">
        <f t="shared" ca="1" si="0"/>
        <v xml:space="preserve"> </v>
      </c>
      <c r="C53" s="611" t="str">
        <f t="shared" ca="1" si="0"/>
        <v xml:space="preserve"> </v>
      </c>
      <c r="D53" s="611" t="str">
        <f t="shared" ca="1" si="0"/>
        <v>Grandsage</v>
      </c>
      <c r="E53" s="611" t="str">
        <f t="shared" ca="1" si="0"/>
        <v xml:space="preserve"> </v>
      </c>
      <c r="F53" s="611" t="str">
        <f t="shared" ca="1" si="0"/>
        <v>Grantom des tempêtes</v>
      </c>
      <c r="G53" s="611" t="str">
        <f t="shared" ca="1" si="0"/>
        <v xml:space="preserve"> </v>
      </c>
      <c r="H53" s="611" t="str">
        <f t="shared" ca="1" si="0"/>
        <v xml:space="preserve"> </v>
      </c>
      <c r="I53" s="612" t="str">
        <f t="shared" ca="1" si="0"/>
        <v xml:space="preserve"> </v>
      </c>
    </row>
    <row r="54" spans="1:9" ht="12" customHeight="1">
      <c r="A54" s="55">
        <v>9</v>
      </c>
      <c r="B54" s="831" t="str">
        <f t="shared" ca="1" si="0"/>
        <v xml:space="preserve"> </v>
      </c>
      <c r="C54" s="613" t="str">
        <f t="shared" ca="1" si="0"/>
        <v xml:space="preserve"> </v>
      </c>
      <c r="D54" s="613" t="str">
        <f t="shared" ca="1" si="0"/>
        <v>Irnolo des marais</v>
      </c>
      <c r="E54" s="613" t="str">
        <f t="shared" ca="1" si="0"/>
        <v xml:space="preserve"> </v>
      </c>
      <c r="F54" s="613" t="str">
        <f t="shared" ca="1" si="0"/>
        <v>Cyclom</v>
      </c>
      <c r="G54" s="613" t="str">
        <f t="shared" ca="1" si="0"/>
        <v xml:space="preserve"> </v>
      </c>
      <c r="H54" s="613" t="str">
        <f t="shared" ca="1" si="0"/>
        <v xml:space="preserve"> </v>
      </c>
      <c r="I54" s="614" t="str">
        <f t="shared" ca="1" si="0"/>
        <v xml:space="preserve"> </v>
      </c>
    </row>
    <row r="55" spans="1:9" s="66" customFormat="1" ht="12" customHeight="1">
      <c r="A55" s="68">
        <v>10</v>
      </c>
      <c r="B55" s="830" t="str">
        <f t="shared" ca="1" si="0"/>
        <v xml:space="preserve"> </v>
      </c>
      <c r="C55" s="611" t="str">
        <f t="shared" ca="1" si="0"/>
        <v xml:space="preserve"> </v>
      </c>
      <c r="D55" s="611" t="str">
        <f t="shared" ca="1" si="0"/>
        <v>Ondine</v>
      </c>
      <c r="E55" s="611" t="str">
        <f t="shared" ca="1" si="0"/>
        <v xml:space="preserve"> </v>
      </c>
      <c r="F55" s="611" t="str">
        <f t="shared" ca="1" si="0"/>
        <v>Chien baveur</v>
      </c>
      <c r="G55" s="611" t="str">
        <f t="shared" ca="1" si="0"/>
        <v xml:space="preserve"> </v>
      </c>
      <c r="H55" s="611" t="str">
        <f t="shared" ca="1" si="0"/>
        <v xml:space="preserve"> </v>
      </c>
      <c r="I55" s="612" t="str">
        <f t="shared" ca="1" si="0"/>
        <v xml:space="preserve"> </v>
      </c>
    </row>
    <row r="56" spans="1:9" ht="12" customHeight="1">
      <c r="A56" s="55">
        <v>11</v>
      </c>
      <c r="B56" s="831" t="str">
        <f t="shared" ref="B56:I61" ca="1" si="1">IF(ROUND(B$44/5,0)&gt;=$A56,LOOKUP(RANDBETWEEN(1,100),$A$2:$A$41,B$2:B$41)," ")</f>
        <v xml:space="preserve"> </v>
      </c>
      <c r="C56" s="613" t="str">
        <f t="shared" ca="1" si="1"/>
        <v xml:space="preserve"> </v>
      </c>
      <c r="D56" s="613" t="str">
        <f t="shared" ca="1" si="1"/>
        <v xml:space="preserve"> </v>
      </c>
      <c r="E56" s="613" t="str">
        <f t="shared" ca="1" si="1"/>
        <v xml:space="preserve"> </v>
      </c>
      <c r="F56" s="613" t="str">
        <f t="shared" ca="1" si="1"/>
        <v xml:space="preserve"> </v>
      </c>
      <c r="G56" s="613" t="str">
        <f t="shared" ca="1" si="1"/>
        <v xml:space="preserve"> </v>
      </c>
      <c r="H56" s="613" t="str">
        <f t="shared" ca="1" si="1"/>
        <v xml:space="preserve"> </v>
      </c>
      <c r="I56" s="614" t="str">
        <f t="shared" ca="1" si="1"/>
        <v xml:space="preserve"> </v>
      </c>
    </row>
    <row r="57" spans="1:9" s="66" customFormat="1" ht="12" customHeight="1">
      <c r="A57" s="68">
        <v>12</v>
      </c>
      <c r="B57" s="830" t="str">
        <f t="shared" ca="1" si="1"/>
        <v xml:space="preserve"> </v>
      </c>
      <c r="C57" s="611" t="str">
        <f t="shared" ca="1" si="1"/>
        <v xml:space="preserve"> </v>
      </c>
      <c r="D57" s="611" t="str">
        <f t="shared" ca="1" si="1"/>
        <v xml:space="preserve"> </v>
      </c>
      <c r="E57" s="611" t="str">
        <f t="shared" ca="1" si="1"/>
        <v xml:space="preserve"> </v>
      </c>
      <c r="F57" s="611" t="str">
        <f t="shared" ca="1" si="1"/>
        <v xml:space="preserve"> </v>
      </c>
      <c r="G57" s="611" t="str">
        <f t="shared" ca="1" si="1"/>
        <v xml:space="preserve"> </v>
      </c>
      <c r="H57" s="611" t="str">
        <f t="shared" ca="1" si="1"/>
        <v xml:space="preserve"> </v>
      </c>
      <c r="I57" s="612" t="str">
        <f t="shared" ca="1" si="1"/>
        <v xml:space="preserve"> </v>
      </c>
    </row>
    <row r="58" spans="1:9" ht="12" customHeight="1">
      <c r="A58" s="55">
        <v>13</v>
      </c>
      <c r="B58" s="831" t="str">
        <f t="shared" ca="1" si="1"/>
        <v xml:space="preserve"> </v>
      </c>
      <c r="C58" s="613" t="str">
        <f t="shared" ca="1" si="1"/>
        <v xml:space="preserve"> </v>
      </c>
      <c r="D58" s="613" t="str">
        <f t="shared" ca="1" si="1"/>
        <v xml:space="preserve"> </v>
      </c>
      <c r="E58" s="613" t="str">
        <f t="shared" ca="1" si="1"/>
        <v xml:space="preserve"> </v>
      </c>
      <c r="F58" s="613" t="str">
        <f t="shared" ca="1" si="1"/>
        <v xml:space="preserve"> </v>
      </c>
      <c r="G58" s="613" t="str">
        <f t="shared" ca="1" si="1"/>
        <v xml:space="preserve"> </v>
      </c>
      <c r="H58" s="613" t="str">
        <f t="shared" ca="1" si="1"/>
        <v xml:space="preserve"> </v>
      </c>
      <c r="I58" s="614" t="str">
        <f t="shared" ca="1" si="1"/>
        <v xml:space="preserve"> </v>
      </c>
    </row>
    <row r="59" spans="1:9" s="66" customFormat="1" ht="12" customHeight="1">
      <c r="A59" s="68">
        <v>14</v>
      </c>
      <c r="B59" s="830" t="str">
        <f t="shared" ca="1" si="1"/>
        <v xml:space="preserve"> </v>
      </c>
      <c r="C59" s="611" t="str">
        <f t="shared" ca="1" si="1"/>
        <v xml:space="preserve"> </v>
      </c>
      <c r="D59" s="611" t="str">
        <f t="shared" ca="1" si="1"/>
        <v xml:space="preserve"> </v>
      </c>
      <c r="E59" s="611" t="str">
        <f t="shared" ca="1" si="1"/>
        <v xml:space="preserve"> </v>
      </c>
      <c r="F59" s="611" t="str">
        <f t="shared" ca="1" si="1"/>
        <v xml:space="preserve"> </v>
      </c>
      <c r="G59" s="611" t="str">
        <f t="shared" ca="1" si="1"/>
        <v xml:space="preserve"> </v>
      </c>
      <c r="H59" s="611" t="str">
        <f t="shared" ca="1" si="1"/>
        <v xml:space="preserve"> </v>
      </c>
      <c r="I59" s="612" t="str">
        <f t="shared" ca="1" si="1"/>
        <v xml:space="preserve"> </v>
      </c>
    </row>
    <row r="60" spans="1:9" ht="12" customHeight="1">
      <c r="A60" s="55">
        <v>15</v>
      </c>
      <c r="B60" s="831" t="str">
        <f t="shared" ca="1" si="1"/>
        <v xml:space="preserve"> </v>
      </c>
      <c r="C60" s="613" t="str">
        <f t="shared" ca="1" si="1"/>
        <v xml:space="preserve"> </v>
      </c>
      <c r="D60" s="613" t="str">
        <f t="shared" ca="1" si="1"/>
        <v xml:space="preserve"> </v>
      </c>
      <c r="E60" s="613" t="str">
        <f t="shared" ca="1" si="1"/>
        <v xml:space="preserve"> </v>
      </c>
      <c r="F60" s="613" t="str">
        <f t="shared" ca="1" si="1"/>
        <v xml:space="preserve"> </v>
      </c>
      <c r="G60" s="613" t="str">
        <f t="shared" ca="1" si="1"/>
        <v xml:space="preserve"> </v>
      </c>
      <c r="H60" s="613" t="str">
        <f t="shared" ca="1" si="1"/>
        <v xml:space="preserve"> </v>
      </c>
      <c r="I60" s="614" t="str">
        <f t="shared" ca="1" si="1"/>
        <v xml:space="preserve"> </v>
      </c>
    </row>
    <row r="61" spans="1:9" s="66" customFormat="1" ht="12" customHeight="1" thickBot="1">
      <c r="A61" s="67">
        <v>16</v>
      </c>
      <c r="B61" s="832" t="str">
        <f t="shared" ca="1" si="1"/>
        <v xml:space="preserve"> </v>
      </c>
      <c r="C61" s="615" t="str">
        <f t="shared" ca="1" si="1"/>
        <v xml:space="preserve"> </v>
      </c>
      <c r="D61" s="615" t="str">
        <f t="shared" ca="1" si="1"/>
        <v xml:space="preserve"> </v>
      </c>
      <c r="E61" s="615" t="str">
        <f t="shared" ca="1" si="1"/>
        <v xml:space="preserve"> </v>
      </c>
      <c r="F61" s="615" t="str">
        <f t="shared" ca="1" si="1"/>
        <v xml:space="preserve"> </v>
      </c>
      <c r="G61" s="615" t="str">
        <f t="shared" ca="1" si="1"/>
        <v xml:space="preserve"> </v>
      </c>
      <c r="H61" s="615" t="str">
        <f t="shared" ca="1" si="1"/>
        <v xml:space="preserve"> </v>
      </c>
      <c r="I61" s="616" t="str">
        <f t="shared" ca="1" si="1"/>
        <v xml:space="preserve"> </v>
      </c>
    </row>
    <row r="62" spans="1:9" ht="12" customHeight="1">
      <c r="B62" s="833" t="s">
        <v>336</v>
      </c>
      <c r="C62" s="834" t="s">
        <v>335</v>
      </c>
      <c r="D62" s="834" t="s">
        <v>334</v>
      </c>
      <c r="E62" s="834" t="s">
        <v>333</v>
      </c>
      <c r="F62" s="834" t="s">
        <v>332</v>
      </c>
      <c r="G62" s="834" t="s">
        <v>331</v>
      </c>
      <c r="H62" s="835" t="s">
        <v>330</v>
      </c>
    </row>
    <row r="63" spans="1:9" ht="12" customHeight="1">
      <c r="A63" s="1" t="s">
        <v>329</v>
      </c>
      <c r="B63" s="836">
        <v>0</v>
      </c>
      <c r="C63" s="837">
        <v>49</v>
      </c>
      <c r="D63" s="837">
        <v>0</v>
      </c>
      <c r="E63" s="837">
        <v>0</v>
      </c>
      <c r="F63" s="837">
        <v>0</v>
      </c>
      <c r="G63" s="837">
        <v>0</v>
      </c>
      <c r="H63" s="838">
        <v>0</v>
      </c>
    </row>
    <row r="64" spans="1:9" ht="12" customHeight="1" thickBot="1">
      <c r="B64" s="839"/>
      <c r="C64" s="840"/>
      <c r="D64" s="840"/>
      <c r="E64" s="840"/>
      <c r="F64" s="840"/>
      <c r="G64" s="840"/>
      <c r="H64" s="841"/>
    </row>
    <row r="65" spans="1:8" ht="12" customHeight="1">
      <c r="A65" s="71">
        <v>1</v>
      </c>
      <c r="B65" s="609" t="str">
        <f t="shared" ref="B65:B80" ca="1" si="2">IF(ROUND(B$63/5,0)&gt;=$A46,LOOKUP(RANDBETWEEN(1,100),$A$2:$A$41,J$2:J$41)," ")</f>
        <v xml:space="preserve"> </v>
      </c>
      <c r="C65" s="609" t="str">
        <f t="shared" ref="C65:C80" ca="1" si="3">IF(ROUND(C$63/5,0)&gt;=$A46,LOOKUP(RANDBETWEEN(1,100),$A$2:$A$41,K$2:K$41)," ")</f>
        <v>Griffor</v>
      </c>
      <c r="D65" s="609" t="str">
        <f t="shared" ref="D65:D80" ca="1" si="4">IF(ROUND(D$63/5,0)&gt;=$A46,LOOKUP(RANDBETWEEN(1,100),$A$2:$A$41,L$2:L$41)," ")</f>
        <v xml:space="preserve"> </v>
      </c>
      <c r="E65" s="609" t="str">
        <f t="shared" ref="E65:E80" ca="1" si="5">IF(ROUND(E$63/5,0)&gt;=$A46,LOOKUP(RANDBETWEEN(1,100),$A$2:$A$41,M$2:M$41)," ")</f>
        <v xml:space="preserve"> </v>
      </c>
      <c r="F65" s="609" t="str">
        <f t="shared" ref="F65:F80" ca="1" si="6">IF(ROUND(F$63/5,0)&gt;=$A46,LOOKUP(RANDBETWEEN(1,100),$A$2:$A$41,N$2:N$41)," ")</f>
        <v xml:space="preserve"> </v>
      </c>
      <c r="G65" s="609" t="str">
        <f t="shared" ref="G65:G80" ca="1" si="7">IF(ROUND(G$63/5,0)&gt;=$A46,LOOKUP(RANDBETWEEN(1,100),$A$2:$A$41,O$2:O$41)," ")</f>
        <v xml:space="preserve"> </v>
      </c>
      <c r="H65" s="610" t="str">
        <f t="shared" ref="H65:H80" ca="1" si="8">IF(ROUND(H$63/5,0)&gt;=$A46,LOOKUP(RANDBETWEEN(1,100),$A$2:$A$41,P$2:P$41)," ")</f>
        <v xml:space="preserve"> </v>
      </c>
    </row>
    <row r="66" spans="1:8" ht="12" customHeight="1">
      <c r="A66" s="68">
        <v>2</v>
      </c>
      <c r="B66" s="611" t="str">
        <f t="shared" ca="1" si="2"/>
        <v xml:space="preserve"> </v>
      </c>
      <c r="C66" s="611" t="str">
        <f t="shared" ca="1" si="3"/>
        <v>Moinange</v>
      </c>
      <c r="D66" s="611" t="str">
        <f t="shared" ca="1" si="4"/>
        <v xml:space="preserve"> </v>
      </c>
      <c r="E66" s="611" t="str">
        <f t="shared" ca="1" si="5"/>
        <v xml:space="preserve"> </v>
      </c>
      <c r="F66" s="611" t="str">
        <f t="shared" ca="1" si="6"/>
        <v xml:space="preserve"> </v>
      </c>
      <c r="G66" s="611" t="str">
        <f t="shared" ca="1" si="7"/>
        <v xml:space="preserve"> </v>
      </c>
      <c r="H66" s="612" t="str">
        <f t="shared" ca="1" si="8"/>
        <v xml:space="preserve"> </v>
      </c>
    </row>
    <row r="67" spans="1:8" ht="12" customHeight="1">
      <c r="A67" s="55">
        <v>3</v>
      </c>
      <c r="B67" s="613" t="str">
        <f t="shared" ca="1" si="2"/>
        <v xml:space="preserve"> </v>
      </c>
      <c r="C67" s="613" t="str">
        <f t="shared" ca="1" si="3"/>
        <v>Fidelius</v>
      </c>
      <c r="D67" s="613" t="str">
        <f t="shared" ca="1" si="4"/>
        <v xml:space="preserve"> </v>
      </c>
      <c r="E67" s="613" t="str">
        <f t="shared" ca="1" si="5"/>
        <v xml:space="preserve"> </v>
      </c>
      <c r="F67" s="613" t="str">
        <f t="shared" ca="1" si="6"/>
        <v xml:space="preserve"> </v>
      </c>
      <c r="G67" s="613" t="str">
        <f t="shared" ca="1" si="7"/>
        <v xml:space="preserve"> </v>
      </c>
      <c r="H67" s="614" t="str">
        <f t="shared" ca="1" si="8"/>
        <v xml:space="preserve"> </v>
      </c>
    </row>
    <row r="68" spans="1:8" ht="12" customHeight="1">
      <c r="A68" s="70">
        <v>4</v>
      </c>
      <c r="B68" s="611" t="str">
        <f t="shared" ca="1" si="2"/>
        <v xml:space="preserve"> </v>
      </c>
      <c r="C68" s="611" t="str">
        <f t="shared" ca="1" si="3"/>
        <v>Yuze</v>
      </c>
      <c r="D68" s="611" t="str">
        <f t="shared" ca="1" si="4"/>
        <v xml:space="preserve"> </v>
      </c>
      <c r="E68" s="611" t="str">
        <f t="shared" ca="1" si="5"/>
        <v xml:space="preserve"> </v>
      </c>
      <c r="F68" s="611" t="str">
        <f t="shared" ca="1" si="6"/>
        <v xml:space="preserve"> </v>
      </c>
      <c r="G68" s="611" t="str">
        <f t="shared" ca="1" si="7"/>
        <v xml:space="preserve"> </v>
      </c>
      <c r="H68" s="612" t="str">
        <f t="shared" ca="1" si="8"/>
        <v xml:space="preserve"> </v>
      </c>
    </row>
    <row r="69" spans="1:8" ht="12" customHeight="1">
      <c r="A69" s="55">
        <v>5</v>
      </c>
      <c r="B69" s="613" t="str">
        <f t="shared" ca="1" si="2"/>
        <v xml:space="preserve"> </v>
      </c>
      <c r="C69" s="613" t="str">
        <f t="shared" ca="1" si="3"/>
        <v>Corne divine</v>
      </c>
      <c r="D69" s="613" t="str">
        <f t="shared" ca="1" si="4"/>
        <v xml:space="preserve"> </v>
      </c>
      <c r="E69" s="613" t="str">
        <f t="shared" ca="1" si="5"/>
        <v xml:space="preserve"> </v>
      </c>
      <c r="F69" s="613" t="str">
        <f t="shared" ca="1" si="6"/>
        <v xml:space="preserve"> </v>
      </c>
      <c r="G69" s="613" t="str">
        <f t="shared" ca="1" si="7"/>
        <v xml:space="preserve"> </v>
      </c>
      <c r="H69" s="614" t="str">
        <f t="shared" ca="1" si="8"/>
        <v xml:space="preserve"> </v>
      </c>
    </row>
    <row r="70" spans="1:8" ht="12" customHeight="1">
      <c r="A70" s="68">
        <v>6</v>
      </c>
      <c r="B70" s="611" t="str">
        <f t="shared" ca="1" si="2"/>
        <v xml:space="preserve"> </v>
      </c>
      <c r="C70" s="611" t="str">
        <f t="shared" ca="1" si="3"/>
        <v>Serpent vase</v>
      </c>
      <c r="D70" s="611" t="str">
        <f t="shared" ca="1" si="4"/>
        <v xml:space="preserve"> </v>
      </c>
      <c r="E70" s="611" t="str">
        <f t="shared" ca="1" si="5"/>
        <v xml:space="preserve"> </v>
      </c>
      <c r="F70" s="611" t="str">
        <f t="shared" ca="1" si="6"/>
        <v xml:space="preserve"> </v>
      </c>
      <c r="G70" s="611" t="str">
        <f t="shared" ca="1" si="7"/>
        <v xml:space="preserve"> </v>
      </c>
      <c r="H70" s="612" t="str">
        <f t="shared" ca="1" si="8"/>
        <v xml:space="preserve"> </v>
      </c>
    </row>
    <row r="71" spans="1:8" ht="12" customHeight="1">
      <c r="A71" s="55">
        <v>7</v>
      </c>
      <c r="B71" s="613" t="str">
        <f t="shared" ca="1" si="2"/>
        <v xml:space="preserve"> </v>
      </c>
      <c r="C71" s="613" t="str">
        <f t="shared" ca="1" si="3"/>
        <v>Dragon sauvage</v>
      </c>
      <c r="D71" s="613" t="str">
        <f t="shared" ca="1" si="4"/>
        <v xml:space="preserve"> </v>
      </c>
      <c r="E71" s="613" t="str">
        <f t="shared" ca="1" si="5"/>
        <v xml:space="preserve"> </v>
      </c>
      <c r="F71" s="613" t="str">
        <f t="shared" ca="1" si="6"/>
        <v xml:space="preserve"> </v>
      </c>
      <c r="G71" s="613" t="str">
        <f t="shared" ca="1" si="7"/>
        <v xml:space="preserve"> </v>
      </c>
      <c r="H71" s="614" t="str">
        <f t="shared" ca="1" si="8"/>
        <v xml:space="preserve"> </v>
      </c>
    </row>
    <row r="72" spans="1:8" ht="12" customHeight="1">
      <c r="A72" s="68">
        <v>8</v>
      </c>
      <c r="B72" s="611" t="str">
        <f t="shared" ca="1" si="2"/>
        <v xml:space="preserve"> </v>
      </c>
      <c r="C72" s="611" t="str">
        <f t="shared" ca="1" si="3"/>
        <v>Grantom de flamme</v>
      </c>
      <c r="D72" s="611" t="str">
        <f t="shared" ca="1" si="4"/>
        <v xml:space="preserve"> </v>
      </c>
      <c r="E72" s="611" t="str">
        <f t="shared" ca="1" si="5"/>
        <v xml:space="preserve"> </v>
      </c>
      <c r="F72" s="611" t="str">
        <f t="shared" ca="1" si="6"/>
        <v xml:space="preserve"> </v>
      </c>
      <c r="G72" s="611" t="str">
        <f t="shared" ca="1" si="7"/>
        <v xml:space="preserve"> </v>
      </c>
      <c r="H72" s="612" t="str">
        <f t="shared" ca="1" si="8"/>
        <v xml:space="preserve"> </v>
      </c>
    </row>
    <row r="73" spans="1:8" ht="12" customHeight="1">
      <c r="A73" s="55">
        <v>9</v>
      </c>
      <c r="B73" s="613" t="str">
        <f t="shared" ca="1" si="2"/>
        <v xml:space="preserve"> </v>
      </c>
      <c r="C73" s="613" t="str">
        <f t="shared" ca="1" si="3"/>
        <v>Fée des collines</v>
      </c>
      <c r="D73" s="613" t="str">
        <f t="shared" ca="1" si="4"/>
        <v xml:space="preserve"> </v>
      </c>
      <c r="E73" s="613" t="str">
        <f t="shared" ca="1" si="5"/>
        <v xml:space="preserve"> </v>
      </c>
      <c r="F73" s="613" t="str">
        <f t="shared" ca="1" si="6"/>
        <v xml:space="preserve"> </v>
      </c>
      <c r="G73" s="613" t="str">
        <f t="shared" ca="1" si="7"/>
        <v xml:space="preserve"> </v>
      </c>
      <c r="H73" s="614" t="str">
        <f t="shared" ca="1" si="8"/>
        <v xml:space="preserve"> </v>
      </c>
    </row>
    <row r="74" spans="1:8" ht="12" customHeight="1">
      <c r="A74" s="68">
        <v>10</v>
      </c>
      <c r="B74" s="611" t="str">
        <f t="shared" ca="1" si="2"/>
        <v xml:space="preserve"> </v>
      </c>
      <c r="C74" s="611" t="str">
        <f t="shared" ca="1" si="3"/>
        <v>Dragon sauvage</v>
      </c>
      <c r="D74" s="611" t="str">
        <f t="shared" ca="1" si="4"/>
        <v xml:space="preserve"> </v>
      </c>
      <c r="E74" s="611" t="str">
        <f t="shared" ca="1" si="5"/>
        <v xml:space="preserve"> </v>
      </c>
      <c r="F74" s="611" t="str">
        <f t="shared" ca="1" si="6"/>
        <v xml:space="preserve"> </v>
      </c>
      <c r="G74" s="611" t="str">
        <f t="shared" ca="1" si="7"/>
        <v xml:space="preserve"> </v>
      </c>
      <c r="H74" s="612" t="str">
        <f t="shared" ca="1" si="8"/>
        <v xml:space="preserve"> </v>
      </c>
    </row>
    <row r="75" spans="1:8" ht="12" customHeight="1">
      <c r="A75" s="55">
        <v>11</v>
      </c>
      <c r="B75" s="613" t="str">
        <f t="shared" ca="1" si="2"/>
        <v xml:space="preserve"> </v>
      </c>
      <c r="C75" s="613" t="str">
        <f t="shared" ca="1" si="3"/>
        <v xml:space="preserve"> </v>
      </c>
      <c r="D75" s="613" t="str">
        <f t="shared" ca="1" si="4"/>
        <v xml:space="preserve"> </v>
      </c>
      <c r="E75" s="613" t="str">
        <f t="shared" ca="1" si="5"/>
        <v xml:space="preserve"> </v>
      </c>
      <c r="F75" s="613" t="str">
        <f t="shared" ca="1" si="6"/>
        <v xml:space="preserve"> </v>
      </c>
      <c r="G75" s="613" t="str">
        <f t="shared" ca="1" si="7"/>
        <v xml:space="preserve"> </v>
      </c>
      <c r="H75" s="614" t="str">
        <f t="shared" ca="1" si="8"/>
        <v xml:space="preserve"> </v>
      </c>
    </row>
    <row r="76" spans="1:8" ht="12" customHeight="1">
      <c r="A76" s="68">
        <v>12</v>
      </c>
      <c r="B76" s="611" t="str">
        <f t="shared" ca="1" si="2"/>
        <v xml:space="preserve"> </v>
      </c>
      <c r="C76" s="611" t="str">
        <f t="shared" ca="1" si="3"/>
        <v xml:space="preserve"> </v>
      </c>
      <c r="D76" s="611" t="str">
        <f t="shared" ca="1" si="4"/>
        <v xml:space="preserve"> </v>
      </c>
      <c r="E76" s="611" t="str">
        <f t="shared" ca="1" si="5"/>
        <v xml:space="preserve"> </v>
      </c>
      <c r="F76" s="611" t="str">
        <f t="shared" ca="1" si="6"/>
        <v xml:space="preserve"> </v>
      </c>
      <c r="G76" s="611" t="str">
        <f t="shared" ca="1" si="7"/>
        <v xml:space="preserve"> </v>
      </c>
      <c r="H76" s="612" t="str">
        <f t="shared" ca="1" si="8"/>
        <v xml:space="preserve"> </v>
      </c>
    </row>
    <row r="77" spans="1:8" ht="12" customHeight="1">
      <c r="A77" s="55">
        <v>13</v>
      </c>
      <c r="B77" s="613" t="str">
        <f t="shared" ca="1" si="2"/>
        <v xml:space="preserve"> </v>
      </c>
      <c r="C77" s="613" t="str">
        <f t="shared" ca="1" si="3"/>
        <v xml:space="preserve"> </v>
      </c>
      <c r="D77" s="613" t="str">
        <f t="shared" ca="1" si="4"/>
        <v xml:space="preserve"> </v>
      </c>
      <c r="E77" s="613" t="str">
        <f t="shared" ca="1" si="5"/>
        <v xml:space="preserve"> </v>
      </c>
      <c r="F77" s="613" t="str">
        <f t="shared" ca="1" si="6"/>
        <v xml:space="preserve"> </v>
      </c>
      <c r="G77" s="613" t="str">
        <f t="shared" ca="1" si="7"/>
        <v xml:space="preserve"> </v>
      </c>
      <c r="H77" s="614" t="str">
        <f t="shared" ca="1" si="8"/>
        <v xml:space="preserve"> </v>
      </c>
    </row>
    <row r="78" spans="1:8" ht="12" customHeight="1">
      <c r="A78" s="68">
        <v>14</v>
      </c>
      <c r="B78" s="611" t="str">
        <f t="shared" ca="1" si="2"/>
        <v xml:space="preserve"> </v>
      </c>
      <c r="C78" s="611" t="str">
        <f t="shared" ca="1" si="3"/>
        <v xml:space="preserve"> </v>
      </c>
      <c r="D78" s="611" t="str">
        <f t="shared" ca="1" si="4"/>
        <v xml:space="preserve"> </v>
      </c>
      <c r="E78" s="611" t="str">
        <f t="shared" ca="1" si="5"/>
        <v xml:space="preserve"> </v>
      </c>
      <c r="F78" s="611" t="str">
        <f t="shared" ca="1" si="6"/>
        <v xml:space="preserve"> </v>
      </c>
      <c r="G78" s="611" t="str">
        <f t="shared" ca="1" si="7"/>
        <v xml:space="preserve"> </v>
      </c>
      <c r="H78" s="612" t="str">
        <f t="shared" ca="1" si="8"/>
        <v xml:space="preserve"> </v>
      </c>
    </row>
    <row r="79" spans="1:8" ht="12" customHeight="1">
      <c r="A79" s="55">
        <v>15</v>
      </c>
      <c r="B79" s="613" t="str">
        <f t="shared" ca="1" si="2"/>
        <v xml:space="preserve"> </v>
      </c>
      <c r="C79" s="613" t="str">
        <f t="shared" ca="1" si="3"/>
        <v xml:space="preserve"> </v>
      </c>
      <c r="D79" s="613" t="str">
        <f t="shared" ca="1" si="4"/>
        <v xml:space="preserve"> </v>
      </c>
      <c r="E79" s="613" t="str">
        <f t="shared" ca="1" si="5"/>
        <v xml:space="preserve"> </v>
      </c>
      <c r="F79" s="613" t="str">
        <f t="shared" ca="1" si="6"/>
        <v xml:space="preserve"> </v>
      </c>
      <c r="G79" s="613" t="str">
        <f t="shared" ca="1" si="7"/>
        <v xml:space="preserve"> </v>
      </c>
      <c r="H79" s="614" t="str">
        <f t="shared" ca="1" si="8"/>
        <v xml:space="preserve"> </v>
      </c>
    </row>
    <row r="80" spans="1:8" ht="12" customHeight="1" thickBot="1">
      <c r="A80" s="67">
        <v>16</v>
      </c>
      <c r="B80" s="615" t="str">
        <f t="shared" ca="1" si="2"/>
        <v xml:space="preserve"> </v>
      </c>
      <c r="C80" s="615" t="str">
        <f t="shared" ca="1" si="3"/>
        <v xml:space="preserve"> </v>
      </c>
      <c r="D80" s="615" t="str">
        <f t="shared" ca="1" si="4"/>
        <v xml:space="preserve"> </v>
      </c>
      <c r="E80" s="615" t="str">
        <f t="shared" ca="1" si="5"/>
        <v xml:space="preserve"> </v>
      </c>
      <c r="F80" s="615" t="str">
        <f t="shared" ca="1" si="6"/>
        <v xml:space="preserve"> </v>
      </c>
      <c r="G80" s="615" t="str">
        <f t="shared" ca="1" si="7"/>
        <v xml:space="preserve"> </v>
      </c>
      <c r="H80" s="616" t="str">
        <f t="shared" ca="1" si="8"/>
        <v xml:space="preserve"> </v>
      </c>
    </row>
  </sheetData>
  <pageMargins left="0.7" right="0.7" top="0.75" bottom="0.75" header="0.3" footer="0.3"/>
  <pageSetup paperSize="9" orientation="landscape" r:id="rId1"/>
  <headerFooter>
    <oddFooter>&amp;C_x000D_&amp;1#&amp;"Arial"&amp;9&amp;K000000 Internal</oddFooter>
  </headerFooter>
</worksheet>
</file>

<file path=docMetadata/LabelInfo.xml><?xml version="1.0" encoding="utf-8"?>
<clbl:labelList xmlns:clbl="http://schemas.microsoft.com/office/2020/mipLabelMetadata">
  <clbl:label id="{4af293e6-3850-4258-b2c7-0aa0e3bfa7d9}" enabled="1" method="Privileged" siteId="{b9fec68c-c92d-461e-9a97-3d03a0f18b82}" contentBits="3"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31</vt:i4>
      </vt:variant>
      <vt:variant>
        <vt:lpstr>Plages nommées</vt:lpstr>
      </vt:variant>
      <vt:variant>
        <vt:i4>689</vt:i4>
      </vt:variant>
    </vt:vector>
  </HeadingPairs>
  <TitlesOfParts>
    <vt:vector size="720" baseType="lpstr">
      <vt:lpstr>Artisan</vt:lpstr>
      <vt:lpstr>ArtP</vt:lpstr>
      <vt:lpstr>Blason</vt:lpstr>
      <vt:lpstr>CarteLieu</vt:lpstr>
      <vt:lpstr>CarteRepLieu</vt:lpstr>
      <vt:lpstr>CarteTerr</vt:lpstr>
      <vt:lpstr>CartGen</vt:lpstr>
      <vt:lpstr>LieuxDétail</vt:lpstr>
      <vt:lpstr>CC</vt:lpstr>
      <vt:lpstr>Dés</vt:lpstr>
      <vt:lpstr>Famille</vt:lpstr>
      <vt:lpstr>Généa</vt:lpstr>
      <vt:lpstr>GenPerso</vt:lpstr>
      <vt:lpstr>GenPNJ</vt:lpstr>
      <vt:lpstr>Maison</vt:lpstr>
      <vt:lpstr>Marché</vt:lpstr>
      <vt:lpstr>Météo</vt:lpstr>
      <vt:lpstr>PaysHisto</vt:lpstr>
      <vt:lpstr>PersoHist</vt:lpstr>
      <vt:lpstr>PNJ</vt:lpstr>
      <vt:lpstr>PNJcrea</vt:lpstr>
      <vt:lpstr>RencHum</vt:lpstr>
      <vt:lpstr>Rencontre</vt:lpstr>
      <vt:lpstr>Traduction</vt:lpstr>
      <vt:lpstr>RencTerr</vt:lpstr>
      <vt:lpstr>TrésParam</vt:lpstr>
      <vt:lpstr>Trésor</vt:lpstr>
      <vt:lpstr>TrésHum</vt:lpstr>
      <vt:lpstr>Ville</vt:lpstr>
      <vt:lpstr>VilP</vt:lpstr>
      <vt:lpstr>VilleMétiers</vt:lpstr>
      <vt:lpstr>A</vt:lpstr>
      <vt:lpstr>aagi</vt:lpstr>
      <vt:lpstr>aapp</vt:lpstr>
      <vt:lpstr>ActivitéH</vt:lpstr>
      <vt:lpstr>AGE</vt:lpstr>
      <vt:lpstr>ageMx</vt:lpstr>
      <vt:lpstr>agePx</vt:lpstr>
      <vt:lpstr>ageville</vt:lpstr>
      <vt:lpstr>ageX</vt:lpstr>
      <vt:lpstr>ageY</vt:lpstr>
      <vt:lpstr>AGI</vt:lpstr>
      <vt:lpstr>alc1hoix</vt:lpstr>
      <vt:lpstr>AmpleurE</vt:lpstr>
      <vt:lpstr>AN</vt:lpstr>
      <vt:lpstr>AnimalA</vt:lpstr>
      <vt:lpstr>AnimalM</vt:lpstr>
      <vt:lpstr>AnimalN</vt:lpstr>
      <vt:lpstr>animalT</vt:lpstr>
      <vt:lpstr>AP</vt:lpstr>
      <vt:lpstr>architecture</vt:lpstr>
      <vt:lpstr>AttributX</vt:lpstr>
      <vt:lpstr>AVI</vt:lpstr>
      <vt:lpstr>carac</vt:lpstr>
      <vt:lpstr>caractère</vt:lpstr>
      <vt:lpstr>cathedrale</vt:lpstr>
      <vt:lpstr>caverne</vt:lpstr>
      <vt:lpstr>ccon</vt:lpstr>
      <vt:lpstr>chapelle</vt:lpstr>
      <vt:lpstr>chateau</vt:lpstr>
      <vt:lpstr>colline</vt:lpstr>
      <vt:lpstr>comba</vt:lpstr>
      <vt:lpstr>commerce</vt:lpstr>
      <vt:lpstr>Traduction!con</vt:lpstr>
      <vt:lpstr>CON</vt:lpstr>
      <vt:lpstr>cotelac</vt:lpstr>
      <vt:lpstr>coursdeau</vt:lpstr>
      <vt:lpstr>CréatureA</vt:lpstr>
      <vt:lpstr>CréatureAD</vt:lpstr>
      <vt:lpstr>D</vt:lpstr>
      <vt:lpstr>d100bis</vt:lpstr>
      <vt:lpstr>d100s</vt:lpstr>
      <vt:lpstr>D10s</vt:lpstr>
      <vt:lpstr>D10tré</vt:lpstr>
      <vt:lpstr>dAge</vt:lpstr>
      <vt:lpstr>danger</vt:lpstr>
      <vt:lpstr>DangerANC</vt:lpstr>
      <vt:lpstr>DangerLE</vt:lpstr>
      <vt:lpstr>dArt</vt:lpstr>
      <vt:lpstr>dCarriere</vt:lpstr>
      <vt:lpstr>dCarrure</vt:lpstr>
      <vt:lpstr>dChevelure</vt:lpstr>
      <vt:lpstr>dCircon</vt:lpstr>
      <vt:lpstr>dCroyance</vt:lpstr>
      <vt:lpstr>ddex</vt:lpstr>
      <vt:lpstr>dDirection</vt:lpstr>
      <vt:lpstr>dDistance</vt:lpstr>
      <vt:lpstr>Blason!dé10</vt:lpstr>
      <vt:lpstr>Famille!dé10</vt:lpstr>
      <vt:lpstr>Généa!dé10</vt:lpstr>
      <vt:lpstr>PaysHisto!Dé10</vt:lpstr>
      <vt:lpstr>RencHum!Dé10</vt:lpstr>
      <vt:lpstr>dé10</vt:lpstr>
      <vt:lpstr>Blason!dé100</vt:lpstr>
      <vt:lpstr>Famille!dé100</vt:lpstr>
      <vt:lpstr>Généa!dé100</vt:lpstr>
      <vt:lpstr>Rencontre!dé100</vt:lpstr>
      <vt:lpstr>Ville!dé100</vt:lpstr>
      <vt:lpstr>dé100</vt:lpstr>
      <vt:lpstr>Dé1000</vt:lpstr>
      <vt:lpstr>dé100s</vt:lpstr>
      <vt:lpstr>Artisan!de100X</vt:lpstr>
      <vt:lpstr>de100X</vt:lpstr>
      <vt:lpstr>dé10s</vt:lpstr>
      <vt:lpstr>Artisan!de10X</vt:lpstr>
      <vt:lpstr>de10X</vt:lpstr>
      <vt:lpstr>dé10x</vt:lpstr>
      <vt:lpstr>déAGE</vt:lpstr>
      <vt:lpstr>déBâtard</vt:lpstr>
      <vt:lpstr>déEnfant</vt:lpstr>
      <vt:lpstr>déFemme</vt:lpstr>
      <vt:lpstr>defense</vt:lpstr>
      <vt:lpstr>déFraterie</vt:lpstr>
      <vt:lpstr>deLETTRES</vt:lpstr>
      <vt:lpstr>déMariage</vt:lpstr>
      <vt:lpstr>déMort</vt:lpstr>
      <vt:lpstr>déNOM</vt:lpstr>
      <vt:lpstr>déNS</vt:lpstr>
      <vt:lpstr>déNS1</vt:lpstr>
      <vt:lpstr>déNS2</vt:lpstr>
      <vt:lpstr>déNS3</vt:lpstr>
      <vt:lpstr>déNS4</vt:lpstr>
      <vt:lpstr>déNS5</vt:lpstr>
      <vt:lpstr>déNS6</vt:lpstr>
      <vt:lpstr>déNS7</vt:lpstr>
      <vt:lpstr>déNS8</vt:lpstr>
      <vt:lpstr>déNS9</vt:lpstr>
      <vt:lpstr>densité</vt:lpstr>
      <vt:lpstr>densitepop</vt:lpstr>
      <vt:lpstr>deploiement</vt:lpstr>
      <vt:lpstr>desert</vt:lpstr>
      <vt:lpstr>déTitre</vt:lpstr>
      <vt:lpstr>déTrait</vt:lpstr>
      <vt:lpstr>PaysHisto!DEvenement</vt:lpstr>
      <vt:lpstr>RencHum!DEvenement</vt:lpstr>
      <vt:lpstr>DEvenement</vt:lpstr>
      <vt:lpstr>DEX</vt:lpstr>
      <vt:lpstr>dFreSoe</vt:lpstr>
      <vt:lpstr>dHistoire</vt:lpstr>
      <vt:lpstr>dHumour</vt:lpstr>
      <vt:lpstr>DimensionX</vt:lpstr>
      <vt:lpstr>dIntensite</vt:lpstr>
      <vt:lpstr>distanceQ</vt:lpstr>
      <vt:lpstr>dive</vt:lpstr>
      <vt:lpstr>dLieu</vt:lpstr>
      <vt:lpstr>dLongueur</vt:lpstr>
      <vt:lpstr>dLune</vt:lpstr>
      <vt:lpstr>DMA</vt:lpstr>
      <vt:lpstr>dMarque</vt:lpstr>
      <vt:lpstr>dMarque2</vt:lpstr>
      <vt:lpstr>dMedical</vt:lpstr>
      <vt:lpstr>dNaissance</vt:lpstr>
      <vt:lpstr>dNatif</vt:lpstr>
      <vt:lpstr>dNS0</vt:lpstr>
      <vt:lpstr>dNSFreSoe</vt:lpstr>
      <vt:lpstr>dNSp</vt:lpstr>
      <vt:lpstr>dnsPerso</vt:lpstr>
      <vt:lpstr>dOdeur</vt:lpstr>
      <vt:lpstr>dOrigine</vt:lpstr>
      <vt:lpstr>dph</vt:lpstr>
      <vt:lpstr>dPilosite</vt:lpstr>
      <vt:lpstr>PaysHisto!Dplusmoins</vt:lpstr>
      <vt:lpstr>RencHum!Dplusmoins</vt:lpstr>
      <vt:lpstr>Dplusmoins</vt:lpstr>
      <vt:lpstr>DPO</vt:lpstr>
      <vt:lpstr>dPsychologie</vt:lpstr>
      <vt:lpstr>dRelation</vt:lpstr>
      <vt:lpstr>dSituation</vt:lpstr>
      <vt:lpstr>dStyle</vt:lpstr>
      <vt:lpstr>dTeinte</vt:lpstr>
      <vt:lpstr>dTerrain</vt:lpstr>
      <vt:lpstr>dTraitSpe</vt:lpstr>
      <vt:lpstr>PaysHisto!DType</vt:lpstr>
      <vt:lpstr>RencHum!DType</vt:lpstr>
      <vt:lpstr>DType</vt:lpstr>
      <vt:lpstr>duree</vt:lpstr>
      <vt:lpstr>DuréeE</vt:lpstr>
      <vt:lpstr>dYeux</vt:lpstr>
      <vt:lpstr>E</vt:lpstr>
      <vt:lpstr>eelo</vt:lpstr>
      <vt:lpstr>eemp</vt:lpstr>
      <vt:lpstr>eend</vt:lpstr>
      <vt:lpstr>eglise</vt:lpstr>
      <vt:lpstr>EM</vt:lpstr>
      <vt:lpstr>émaux</vt:lpstr>
      <vt:lpstr>EN</vt:lpstr>
      <vt:lpstr>END</vt:lpstr>
      <vt:lpstr>enjeu</vt:lpstr>
      <vt:lpstr>Enseigne</vt:lpstr>
      <vt:lpstr>EnseigneX</vt:lpstr>
      <vt:lpstr>etendue</vt:lpstr>
      <vt:lpstr>ethniemax</vt:lpstr>
      <vt:lpstr>etran</vt:lpstr>
      <vt:lpstr>Evènement</vt:lpstr>
      <vt:lpstr>F</vt:lpstr>
      <vt:lpstr>famille</vt:lpstr>
      <vt:lpstr>favorise</vt:lpstr>
      <vt:lpstr>ffor</vt:lpstr>
      <vt:lpstr>floreQ</vt:lpstr>
      <vt:lpstr>Ville!FOR</vt:lpstr>
      <vt:lpstr>FOR</vt:lpstr>
      <vt:lpstr>foret</vt:lpstr>
      <vt:lpstr>forme</vt:lpstr>
      <vt:lpstr>FormeX</vt:lpstr>
      <vt:lpstr>freq</vt:lpstr>
      <vt:lpstr>frontiere</vt:lpstr>
      <vt:lpstr>frontiereQ</vt:lpstr>
      <vt:lpstr>gpA</vt:lpstr>
      <vt:lpstr>gpAge1</vt:lpstr>
      <vt:lpstr>gpAge2</vt:lpstr>
      <vt:lpstr>gpAnnee1</vt:lpstr>
      <vt:lpstr>gpAnnee2</vt:lpstr>
      <vt:lpstr>gpAnnee3</vt:lpstr>
      <vt:lpstr>gpAp</vt:lpstr>
      <vt:lpstr>gpArt1</vt:lpstr>
      <vt:lpstr>gpArt2</vt:lpstr>
      <vt:lpstr>gpArt3</vt:lpstr>
      <vt:lpstr>gpAttitude</vt:lpstr>
      <vt:lpstr>gpBEA</vt:lpstr>
      <vt:lpstr>gpBenediction</vt:lpstr>
      <vt:lpstr>gpBMp</vt:lpstr>
      <vt:lpstr>gpC</vt:lpstr>
      <vt:lpstr>gpCapacite</vt:lpstr>
      <vt:lpstr>gpCAR</vt:lpstr>
      <vt:lpstr>gpCarac</vt:lpstr>
      <vt:lpstr>gpCaractere</vt:lpstr>
      <vt:lpstr>gpCarriere</vt:lpstr>
      <vt:lpstr>gpCarrure</vt:lpstr>
      <vt:lpstr>gpCHA</vt:lpstr>
      <vt:lpstr>gpChevelure</vt:lpstr>
      <vt:lpstr>gpCircon</vt:lpstr>
      <vt:lpstr>gpCOM</vt:lpstr>
      <vt:lpstr>gpCOO</vt:lpstr>
      <vt:lpstr>gpCPAMetiers</vt:lpstr>
      <vt:lpstr>gpCroyance</vt:lpstr>
      <vt:lpstr>gpD</vt:lpstr>
      <vt:lpstr>gpD100x</vt:lpstr>
      <vt:lpstr>gpD10x</vt:lpstr>
      <vt:lpstr>gpDefaut</vt:lpstr>
      <vt:lpstr>gpDirection</vt:lpstr>
      <vt:lpstr>gpDispo</vt:lpstr>
      <vt:lpstr>gpDistance</vt:lpstr>
      <vt:lpstr>gpDon</vt:lpstr>
      <vt:lpstr>gpE</vt:lpstr>
      <vt:lpstr>gpEm</vt:lpstr>
      <vt:lpstr>gpEn</vt:lpstr>
      <vt:lpstr>gpEQU</vt:lpstr>
      <vt:lpstr>gpEtrange</vt:lpstr>
      <vt:lpstr>gpF</vt:lpstr>
      <vt:lpstr>gpFAT</vt:lpstr>
      <vt:lpstr>gpFoi</vt:lpstr>
      <vt:lpstr>gpForce</vt:lpstr>
      <vt:lpstr>gpFreSoe</vt:lpstr>
      <vt:lpstr>gpHistoire</vt:lpstr>
      <vt:lpstr>gpHistoireE</vt:lpstr>
      <vt:lpstr>gpHistoireR</vt:lpstr>
      <vt:lpstr>gpHumour</vt:lpstr>
      <vt:lpstr>gpI</vt:lpstr>
      <vt:lpstr>gpIntensite</vt:lpstr>
      <vt:lpstr>gpINU</vt:lpstr>
      <vt:lpstr>gpJour1</vt:lpstr>
      <vt:lpstr>gpJour2</vt:lpstr>
      <vt:lpstr>gpJour3</vt:lpstr>
      <vt:lpstr>gpLieu</vt:lpstr>
      <vt:lpstr>gpLongueur1</vt:lpstr>
      <vt:lpstr>gpLongueur2</vt:lpstr>
      <vt:lpstr>gpLune1</vt:lpstr>
      <vt:lpstr>gpLune2</vt:lpstr>
      <vt:lpstr>gpMalediction</vt:lpstr>
      <vt:lpstr>gpMAN</vt:lpstr>
      <vt:lpstr>gpMarque</vt:lpstr>
      <vt:lpstr>gpMarque2</vt:lpstr>
      <vt:lpstr>gpMedical</vt:lpstr>
      <vt:lpstr>gpMEM</vt:lpstr>
      <vt:lpstr>gpMetier1</vt:lpstr>
      <vt:lpstr>gpMetier2</vt:lpstr>
      <vt:lpstr>gpMetier3</vt:lpstr>
      <vt:lpstr>gpMetiers</vt:lpstr>
      <vt:lpstr>gpMois1</vt:lpstr>
      <vt:lpstr>gpMois2</vt:lpstr>
      <vt:lpstr>gpNaissance1</vt:lpstr>
      <vt:lpstr>gpNaissance2</vt:lpstr>
      <vt:lpstr>gpNatif</vt:lpstr>
      <vt:lpstr>gpNEC</vt:lpstr>
      <vt:lpstr>gpNS0</vt:lpstr>
      <vt:lpstr>gpNS1</vt:lpstr>
      <vt:lpstr>gpNS2</vt:lpstr>
      <vt:lpstr>gpNS3</vt:lpstr>
      <vt:lpstr>gpNS4</vt:lpstr>
      <vt:lpstr>gpNS5</vt:lpstr>
      <vt:lpstr>gpNS6</vt:lpstr>
      <vt:lpstr>gpNS7</vt:lpstr>
      <vt:lpstr>gpNS8</vt:lpstr>
      <vt:lpstr>gpNS9</vt:lpstr>
      <vt:lpstr>gpNSfreSoe</vt:lpstr>
      <vt:lpstr>gpNSp</vt:lpstr>
      <vt:lpstr>gpNSPerso1</vt:lpstr>
      <vt:lpstr>gpNSPerso2</vt:lpstr>
      <vt:lpstr>gpNSPerso3</vt:lpstr>
      <vt:lpstr>gpObjet</vt:lpstr>
      <vt:lpstr>gpOdeur</vt:lpstr>
      <vt:lpstr>gpOption</vt:lpstr>
      <vt:lpstr>gpOrigine</vt:lpstr>
      <vt:lpstr>gpPDC</vt:lpstr>
      <vt:lpstr>gpPilosite1</vt:lpstr>
      <vt:lpstr>gpPilosite2</vt:lpstr>
      <vt:lpstr>gpPilosite3</vt:lpstr>
      <vt:lpstr>gpPOU</vt:lpstr>
      <vt:lpstr>gpPrincipe</vt:lpstr>
      <vt:lpstr>gpPsychologie</vt:lpstr>
      <vt:lpstr>gpPUI</vt:lpstr>
      <vt:lpstr>gpRAI</vt:lpstr>
      <vt:lpstr>gpRAP</vt:lpstr>
      <vt:lpstr>gpRelation</vt:lpstr>
      <vt:lpstr>gpRES</vt:lpstr>
      <vt:lpstr>gpRichesse</vt:lpstr>
      <vt:lpstr>gpRM</vt:lpstr>
      <vt:lpstr>gpROB</vt:lpstr>
      <vt:lpstr>gpSAN</vt:lpstr>
      <vt:lpstr>gpSituation1</vt:lpstr>
      <vt:lpstr>gpSituation2</vt:lpstr>
      <vt:lpstr>gpSOP</vt:lpstr>
      <vt:lpstr>gpSOU</vt:lpstr>
      <vt:lpstr>gpStatut</vt:lpstr>
      <vt:lpstr>gpStyle</vt:lpstr>
      <vt:lpstr>gpTal1</vt:lpstr>
      <vt:lpstr>gpTal2</vt:lpstr>
      <vt:lpstr>gpTal3</vt:lpstr>
      <vt:lpstr>gpTal4</vt:lpstr>
      <vt:lpstr>gpTal5</vt:lpstr>
      <vt:lpstr>gpTal6</vt:lpstr>
      <vt:lpstr>gpTalentA</vt:lpstr>
      <vt:lpstr>gpTalentM</vt:lpstr>
      <vt:lpstr>gpTalentNiveau</vt:lpstr>
      <vt:lpstr>gpTeinte</vt:lpstr>
      <vt:lpstr>gpTerrain</vt:lpstr>
      <vt:lpstr>gpTic</vt:lpstr>
      <vt:lpstr>gpTraitMa</vt:lpstr>
      <vt:lpstr>gpTraitmi</vt:lpstr>
      <vt:lpstr>gpTraitSpe</vt:lpstr>
      <vt:lpstr>gpV</vt:lpstr>
      <vt:lpstr>gpVOI</vt:lpstr>
      <vt:lpstr>gpYeux</vt:lpstr>
      <vt:lpstr>PaysHisto!groupe</vt:lpstr>
      <vt:lpstr>RencHum!groupe</vt:lpstr>
      <vt:lpstr>groupe</vt:lpstr>
      <vt:lpstr>Humains</vt:lpstr>
      <vt:lpstr>I</vt:lpstr>
      <vt:lpstr>iint</vt:lpstr>
      <vt:lpstr>INT</vt:lpstr>
      <vt:lpstr>IRE</vt:lpstr>
      <vt:lpstr>isolé</vt:lpstr>
      <vt:lpstr>jungle</vt:lpstr>
      <vt:lpstr>LETTRES</vt:lpstr>
      <vt:lpstr>Artisan!LettreX</vt:lpstr>
      <vt:lpstr>LettreX</vt:lpstr>
      <vt:lpstr>PaysHisto!lieu</vt:lpstr>
      <vt:lpstr>RencHum!lieu</vt:lpstr>
      <vt:lpstr>lieu</vt:lpstr>
      <vt:lpstr>LieuN</vt:lpstr>
      <vt:lpstr>LieuT</vt:lpstr>
      <vt:lpstr>ListePrincipale</vt:lpstr>
      <vt:lpstr>ListeRessources</vt:lpstr>
      <vt:lpstr>ListeSecondaire</vt:lpstr>
      <vt:lpstr>ListeTerrain</vt:lpstr>
      <vt:lpstr>ListeTertiaire</vt:lpstr>
      <vt:lpstr>longueurX</vt:lpstr>
      <vt:lpstr>marais</vt:lpstr>
      <vt:lpstr>marche</vt:lpstr>
      <vt:lpstr>marcheFixe</vt:lpstr>
      <vt:lpstr>marcheNote</vt:lpstr>
      <vt:lpstr>MARd100</vt:lpstr>
      <vt:lpstr>MatériauxL</vt:lpstr>
      <vt:lpstr>MatièreX</vt:lpstr>
      <vt:lpstr>metautT</vt:lpstr>
      <vt:lpstr>metd10</vt:lpstr>
      <vt:lpstr>meteteT</vt:lpstr>
      <vt:lpstr>methivT</vt:lpstr>
      <vt:lpstr>metmodT</vt:lpstr>
      <vt:lpstr>metnua</vt:lpstr>
      <vt:lpstr>metplu</vt:lpstr>
      <vt:lpstr>metpriT</vt:lpstr>
      <vt:lpstr>metven</vt:lpstr>
      <vt:lpstr>metvenDir</vt:lpstr>
      <vt:lpstr>meuble</vt:lpstr>
      <vt:lpstr>mFR</vt:lpstr>
      <vt:lpstr>mili</vt:lpstr>
      <vt:lpstr>mNE</vt:lpstr>
      <vt:lpstr>Moment</vt:lpstr>
      <vt:lpstr>montagne</vt:lpstr>
      <vt:lpstr>mort</vt:lpstr>
      <vt:lpstr>mQT</vt:lpstr>
      <vt:lpstr>PNJ!multimax</vt:lpstr>
      <vt:lpstr>PNJ!multimin</vt:lpstr>
      <vt:lpstr>muraille</vt:lpstr>
      <vt:lpstr>nbmeuble</vt:lpstr>
      <vt:lpstr>nbTanteOncle</vt:lpstr>
      <vt:lpstr>nc</vt:lpstr>
      <vt:lpstr>NE</vt:lpstr>
      <vt:lpstr>PNJcrea!NEC</vt:lpstr>
      <vt:lpstr>NEcbt</vt:lpstr>
      <vt:lpstr>NEM</vt:lpstr>
      <vt:lpstr>NEmagie</vt:lpstr>
      <vt:lpstr>nEnfants</vt:lpstr>
      <vt:lpstr>nEns</vt:lpstr>
      <vt:lpstr>nEnseigne</vt:lpstr>
      <vt:lpstr>NFS</vt:lpstr>
      <vt:lpstr>NFSgp</vt:lpstr>
      <vt:lpstr>NFSpère</vt:lpstr>
      <vt:lpstr>NMA</vt:lpstr>
      <vt:lpstr>nMatière</vt:lpstr>
      <vt:lpstr>Artisan!Nom</vt:lpstr>
      <vt:lpstr>NPA</vt:lpstr>
      <vt:lpstr>NQU</vt:lpstr>
      <vt:lpstr>nRPR</vt:lpstr>
      <vt:lpstr>nRSE</vt:lpstr>
      <vt:lpstr>nRTE</vt:lpstr>
      <vt:lpstr>Artisan!NS</vt:lpstr>
      <vt:lpstr>Famille!NS</vt:lpstr>
      <vt:lpstr>Ville!NS</vt:lpstr>
      <vt:lpstr>NS</vt:lpstr>
      <vt:lpstr>NS0</vt:lpstr>
      <vt:lpstr>NS0x</vt:lpstr>
      <vt:lpstr>NS1x</vt:lpstr>
      <vt:lpstr>NS2x</vt:lpstr>
      <vt:lpstr>NS3x</vt:lpstr>
      <vt:lpstr>NS4x</vt:lpstr>
      <vt:lpstr>NS5x</vt:lpstr>
      <vt:lpstr>NS6x</vt:lpstr>
      <vt:lpstr>NS7x</vt:lpstr>
      <vt:lpstr>NS8x</vt:lpstr>
      <vt:lpstr>NS9x</vt:lpstr>
      <vt:lpstr>NSdé</vt:lpstr>
      <vt:lpstr>nSpe</vt:lpstr>
      <vt:lpstr>Artisan!NSX</vt:lpstr>
      <vt:lpstr>NSX</vt:lpstr>
      <vt:lpstr>NSXX</vt:lpstr>
      <vt:lpstr>nTaille</vt:lpstr>
      <vt:lpstr>Ville!NTR</vt:lpstr>
      <vt:lpstr>NTR</vt:lpstr>
      <vt:lpstr>nTrait</vt:lpstr>
      <vt:lpstr>ocean</vt:lpstr>
      <vt:lpstr>OrigineH</vt:lpstr>
      <vt:lpstr>partieFixee</vt:lpstr>
      <vt:lpstr>partieville</vt:lpstr>
      <vt:lpstr>partition</vt:lpstr>
      <vt:lpstr>pelerinage</vt:lpstr>
      <vt:lpstr>persoAge</vt:lpstr>
      <vt:lpstr>persoBM</vt:lpstr>
      <vt:lpstr>persoBMpere</vt:lpstr>
      <vt:lpstr>persoFoi</vt:lpstr>
      <vt:lpstr>persoFreSoe</vt:lpstr>
      <vt:lpstr>PaysHisto!Personne</vt:lpstr>
      <vt:lpstr>RencHum!Personne</vt:lpstr>
      <vt:lpstr>Personne</vt:lpstr>
      <vt:lpstr>persoNS</vt:lpstr>
      <vt:lpstr>persoNS2</vt:lpstr>
      <vt:lpstr>persoNS3</vt:lpstr>
      <vt:lpstr>persoNSpere</vt:lpstr>
      <vt:lpstr>plaine</vt:lpstr>
      <vt:lpstr>PLMO</vt:lpstr>
      <vt:lpstr>plumoi</vt:lpstr>
      <vt:lpstr>CarteTerr!plusmoins</vt:lpstr>
      <vt:lpstr>LieuxDétail!plusmoins</vt:lpstr>
      <vt:lpstr>PaysHisto!PlusMoins</vt:lpstr>
      <vt:lpstr>RencHum!PlusMoins</vt:lpstr>
      <vt:lpstr>Ville!PlusMoins</vt:lpstr>
      <vt:lpstr>PlusMoins</vt:lpstr>
      <vt:lpstr>Artisan!PlusMoinsX</vt:lpstr>
      <vt:lpstr>PlusMoinsX</vt:lpstr>
      <vt:lpstr>pNS</vt:lpstr>
      <vt:lpstr>pNTR</vt:lpstr>
      <vt:lpstr>politique</vt:lpstr>
      <vt:lpstr>CarteRepLieu!pop</vt:lpstr>
      <vt:lpstr>pop</vt:lpstr>
      <vt:lpstr>popactive</vt:lpstr>
      <vt:lpstr>popcarte</vt:lpstr>
      <vt:lpstr>POPfixee</vt:lpstr>
      <vt:lpstr>POPfixee2</vt:lpstr>
      <vt:lpstr>population</vt:lpstr>
      <vt:lpstr>PorteX</vt:lpstr>
      <vt:lpstr>prénom</vt:lpstr>
      <vt:lpstr>Prenom1000</vt:lpstr>
      <vt:lpstr>Prénoms</vt:lpstr>
      <vt:lpstr>pRIC</vt:lpstr>
      <vt:lpstr>primaire</vt:lpstr>
      <vt:lpstr>principaleFixee</vt:lpstr>
      <vt:lpstr>proba</vt:lpstr>
      <vt:lpstr>profe</vt:lpstr>
      <vt:lpstr>Artisan!Profession</vt:lpstr>
      <vt:lpstr>PVI</vt:lpstr>
      <vt:lpstr>QMM</vt:lpstr>
      <vt:lpstr>quartierFixe</vt:lpstr>
      <vt:lpstr>PaysHisto!région</vt:lpstr>
      <vt:lpstr>RencHum!région</vt:lpstr>
      <vt:lpstr>région</vt:lpstr>
      <vt:lpstr>relD100</vt:lpstr>
      <vt:lpstr>reli</vt:lpstr>
      <vt:lpstr>religieux</vt:lpstr>
      <vt:lpstr>Ville!religion</vt:lpstr>
      <vt:lpstr>religion</vt:lpstr>
      <vt:lpstr>religionFixe</vt:lpstr>
      <vt:lpstr>religionx</vt:lpstr>
      <vt:lpstr>relINF</vt:lpstr>
      <vt:lpstr>RencColl</vt:lpstr>
      <vt:lpstr>RencCour</vt:lpstr>
      <vt:lpstr>RencDese</vt:lpstr>
      <vt:lpstr>RencDivi</vt:lpstr>
      <vt:lpstr>RencElde</vt:lpstr>
      <vt:lpstr>RencFore</vt:lpstr>
      <vt:lpstr>RencKoth</vt:lpstr>
      <vt:lpstr>RencMara</vt:lpstr>
      <vt:lpstr>RencMont</vt:lpstr>
      <vt:lpstr>RencOcea</vt:lpstr>
      <vt:lpstr>RencPlai</vt:lpstr>
      <vt:lpstr>RencRuin</vt:lpstr>
      <vt:lpstr>RencSout</vt:lpstr>
      <vt:lpstr>RencStep</vt:lpstr>
      <vt:lpstr>RencType</vt:lpstr>
      <vt:lpstr>RencVill</vt:lpstr>
      <vt:lpstr>ressource</vt:lpstr>
      <vt:lpstr>ressourceAlea</vt:lpstr>
      <vt:lpstr>Artisan!RIC</vt:lpstr>
      <vt:lpstr>Ville!RIC</vt:lpstr>
      <vt:lpstr>RIC</vt:lpstr>
      <vt:lpstr>RICd100</vt:lpstr>
      <vt:lpstr>richesse</vt:lpstr>
      <vt:lpstr>RichesseAC</vt:lpstr>
      <vt:lpstr>RichesseFixe</vt:lpstr>
      <vt:lpstr>RichesseHC</vt:lpstr>
      <vt:lpstr>RichesseL</vt:lpstr>
      <vt:lpstr>richesseT</vt:lpstr>
      <vt:lpstr>Ville!richesseX</vt:lpstr>
      <vt:lpstr>richesseX</vt:lpstr>
      <vt:lpstr>RICx</vt:lpstr>
      <vt:lpstr>ROUd</vt:lpstr>
      <vt:lpstr>ROUq</vt:lpstr>
      <vt:lpstr>PaysHisto!royaume</vt:lpstr>
      <vt:lpstr>RencHum!royaume</vt:lpstr>
      <vt:lpstr>royaume</vt:lpstr>
      <vt:lpstr>RRI</vt:lpstr>
      <vt:lpstr>rural</vt:lpstr>
      <vt:lpstr>RVI</vt:lpstr>
      <vt:lpstr>secondaire</vt:lpstr>
      <vt:lpstr>secondaire1</vt:lpstr>
      <vt:lpstr>secondaire2</vt:lpstr>
      <vt:lpstr>secondaireFixee</vt:lpstr>
      <vt:lpstr>secret</vt:lpstr>
      <vt:lpstr>securiteQ</vt:lpstr>
      <vt:lpstr>situationQ</vt:lpstr>
      <vt:lpstr>SituationX</vt:lpstr>
      <vt:lpstr>souterrain</vt:lpstr>
      <vt:lpstr>Spécialité</vt:lpstr>
      <vt:lpstr>steppe</vt:lpstr>
      <vt:lpstr>styleQ</vt:lpstr>
      <vt:lpstr>SVI</vt:lpstr>
      <vt:lpstr>TableSpe</vt:lpstr>
      <vt:lpstr>TailleL</vt:lpstr>
      <vt:lpstr>tailleX</vt:lpstr>
      <vt:lpstr>TDO</vt:lpstr>
      <vt:lpstr>TDOd100</vt:lpstr>
      <vt:lpstr>TDOfixe</vt:lpstr>
      <vt:lpstr>TDOfixe2</vt:lpstr>
      <vt:lpstr>temple</vt:lpstr>
      <vt:lpstr>terrain</vt:lpstr>
      <vt:lpstr>tertiaire</vt:lpstr>
      <vt:lpstr>tertiaire1</vt:lpstr>
      <vt:lpstr>tertiaire2</vt:lpstr>
      <vt:lpstr>tertiaire3</vt:lpstr>
      <vt:lpstr>tertiaireFixee</vt:lpstr>
      <vt:lpstr>test</vt:lpstr>
      <vt:lpstr>TNE</vt:lpstr>
      <vt:lpstr>TraitX</vt:lpstr>
      <vt:lpstr>treAlc1</vt:lpstr>
      <vt:lpstr>treAlc23</vt:lpstr>
      <vt:lpstr>treAlc4</vt:lpstr>
      <vt:lpstr>treAlcD</vt:lpstr>
      <vt:lpstr>treAlcMetfor</vt:lpstr>
      <vt:lpstr>TréAncienneté</vt:lpstr>
      <vt:lpstr>TREARME</vt:lpstr>
      <vt:lpstr>treArmeCommune</vt:lpstr>
      <vt:lpstr>treArmeRare</vt:lpstr>
      <vt:lpstr>treArmure</vt:lpstr>
      <vt:lpstr>treArt</vt:lpstr>
      <vt:lpstr>treCre1</vt:lpstr>
      <vt:lpstr>treCre1D</vt:lpstr>
      <vt:lpstr>treCre2</vt:lpstr>
      <vt:lpstr>treCre3</vt:lpstr>
      <vt:lpstr>treCre4</vt:lpstr>
      <vt:lpstr>tred10</vt:lpstr>
      <vt:lpstr>TRED100</vt:lpstr>
      <vt:lpstr>TRED10S</vt:lpstr>
      <vt:lpstr>treDeArt</vt:lpstr>
      <vt:lpstr>trediv</vt:lpstr>
      <vt:lpstr>treDivCou</vt:lpstr>
      <vt:lpstr>treDivCoutei</vt:lpstr>
      <vt:lpstr>treDivCouTeiD</vt:lpstr>
      <vt:lpstr>treDivCouV</vt:lpstr>
      <vt:lpstr>treDivDet</vt:lpstr>
      <vt:lpstr>treDivFor</vt:lpstr>
      <vt:lpstr>treDNS</vt:lpstr>
      <vt:lpstr>treDVet</vt:lpstr>
      <vt:lpstr>treEcrD</vt:lpstr>
      <vt:lpstr>treEcrDet</vt:lpstr>
      <vt:lpstr>treEcrDet2</vt:lpstr>
      <vt:lpstr>treEcrDet3</vt:lpstr>
      <vt:lpstr>treEcrPag</vt:lpstr>
      <vt:lpstr>treEcrSpe</vt:lpstr>
      <vt:lpstr>treEcrSpeV</vt:lpstr>
      <vt:lpstr>treEcrV</vt:lpstr>
      <vt:lpstr>treEquipement</vt:lpstr>
      <vt:lpstr>treErc</vt:lpstr>
      <vt:lpstr>TréEtat</vt:lpstr>
      <vt:lpstr>TréForme</vt:lpstr>
      <vt:lpstr>treFouD</vt:lpstr>
      <vt:lpstr>treFourrure</vt:lpstr>
      <vt:lpstr>treFouVB</vt:lpstr>
      <vt:lpstr>treGem</vt:lpstr>
      <vt:lpstr>treGemD</vt:lpstr>
      <vt:lpstr>treHumD</vt:lpstr>
      <vt:lpstr>treHumNE</vt:lpstr>
      <vt:lpstr>treHumNEC</vt:lpstr>
      <vt:lpstr>treHumNem</vt:lpstr>
      <vt:lpstr>treHumNS</vt:lpstr>
      <vt:lpstr>treMag</vt:lpstr>
      <vt:lpstr>treMagAli</vt:lpstr>
      <vt:lpstr>treMagAmuBagBat</vt:lpstr>
      <vt:lpstr>treMagCat</vt:lpstr>
      <vt:lpstr>treMagCatD</vt:lpstr>
      <vt:lpstr>treMagDie</vt:lpstr>
      <vt:lpstr>treMagP1</vt:lpstr>
      <vt:lpstr>treMagP2</vt:lpstr>
      <vt:lpstr>treMagP3</vt:lpstr>
      <vt:lpstr>treMagP4</vt:lpstr>
      <vt:lpstr>treMagPotEli</vt:lpstr>
      <vt:lpstr>treMagPou</vt:lpstr>
      <vt:lpstr>treMagPouD</vt:lpstr>
      <vt:lpstr>treMagPouTex</vt:lpstr>
      <vt:lpstr>treMagPro</vt:lpstr>
      <vt:lpstr>treMagProD</vt:lpstr>
      <vt:lpstr>treMagProSpe</vt:lpstr>
      <vt:lpstr>treMagProSpeD</vt:lpstr>
      <vt:lpstr>treMagProSpeTex</vt:lpstr>
      <vt:lpstr>treMagProTex</vt:lpstr>
      <vt:lpstr>treMatPou</vt:lpstr>
      <vt:lpstr>treMet</vt:lpstr>
      <vt:lpstr>treMetD</vt:lpstr>
      <vt:lpstr>treMob</vt:lpstr>
      <vt:lpstr>treMobMat</vt:lpstr>
      <vt:lpstr>treMobMatV</vt:lpstr>
      <vt:lpstr>treMobSpe</vt:lpstr>
      <vt:lpstr>treMus</vt:lpstr>
      <vt:lpstr>treMusVB</vt:lpstr>
      <vt:lpstr>treNE</vt:lpstr>
      <vt:lpstr>treNEM</vt:lpstr>
      <vt:lpstr>treNS</vt:lpstr>
      <vt:lpstr>treNSnom</vt:lpstr>
      <vt:lpstr>TréOrigine</vt:lpstr>
      <vt:lpstr>treOutil</vt:lpstr>
      <vt:lpstr>trePartieAniCre</vt:lpstr>
      <vt:lpstr>trePartieHum</vt:lpstr>
      <vt:lpstr>trePie</vt:lpstr>
      <vt:lpstr>trePieCon</vt:lpstr>
      <vt:lpstr>trePieConV</vt:lpstr>
      <vt:lpstr>trePieN</vt:lpstr>
      <vt:lpstr>trePieSpe</vt:lpstr>
      <vt:lpstr>trePieV</vt:lpstr>
      <vt:lpstr>trePN</vt:lpstr>
      <vt:lpstr>trePNAni</vt:lpstr>
      <vt:lpstr>trePNAniD</vt:lpstr>
      <vt:lpstr>trePNCon</vt:lpstr>
      <vt:lpstr>trePNConV</vt:lpstr>
      <vt:lpstr>trePND</vt:lpstr>
      <vt:lpstr>trePNEta</vt:lpstr>
      <vt:lpstr>trePNEta2</vt:lpstr>
      <vt:lpstr>trePNMin</vt:lpstr>
      <vt:lpstr>trePNMinD</vt:lpstr>
      <vt:lpstr>trePNPla</vt:lpstr>
      <vt:lpstr>trePNPlaD</vt:lpstr>
      <vt:lpstr>trePre</vt:lpstr>
      <vt:lpstr>trePreD</vt:lpstr>
      <vt:lpstr>trePreMat</vt:lpstr>
      <vt:lpstr>trePreMatD</vt:lpstr>
      <vt:lpstr>trePro</vt:lpstr>
      <vt:lpstr>TréQT</vt:lpstr>
      <vt:lpstr>TréQualité</vt:lpstr>
      <vt:lpstr>treReg1</vt:lpstr>
      <vt:lpstr>treReg2</vt:lpstr>
      <vt:lpstr>treReg3</vt:lpstr>
      <vt:lpstr>treRelProB</vt:lpstr>
      <vt:lpstr>treRMa</vt:lpstr>
      <vt:lpstr>treSta</vt:lpstr>
      <vt:lpstr>treStaMat</vt:lpstr>
      <vt:lpstr>treStaMatV</vt:lpstr>
      <vt:lpstr>treStaV</vt:lpstr>
      <vt:lpstr>TréTaille</vt:lpstr>
      <vt:lpstr>treTap</vt:lpstr>
      <vt:lpstr>treTapVB</vt:lpstr>
      <vt:lpstr>treVaiMat</vt:lpstr>
      <vt:lpstr>treVaiMatVB</vt:lpstr>
      <vt:lpstr>treVaisselle</vt:lpstr>
      <vt:lpstr>treVaiV</vt:lpstr>
      <vt:lpstr>treVet</vt:lpstr>
      <vt:lpstr>treVetMat</vt:lpstr>
      <vt:lpstr>treVetV</vt:lpstr>
      <vt:lpstr>treVetVB</vt:lpstr>
      <vt:lpstr>PaysHisto!Type</vt:lpstr>
      <vt:lpstr>RencHum!Type</vt:lpstr>
      <vt:lpstr>Type</vt:lpstr>
      <vt:lpstr>urbain</vt:lpstr>
      <vt:lpstr>V</vt:lpstr>
      <vt:lpstr>ValeurRessource</vt:lpstr>
      <vt:lpstr>VisionX</vt:lpstr>
      <vt:lpstr>voy</vt:lpstr>
      <vt:lpstr>voyag</vt:lpstr>
      <vt:lpstr>Artisan!VoyelleX</vt:lpstr>
      <vt:lpstr>VoyelleX</vt:lpstr>
      <vt:lpstr>vvol</vt:lpstr>
      <vt:lpstr>TrésHum!Zone_d_impression</vt:lpstr>
      <vt:lpstr>Trésor!Zone_d_impression</vt:lpstr>
    </vt:vector>
  </TitlesOfParts>
  <Company>CGI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tanghet</dc:creator>
  <cp:lastModifiedBy>TTA</cp:lastModifiedBy>
  <cp:lastPrinted>2024-10-02T08:23:34Z</cp:lastPrinted>
  <dcterms:created xsi:type="dcterms:W3CDTF">2015-02-16T07:23:41Z</dcterms:created>
  <dcterms:modified xsi:type="dcterms:W3CDTF">2025-09-29T09:26:16Z</dcterms:modified>
</cp:coreProperties>
</file>