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TNT2020\Downloads\"/>
    </mc:Choice>
  </mc:AlternateContent>
  <bookViews>
    <workbookView xWindow="-10" yWindow="-100" windowWidth="10630" windowHeight="8820" tabRatio="615" activeTab="3"/>
  </bookViews>
  <sheets>
    <sheet name="EtatGroupe" sheetId="2" r:id="rId1"/>
    <sheet name="PerA" sheetId="6" r:id="rId2"/>
    <sheet name="PerB" sheetId="26" r:id="rId3"/>
    <sheet name="PerC" sheetId="27" r:id="rId4"/>
    <sheet name="PerD" sheetId="28" r:id="rId5"/>
    <sheet name="EquA" sheetId="22" r:id="rId6"/>
    <sheet name="EquB" sheetId="23" r:id="rId7"/>
    <sheet name="EquC" sheetId="24" r:id="rId8"/>
    <sheet name="EquD" sheetId="25" r:id="rId9"/>
    <sheet name="CC" sheetId="11" r:id="rId10"/>
    <sheet name="NdC" sheetId="12" r:id="rId11"/>
    <sheet name="PN" sheetId="13" r:id="rId12"/>
    <sheet name="Notes" sheetId="21" r:id="rId13"/>
    <sheet name="StatGroupe" sheetId="10" r:id="rId14"/>
    <sheet name="TalentsGroupe" sheetId="14" r:id="rId15"/>
  </sheets>
  <externalReferences>
    <externalReference r:id="rId16"/>
    <externalReference r:id="rId17"/>
    <externalReference r:id="rId18"/>
    <externalReference r:id="rId19"/>
  </externalReferences>
  <definedNames>
    <definedName name="_Toc402878126" localSheetId="4">PerD!$Y$26</definedName>
    <definedName name="acrobatie" localSheetId="6">[1]Talents!$L$2</definedName>
    <definedName name="acrobatie" localSheetId="7">[2]Talents!$L$2</definedName>
    <definedName name="acrobatie" localSheetId="8">[3]Talents!$L$2</definedName>
    <definedName name="acrobatie">[4]Talents!$L$2</definedName>
    <definedName name="agriculture" localSheetId="6">[1]Talents!$L$3</definedName>
    <definedName name="agriculture" localSheetId="7">[2]Talents!$L$3</definedName>
    <definedName name="agriculture" localSheetId="8">[3]Talents!$L$3</definedName>
    <definedName name="agriculture">[4]Talents!$L$3</definedName>
    <definedName name="alchimie" localSheetId="6">[1]Talents!$L$4</definedName>
    <definedName name="alchimie" localSheetId="7">[2]Talents!$L$4</definedName>
    <definedName name="alchimie" localSheetId="8">[3]Talents!$L$4</definedName>
    <definedName name="alchimie">[4]Talents!$L$4</definedName>
    <definedName name="année">EtatGroupe!$B$1</definedName>
    <definedName name="arbalète" localSheetId="6">[1]Talents!$AB$41</definedName>
    <definedName name="arbalète" localSheetId="7">[2]Talents!$AB$41</definedName>
    <definedName name="arbalète" localSheetId="8">[3]Talents!$AB$41</definedName>
    <definedName name="arbalète">[4]Talents!$AB$41</definedName>
    <definedName name="arc" localSheetId="6">[1]Talents!$AB$42</definedName>
    <definedName name="arc" localSheetId="7">[2]Talents!$AB$42</definedName>
    <definedName name="arc" localSheetId="8">[3]Talents!$AB$42</definedName>
    <definedName name="arc">[4]Talents!$AB$42</definedName>
    <definedName name="artDuCombat" localSheetId="6">[1]Talents!$AB$43</definedName>
    <definedName name="artDuCombat" localSheetId="7">[2]Talents!$AB$43</definedName>
    <definedName name="artDuCombat" localSheetId="8">[3]Talents!$AB$43</definedName>
    <definedName name="artDuCombat">[4]Talents!$AB$43</definedName>
    <definedName name="assassinat" localSheetId="6">[1]Talents!$L$7</definedName>
    <definedName name="assassinat" localSheetId="7">[2]Talents!$L$7</definedName>
    <definedName name="assassinat" localSheetId="8">[3]Talents!$L$7</definedName>
    <definedName name="assassinat">[4]Talents!$L$7</definedName>
    <definedName name="astrologie" localSheetId="6">[1]Talents!$L$8</definedName>
    <definedName name="astrologie" localSheetId="7">[2]Talents!$L$8</definedName>
    <definedName name="astrologie" localSheetId="8">[3]Talents!$L$8</definedName>
    <definedName name="astrologie">[4]Talents!$L$8</definedName>
    <definedName name="attaque" localSheetId="6">[1]Talents!$AB$44</definedName>
    <definedName name="attaque" localSheetId="7">[2]Talents!$AB$44</definedName>
    <definedName name="attaque" localSheetId="8">[3]Talents!$AB$44</definedName>
    <definedName name="attaque">[4]Talents!$AB$44</definedName>
    <definedName name="baratinage" localSheetId="6">[1]Talents!$L$9</definedName>
    <definedName name="baratinage" localSheetId="7">[2]Talents!$L$9</definedName>
    <definedName name="baratinage" localSheetId="8">[3]Talents!$L$9</definedName>
    <definedName name="baratinage">[4]Talents!$L$9</definedName>
    <definedName name="bouclier" localSheetId="6">[1]Talents!$AB$45</definedName>
    <definedName name="bouclier" localSheetId="7">[2]Talents!$AB$45</definedName>
    <definedName name="bouclier" localSheetId="8">[3]Talents!$AB$45</definedName>
    <definedName name="bouclier">[4]Talents!$AB$45</definedName>
    <definedName name="brasserie" localSheetId="6">[1]Talents!$L$10</definedName>
    <definedName name="brasserie" localSheetId="7">[2]Talents!$L$10</definedName>
    <definedName name="brasserie" localSheetId="8">[3]Talents!$L$10</definedName>
    <definedName name="brasserie">[4]Talents!$L$10</definedName>
    <definedName name="calligraphie" localSheetId="6">[1]Talents!$L$11</definedName>
    <definedName name="calligraphie" localSheetId="7">[2]Talents!$L$11</definedName>
    <definedName name="calligraphie" localSheetId="8">[3]Talents!$L$11</definedName>
    <definedName name="calligraphie">[4]Talents!$L$11</definedName>
    <definedName name="car" localSheetId="6">[1]Perso!$E$28</definedName>
    <definedName name="car" localSheetId="7">[2]Perso!$E$28</definedName>
    <definedName name="car" localSheetId="8">[3]Perso!$E$28</definedName>
    <definedName name="car">[4]Perso!$E$28</definedName>
    <definedName name="carac" localSheetId="6">[1]Perso!$C$13:$E$41</definedName>
    <definedName name="carac" localSheetId="7">[2]Perso!$C$13:$E$41</definedName>
    <definedName name="carac" localSheetId="8">[3]Perso!$C$13:$E$41</definedName>
    <definedName name="carac">[4]Perso!$C$13:$E$41</definedName>
    <definedName name="cartographie" localSheetId="6">[1]Talents!$L$12</definedName>
    <definedName name="cartographie" localSheetId="7">[2]Talents!$L$12</definedName>
    <definedName name="cartographie" localSheetId="8">[3]Talents!$L$12</definedName>
    <definedName name="cartographie">[4]Talents!$L$12</definedName>
    <definedName name="cavalerie" localSheetId="6">[1]Talents!$L$13</definedName>
    <definedName name="cavalerie" localSheetId="7">[2]Talents!$L$13</definedName>
    <definedName name="cavalerie" localSheetId="8">[3]Talents!$L$13</definedName>
    <definedName name="cavalerie">[4]Talents!$L$13</definedName>
    <definedName name="cha" localSheetId="6">[1]Perso!$E$41</definedName>
    <definedName name="cha" localSheetId="7">[2]Perso!$E$41</definedName>
    <definedName name="cha" localSheetId="8">[3]Perso!$E$41</definedName>
    <definedName name="cha">[4]Perso!$E$41</definedName>
    <definedName name="chan" localSheetId="6">[1]Perso!$D$41</definedName>
    <definedName name="chan" localSheetId="7">[2]Perso!$D$41</definedName>
    <definedName name="chan" localSheetId="8">[3]Perso!$D$41</definedName>
    <definedName name="chan">[4]Perso!$D$41</definedName>
    <definedName name="chant" localSheetId="6">[1]Talents!$L$14</definedName>
    <definedName name="chant" localSheetId="7">[2]Talents!$L$14</definedName>
    <definedName name="chant" localSheetId="8">[3]Talents!$L$14</definedName>
    <definedName name="chant">[4]Talents!$L$14</definedName>
    <definedName name="charge" localSheetId="6">[1]Talents!$AB$46</definedName>
    <definedName name="charge" localSheetId="7">[2]Talents!$AB$46</definedName>
    <definedName name="charge" localSheetId="8">[3]Talents!$AB$46</definedName>
    <definedName name="charge">[4]Talents!$AB$46</definedName>
    <definedName name="charpente" localSheetId="6">[1]Talents!$L$15</definedName>
    <definedName name="charpente" localSheetId="7">[2]Talents!$L$15</definedName>
    <definedName name="charpente" localSheetId="8">[3]Talents!$L$15</definedName>
    <definedName name="charpente">[4]Talents!$L$15</definedName>
    <definedName name="chasse" localSheetId="6">[1]Talents!$L$16</definedName>
    <definedName name="chasse" localSheetId="7">[2]Talents!$L$16</definedName>
    <definedName name="chasse" localSheetId="8">[3]Talents!$L$16</definedName>
    <definedName name="chasse">[4]Talents!$L$16</definedName>
    <definedName name="com" localSheetId="6">[1]Perso!$E$34</definedName>
    <definedName name="com" localSheetId="7">[2]Perso!$E$34</definedName>
    <definedName name="com" localSheetId="8">[3]Perso!$E$34</definedName>
    <definedName name="com">[4]Perso!$E$34</definedName>
    <definedName name="combatA2armes" localSheetId="6">[1]Talents!$AB$48</definedName>
    <definedName name="combatA2armes" localSheetId="7">[2]Talents!$AB$48</definedName>
    <definedName name="combatA2armes" localSheetId="8">[3]Talents!$AB$48</definedName>
    <definedName name="combatA2armes">[4]Talents!$AB$48</definedName>
    <definedName name="comédie" localSheetId="6">[1]Talents!$L$17</definedName>
    <definedName name="comédie" localSheetId="7">[2]Talents!$L$17</definedName>
    <definedName name="comédie" localSheetId="8">[3]Talents!$L$17</definedName>
    <definedName name="comédie">[4]Talents!$L$17</definedName>
    <definedName name="commerce" localSheetId="6">[1]Talents!$L$18</definedName>
    <definedName name="commerce" localSheetId="7">[2]Talents!$L$18</definedName>
    <definedName name="commerce" localSheetId="8">[3]Talents!$L$18</definedName>
    <definedName name="commerce">[4]Talents!$L$18</definedName>
    <definedName name="construction" localSheetId="6">[1]Talents!$L$20</definedName>
    <definedName name="construction" localSheetId="7">[2]Talents!$L$20</definedName>
    <definedName name="construction" localSheetId="8">[3]Talents!$L$20</definedName>
    <definedName name="construction">[4]Talents!$L$20</definedName>
    <definedName name="constructionNavale" localSheetId="6">[1]Talents!$L$19</definedName>
    <definedName name="constructionNavale" localSheetId="7">[2]Talents!$L$19</definedName>
    <definedName name="constructionNavale" localSheetId="8">[3]Talents!$L$19</definedName>
    <definedName name="constructionNavale">[4]Talents!$L$19</definedName>
    <definedName name="convoyage" localSheetId="6">[1]Talents!$L$21</definedName>
    <definedName name="convoyage" localSheetId="7">[2]Talents!$L$21</definedName>
    <definedName name="convoyage" localSheetId="8">[3]Talents!$L$21</definedName>
    <definedName name="convoyage">[4]Talents!$L$21</definedName>
    <definedName name="coo" localSheetId="6">[1]Perso!$E$19</definedName>
    <definedName name="coo" localSheetId="7">[2]Perso!$E$19</definedName>
    <definedName name="coo" localSheetId="8">[3]Perso!$E$19</definedName>
    <definedName name="coo">[4]Perso!$E$19</definedName>
    <definedName name="coon" localSheetId="6">[1]Perso!$D$19</definedName>
    <definedName name="coon" localSheetId="7">[2]Perso!$D$19</definedName>
    <definedName name="coon" localSheetId="8">[3]Perso!$D$19</definedName>
    <definedName name="coon">[4]Perso!$D$19</definedName>
    <definedName name="corruption" localSheetId="6">[1]Talents!$L$22</definedName>
    <definedName name="corruption" localSheetId="7">[2]Talents!$L$22</definedName>
    <definedName name="corruption" localSheetId="8">[3]Talents!$L$22</definedName>
    <definedName name="corruption">[4]Talents!$L$22</definedName>
    <definedName name="coupe" localSheetId="6">[1]Talents!$L$23</definedName>
    <definedName name="coupe" localSheetId="7">[2]Talents!$L$23</definedName>
    <definedName name="coupe" localSheetId="8">[3]Talents!$L$23</definedName>
    <definedName name="coupe">[4]Talents!$L$23</definedName>
    <definedName name="Course" localSheetId="6">[1]Perso!#REF!</definedName>
    <definedName name="Course" localSheetId="7">[2]Perso!#REF!</definedName>
    <definedName name="Course" localSheetId="8">[3]Perso!#REF!</definedName>
    <definedName name="Course" localSheetId="2">[4]Perso!#REF!</definedName>
    <definedName name="Course" localSheetId="3">[4]Perso!#REF!</definedName>
    <definedName name="Course" localSheetId="4">[4]Perso!#REF!</definedName>
    <definedName name="Course">[4]Perso!#REF!</definedName>
    <definedName name="couture" localSheetId="6">[1]Talents!$L$24</definedName>
    <definedName name="couture" localSheetId="7">[2]Talents!$L$24</definedName>
    <definedName name="couture" localSheetId="8">[3]Talents!$L$24</definedName>
    <definedName name="couture">[4]Talents!$L$24</definedName>
    <definedName name="création" localSheetId="6">[1]Talents!$L$25</definedName>
    <definedName name="création" localSheetId="7">[2]Talents!$L$25</definedName>
    <definedName name="création" localSheetId="8">[3]Talents!$L$25</definedName>
    <definedName name="création">[4]Talents!$L$25</definedName>
    <definedName name="criminalité" localSheetId="6">[1]Talents!$L$26</definedName>
    <definedName name="criminalité" localSheetId="7">[2]Talents!$L$26</definedName>
    <definedName name="criminalité" localSheetId="8">[3]Talents!$L$26</definedName>
    <definedName name="criminalité">[4]Talents!$L$26</definedName>
    <definedName name="CS" localSheetId="6">[1]Perso!$J$29</definedName>
    <definedName name="CS" localSheetId="7">[2]Perso!$J$29</definedName>
    <definedName name="CS" localSheetId="8">[3]Perso!$J$29</definedName>
    <definedName name="CS">[4]Perso!$J$29</definedName>
    <definedName name="cueillette" localSheetId="6">[1]Talents!$L$27</definedName>
    <definedName name="cueillette" localSheetId="7">[2]Talents!$L$27</definedName>
    <definedName name="cueillette" localSheetId="8">[3]Talents!$L$27</definedName>
    <definedName name="cueillette">[4]Talents!$L$27</definedName>
    <definedName name="cuir" localSheetId="6">[1]Talents!$L$28</definedName>
    <definedName name="cuir" localSheetId="7">[2]Talents!$L$28</definedName>
    <definedName name="cuir" localSheetId="8">[3]Talents!$L$28</definedName>
    <definedName name="cuir">[4]Talents!$L$28</definedName>
    <definedName name="cuisine" localSheetId="6">[1]Talents!$L$29</definedName>
    <definedName name="cuisine" localSheetId="7">[2]Talents!$L$29</definedName>
    <definedName name="cuisine" localSheetId="8">[3]Talents!$L$29</definedName>
    <definedName name="cuisine">[4]Talents!$L$29</definedName>
    <definedName name="dague" localSheetId="6">[1]Talents!$AB$49</definedName>
    <definedName name="dague" localSheetId="7">[2]Talents!$AB$49</definedName>
    <definedName name="dague" localSheetId="8">[3]Talents!$AB$49</definedName>
    <definedName name="dague">[4]Talents!$AB$49</definedName>
    <definedName name="danse" localSheetId="6">[1]Talents!$L$30</definedName>
    <definedName name="danse" localSheetId="7">[2]Talents!$L$30</definedName>
    <definedName name="danse" localSheetId="8">[3]Talents!$L$30</definedName>
    <definedName name="danse">[4]Talents!$L$30</definedName>
    <definedName name="défense" localSheetId="6">[1]Talents!$AB$50</definedName>
    <definedName name="défense" localSheetId="7">[2]Talents!$AB$50</definedName>
    <definedName name="défense" localSheetId="8">[3]Talents!$AB$50</definedName>
    <definedName name="défense">[4]Talents!$AB$50</definedName>
    <definedName name="diplomatie" localSheetId="6">[1]Talents!$L$31</definedName>
    <definedName name="diplomatie" localSheetId="7">[2]Talents!$L$31</definedName>
    <definedName name="diplomatie" localSheetId="8">[3]Talents!$L$31</definedName>
    <definedName name="diplomatie">[4]Talents!$L$31</definedName>
    <definedName name="dissimulation" localSheetId="6">[1]Talents!$L$32</definedName>
    <definedName name="dissimulation" localSheetId="7">[2]Talents!$L$32</definedName>
    <definedName name="dissimulation" localSheetId="8">[3]Talents!$L$32</definedName>
    <definedName name="dissimulation">[4]Talents!$L$32</definedName>
    <definedName name="divers" localSheetId="6">[1]Talents!$AB$51</definedName>
    <definedName name="divers" localSheetId="7">[2]Talents!$AB$51</definedName>
    <definedName name="divers" localSheetId="8">[3]Talents!$AB$51</definedName>
    <definedName name="divers">[4]Talents!$AB$51</definedName>
    <definedName name="DTV" localSheetId="6">[1]Perso!$J$15</definedName>
    <definedName name="DTV" localSheetId="7">[2]Perso!$J$15</definedName>
    <definedName name="DTV" localSheetId="8">[3]Perso!$J$15</definedName>
    <definedName name="DTV">[4]Perso!$J$15</definedName>
    <definedName name="élevage" localSheetId="6">[1]Talents!$L$34</definedName>
    <definedName name="élevage" localSheetId="7">[2]Talents!$L$34</definedName>
    <definedName name="élevage" localSheetId="8">[3]Talents!$L$34</definedName>
    <definedName name="élevage">[4]Talents!$L$34</definedName>
    <definedName name="embuscade" localSheetId="6">[1]Talents!$AB$52</definedName>
    <definedName name="embuscade" localSheetId="7">[2]Talents!$AB$52</definedName>
    <definedName name="embuscade" localSheetId="8">[3]Talents!$AB$52</definedName>
    <definedName name="embuscade">[4]Talents!$AB$52</definedName>
    <definedName name="EN" localSheetId="6">[1]Perso!$J$41</definedName>
    <definedName name="EN" localSheetId="7">[2]Perso!$J$41</definedName>
    <definedName name="EN" localSheetId="8">[3]Perso!$J$41</definedName>
    <definedName name="EN">[4]Perso!$J$41</definedName>
    <definedName name="encomb" localSheetId="6">[1]Perso!$J$33</definedName>
    <definedName name="encomb" localSheetId="7">[2]Perso!$J$33</definedName>
    <definedName name="encomb" localSheetId="8">[3]Perso!$J$33</definedName>
    <definedName name="encomb">[4]Perso!$J$33</definedName>
    <definedName name="épée" localSheetId="6">[1]Talents!$AB$53</definedName>
    <definedName name="épée" localSheetId="7">[2]Talents!$AB$53</definedName>
    <definedName name="épée" localSheetId="8">[3]Talents!$AB$53</definedName>
    <definedName name="épée">[4]Talents!$AB$53</definedName>
    <definedName name="equ" localSheetId="6">[1]Perso!$E$23</definedName>
    <definedName name="equ" localSheetId="7">[2]Perso!$E$23</definedName>
    <definedName name="equ" localSheetId="8">[3]Perso!$E$23</definedName>
    <definedName name="equ">[4]Perso!$E$23</definedName>
    <definedName name="équarissage" localSheetId="6">[1]Talents!$L$35</definedName>
    <definedName name="équarissage" localSheetId="7">[2]Talents!$L$35</definedName>
    <definedName name="équarissage" localSheetId="8">[3]Talents!$L$35</definedName>
    <definedName name="équarissage">[4]Talents!$L$35</definedName>
    <definedName name="equn" localSheetId="6">[1]Perso!$D$23</definedName>
    <definedName name="equn" localSheetId="7">[2]Perso!$D$23</definedName>
    <definedName name="equn" localSheetId="8">[3]Perso!$D$23</definedName>
    <definedName name="equn">[4]Perso!$D$23</definedName>
    <definedName name="escalade" localSheetId="6">[1]Talents!$L$36</definedName>
    <definedName name="escalade" localSheetId="7">[2]Talents!$L$36</definedName>
    <definedName name="escalade" localSheetId="8">[3]Talents!$L$36</definedName>
    <definedName name="escalade">[4]Talents!$L$36</definedName>
    <definedName name="esquive" localSheetId="6">[1]Talents!$AB$54</definedName>
    <definedName name="esquive" localSheetId="7">[2]Talents!$AB$54</definedName>
    <definedName name="esquive" localSheetId="8">[3]Talents!$AB$54</definedName>
    <definedName name="esquive">[4]Talents!$AB$54</definedName>
    <definedName name="fat" localSheetId="6">[1]Perso!$E$17</definedName>
    <definedName name="fat" localSheetId="7">[2]Perso!$E$17</definedName>
    <definedName name="fat" localSheetId="8">[3]Perso!$E$17</definedName>
    <definedName name="fat">[4]Perso!$E$17</definedName>
    <definedName name="fatn" localSheetId="6">[1]Perso!$D$17</definedName>
    <definedName name="fatn" localSheetId="7">[2]Perso!$D$17</definedName>
    <definedName name="fatn" localSheetId="8">[3]Perso!$D$17</definedName>
    <definedName name="fatn">[4]Perso!$D$17</definedName>
    <definedName name="Foi" localSheetId="6">[1]Perso!$G$6</definedName>
    <definedName name="Foi" localSheetId="7">[2]Perso!$G$6</definedName>
    <definedName name="Foi" localSheetId="8">[3]Perso!$G$6</definedName>
    <definedName name="Foi">[4]Perso!$G$6</definedName>
    <definedName name="forge" localSheetId="6">[1]Talents!$L$37</definedName>
    <definedName name="forge" localSheetId="7">[2]Talents!$L$37</definedName>
    <definedName name="forge" localSheetId="8">[3]Talents!$L$37</definedName>
    <definedName name="forge">[4]Talents!$L$37</definedName>
    <definedName name="fronde" localSheetId="6">[1]Talents!$AB$55</definedName>
    <definedName name="fronde" localSheetId="7">[2]Talents!$AB$55</definedName>
    <definedName name="fronde" localSheetId="8">[3]Talents!$AB$55</definedName>
    <definedName name="fronde">[4]Talents!$AB$55</definedName>
    <definedName name="fuite" localSheetId="6">[1]Talents!$AB$56</definedName>
    <definedName name="fuite" localSheetId="7">[2]Talents!$AB$56</definedName>
    <definedName name="fuite" localSheetId="8">[3]Talents!$AB$56</definedName>
    <definedName name="fuite">[4]Talents!$AB$56</definedName>
    <definedName name="gacritm">PerA!$AI$29</definedName>
    <definedName name="garba" localSheetId="2">PerB!$S$41</definedName>
    <definedName name="garba" localSheetId="3">PerC!$S$41</definedName>
    <definedName name="garba" localSheetId="4">PerD!$S$41</definedName>
    <definedName name="garba">PerA!$S$41</definedName>
    <definedName name="garc" localSheetId="2">PerB!$S$42</definedName>
    <definedName name="garc" localSheetId="3">PerC!$S$42</definedName>
    <definedName name="garc" localSheetId="4">PerD!$S$42</definedName>
    <definedName name="garc">PerA!$S$42</definedName>
    <definedName name="gavdm">PerA!$AH$27</definedName>
    <definedName name="gavdn" localSheetId="2">PerB!$G$13</definedName>
    <definedName name="gavdn" localSheetId="3">PerC!$G$13</definedName>
    <definedName name="gavdn" localSheetId="4">PerD!$G$13</definedName>
    <definedName name="gavdn">PerA!$G$13</definedName>
    <definedName name="gavit">PerA!$G$27</definedName>
    <definedName name="gavitm">PerA!$AI$27</definedName>
    <definedName name="gavom">PerA!$AG$27</definedName>
    <definedName name="gavon" localSheetId="2">PerB!$G$12</definedName>
    <definedName name="gavon" localSheetId="3">PerC!$G$12</definedName>
    <definedName name="gavon" localSheetId="4">PerD!$G$12</definedName>
    <definedName name="gavon">PerA!$G$12</definedName>
    <definedName name="gavot">PerA!$AH$27</definedName>
    <definedName name="gestion" localSheetId="6">[1]Talents!$L$38</definedName>
    <definedName name="gestion" localSheetId="7">[2]Talents!$L$38</definedName>
    <definedName name="gestion" localSheetId="8">[3]Talents!$L$38</definedName>
    <definedName name="gestion">[4]Talents!$L$38</definedName>
    <definedName name="hache" localSheetId="6">[1]Talents!$AB$57</definedName>
    <definedName name="hache" localSheetId="7">[2]Talents!$AB$57</definedName>
    <definedName name="hache" localSheetId="8">[3]Talents!$AB$57</definedName>
    <definedName name="hache">[4]Talents!$AB$57</definedName>
    <definedName name="héraldique" localSheetId="6">[1]Talents!$L$39</definedName>
    <definedName name="héraldique" localSheetId="7">[2]Talents!$L$39</definedName>
    <definedName name="héraldique" localSheetId="8">[3]Talents!$L$39</definedName>
    <definedName name="héraldique">[4]Talents!$L$39</definedName>
    <definedName name="herboristerie" localSheetId="6">[1]Talents!$L$40</definedName>
    <definedName name="herboristerie" localSheetId="7">[2]Talents!$L$40</definedName>
    <definedName name="herboristerie" localSheetId="8">[3]Talents!$L$40</definedName>
    <definedName name="herboristerie">[4]Talents!$L$40</definedName>
    <definedName name="hpv" localSheetId="6">[1]Perso!$J$14</definedName>
    <definedName name="hpv" localSheetId="7">[2]Perso!$J$14</definedName>
    <definedName name="hpv" localSheetId="8">[3]Perso!$J$14</definedName>
    <definedName name="hpv">[4]Perso!$J$14</definedName>
    <definedName name="ingéniérie" localSheetId="6">[1]Talents!$L$41</definedName>
    <definedName name="ingéniérie" localSheetId="7">[2]Talents!$L$41</definedName>
    <definedName name="ingéniérie" localSheetId="8">[3]Talents!$L$41</definedName>
    <definedName name="ingéniérie">[4]Talents!$L$41</definedName>
    <definedName name="intrigue" localSheetId="6">[1]Talents!$L$42</definedName>
    <definedName name="intrigue" localSheetId="7">[2]Talents!$L$42</definedName>
    <definedName name="intrigue" localSheetId="8">[3]Talents!$L$42</definedName>
    <definedName name="intrigue">[4]Talents!$L$42</definedName>
    <definedName name="inu" localSheetId="6">[1]Perso!$E$35</definedName>
    <definedName name="inu" localSheetId="7">[2]Perso!$E$35</definedName>
    <definedName name="inu" localSheetId="8">[3]Perso!$E$35</definedName>
    <definedName name="inu">[4]Perso!$E$35</definedName>
    <definedName name="inun" localSheetId="6">[1]Perso!$D$35</definedName>
    <definedName name="inun" localSheetId="7">[2]Perso!$D$35</definedName>
    <definedName name="inun" localSheetId="8">[3]Perso!$D$35</definedName>
    <definedName name="inun">[4]Perso!$D$35</definedName>
    <definedName name="jeu" localSheetId="6">[1]Talents!$L$43</definedName>
    <definedName name="jeu" localSheetId="7">[2]Talents!$L$43</definedName>
    <definedName name="jeu" localSheetId="8">[3]Talents!$L$43</definedName>
    <definedName name="jeu">[4]Talents!$L$43</definedName>
    <definedName name="joaillerie" localSheetId="6">[1]Talents!$L$44</definedName>
    <definedName name="joaillerie" localSheetId="7">[2]Talents!$L$44</definedName>
    <definedName name="joaillerie" localSheetId="8">[3]Talents!$L$44</definedName>
    <definedName name="joaillerie">[4]Talents!$L$44</definedName>
    <definedName name="lance" localSheetId="6">[1]Talents!$AB$58</definedName>
    <definedName name="lance" localSheetId="7">[2]Talents!$AB$58</definedName>
    <definedName name="lance" localSheetId="8">[3]Talents!$AB$58</definedName>
    <definedName name="lance">[4]Talents!$AB$58</definedName>
    <definedName name="language" localSheetId="6">[1]Talents!$L$51</definedName>
    <definedName name="language" localSheetId="7">[2]Talents!$L$51</definedName>
    <definedName name="language" localSheetId="8">[3]Talents!$L$51</definedName>
    <definedName name="language">[4]Talents!$L$51</definedName>
    <definedName name="langueDesSignes" localSheetId="6">[1]Talents!$L$50</definedName>
    <definedName name="langueDesSignes" localSheetId="7">[2]Talents!$L$50</definedName>
    <definedName name="langueDesSignes" localSheetId="8">[3]Talents!$L$50</definedName>
    <definedName name="langueDesSignes">[4]Talents!$L$50</definedName>
    <definedName name="langueDivine" localSheetId="6">[1]Talents!$L$45</definedName>
    <definedName name="langueDivine" localSheetId="7">[2]Talents!$L$45</definedName>
    <definedName name="langueDivine" localSheetId="8">[3]Talents!$L$45</definedName>
    <definedName name="langueDivine">[4]Talents!$L$45</definedName>
    <definedName name="langueNonhumaine" localSheetId="6">[1]Talents!$L$47</definedName>
    <definedName name="langueNonhumaine" localSheetId="7">[2]Talents!$L$47</definedName>
    <definedName name="langueNonhumaine" localSheetId="8">[3]Talents!$L$47</definedName>
    <definedName name="langueNonhumaine">[4]Talents!$L$47</definedName>
    <definedName name="lecture" localSheetId="6">[1]Talents!$L$56</definedName>
    <definedName name="lecture" localSheetId="7">[2]Talents!$L$56</definedName>
    <definedName name="lecture" localSheetId="8">[3]Talents!$L$56</definedName>
    <definedName name="lecture">[4]Talents!$L$56</definedName>
    <definedName name="lectureLèvres" localSheetId="6">[1]Talents!$L$60</definedName>
    <definedName name="lectureLèvres" localSheetId="7">[2]Talents!$L$60</definedName>
    <definedName name="lectureLèvres" localSheetId="8">[3]Talents!$L$60</definedName>
    <definedName name="lectureLèvres">[4]Talents!$L$60</definedName>
    <definedName name="maçonnerie" localSheetId="6">[1]Talents!$L$63</definedName>
    <definedName name="maçonnerie" localSheetId="7">[2]Talents!$L$63</definedName>
    <definedName name="maçonnerie" localSheetId="8">[3]Talents!$L$63</definedName>
    <definedName name="maçonnerie">[4]Talents!$L$63</definedName>
    <definedName name="magie" localSheetId="6">[1]Talents!$L$64</definedName>
    <definedName name="magie" localSheetId="7">[2]Talents!$L$64</definedName>
    <definedName name="magie" localSheetId="8">[3]Talents!$L$64</definedName>
    <definedName name="magie">[4]Talents!$L$64</definedName>
    <definedName name="man" localSheetId="6">[1]Perso!$E$20</definedName>
    <definedName name="man" localSheetId="7">[2]Perso!$E$20</definedName>
    <definedName name="man" localSheetId="8">[3]Perso!$E$20</definedName>
    <definedName name="man">[4]Perso!$E$20</definedName>
    <definedName name="Mana" localSheetId="6">[1]Perso!$J$38</definedName>
    <definedName name="Mana" localSheetId="7">[2]Perso!$J$38</definedName>
    <definedName name="Mana" localSheetId="8">[3]Perso!$J$38</definedName>
    <definedName name="Mana">[4]Perso!$J$38</definedName>
    <definedName name="maquillage" localSheetId="6">[1]Talents!$L$65</definedName>
    <definedName name="maquillage" localSheetId="7">[2]Talents!$L$65</definedName>
    <definedName name="maquillage" localSheetId="8">[3]Talents!$L$65</definedName>
    <definedName name="maquillage">[4]Talents!$L$65</definedName>
    <definedName name="marine" localSheetId="6">[1]Talents!$L$66</definedName>
    <definedName name="marine" localSheetId="7">[2]Talents!$L$66</definedName>
    <definedName name="marine" localSheetId="8">[3]Talents!$L$66</definedName>
    <definedName name="marine">[4]Talents!$L$66</definedName>
    <definedName name="masse" localSheetId="6">[1]Talents!$AB$59</definedName>
    <definedName name="masse" localSheetId="7">[2]Talents!$AB$59</definedName>
    <definedName name="masse" localSheetId="8">[3]Talents!$AB$59</definedName>
    <definedName name="masse">[4]Talents!$AB$59</definedName>
    <definedName name="médecine" localSheetId="6">[1]Talents!$L$67</definedName>
    <definedName name="médecine" localSheetId="7">[2]Talents!$L$67</definedName>
    <definedName name="médecine" localSheetId="8">[3]Talents!$L$67</definedName>
    <definedName name="médecine">[4]Talents!$L$67</definedName>
    <definedName name="mêlée" localSheetId="6">[1]Talents!$AB$60</definedName>
    <definedName name="mêlée" localSheetId="7">[2]Talents!$AB$60</definedName>
    <definedName name="mêlée" localSheetId="8">[3]Talents!$AB$60</definedName>
    <definedName name="mêlée">[4]Talents!$AB$60</definedName>
    <definedName name="mem" localSheetId="6">[1]Perso!$E$26</definedName>
    <definedName name="mem" localSheetId="7">[2]Perso!$E$26</definedName>
    <definedName name="mem" localSheetId="8">[3]Perso!$E$26</definedName>
    <definedName name="mem">[4]Perso!$E$26</definedName>
    <definedName name="memn" localSheetId="6">[1]Perso!$D$26</definedName>
    <definedName name="memn" localSheetId="7">[2]Perso!$D$26</definedName>
    <definedName name="memn" localSheetId="8">[3]Perso!$D$26</definedName>
    <definedName name="memn">[4]Perso!$D$26</definedName>
    <definedName name="mendicité" localSheetId="6">[1]Talents!$L$68</definedName>
    <definedName name="mendicité" localSheetId="7">[2]Talents!$L$68</definedName>
    <definedName name="mendicité" localSheetId="8">[3]Talents!$L$68</definedName>
    <definedName name="mendicité">[4]Talents!$L$68</definedName>
    <definedName name="mine" localSheetId="6">[1]Talents!$L$69</definedName>
    <definedName name="mine" localSheetId="7">[2]Talents!$L$69</definedName>
    <definedName name="mine" localSheetId="8">[3]Talents!$L$69</definedName>
    <definedName name="mine">[4]Talents!$L$69</definedName>
    <definedName name="minéraux" localSheetId="6">[1]Talents!$L$70</definedName>
    <definedName name="minéraux" localSheetId="7">[2]Talents!$L$70</definedName>
    <definedName name="minéraux" localSheetId="8">[3]Talents!$L$70</definedName>
    <definedName name="minéraux">[4]Talents!$L$70</definedName>
    <definedName name="musique" localSheetId="6">[1]Talents!$L$71</definedName>
    <definedName name="musique" localSheetId="7">[2]Talents!$L$71</definedName>
    <definedName name="musique" localSheetId="8">[3]Talents!$L$71</definedName>
    <definedName name="musique">[4]Talents!$L$71</definedName>
    <definedName name="MVP" localSheetId="6">[1]Perso!$J$46</definedName>
    <definedName name="MVP" localSheetId="7">[2]Perso!$J$46</definedName>
    <definedName name="MVP" localSheetId="8">[3]Perso!$J$46</definedName>
    <definedName name="MVP">[4]Perso!$J$46</definedName>
    <definedName name="navigation" localSheetId="6">[1]Talents!$AB$3</definedName>
    <definedName name="navigation" localSheetId="7">[2]Talents!$AB$3</definedName>
    <definedName name="navigation" localSheetId="8">[3]Talents!$AB$3</definedName>
    <definedName name="navigation">[4]Talents!$AB$3</definedName>
    <definedName name="NEC" localSheetId="6">[1]Perso!$J$11</definedName>
    <definedName name="NEC" localSheetId="7">[2]Perso!$J$11</definedName>
    <definedName name="NEC" localSheetId="8">[3]Perso!$J$11</definedName>
    <definedName name="NEC">[4]Perso!$J$11</definedName>
    <definedName name="NEM" localSheetId="6">[1]Perso!$J$34</definedName>
    <definedName name="NEM" localSheetId="7">[2]Perso!$J$34</definedName>
    <definedName name="NEM" localSheetId="8">[3]Perso!$J$34</definedName>
    <definedName name="NEM">[4]Perso!$J$34</definedName>
    <definedName name="obéissance" localSheetId="6">[1]Talents!$AB$61</definedName>
    <definedName name="obéissance" localSheetId="7">[2]Talents!$AB$61</definedName>
    <definedName name="obéissance" localSheetId="8">[3]Talents!$AB$61</definedName>
    <definedName name="obéissance">[4]Talents!$AB$61</definedName>
    <definedName name="Pdc" localSheetId="6">[1]Perso!$J$14</definedName>
    <definedName name="Pdc" localSheetId="7">[2]Perso!$J$14</definedName>
    <definedName name="Pdc" localSheetId="8">[3]Perso!$J$14</definedName>
    <definedName name="Pdc">[4]Perso!$J$14</definedName>
    <definedName name="pêche" localSheetId="6">[1]Talents!$AB$4</definedName>
    <definedName name="pêche" localSheetId="7">[2]Talents!$AB$4</definedName>
    <definedName name="pêche" localSheetId="8">[3]Talents!$AB$4</definedName>
    <definedName name="pêche">[4]Talents!$AB$4</definedName>
    <definedName name="pièges" localSheetId="6">[1]Talents!$AB$5</definedName>
    <definedName name="pièges" localSheetId="7">[2]Talents!$AB$5</definedName>
    <definedName name="pièges" localSheetId="8">[3]Talents!$AB$5</definedName>
    <definedName name="pièges">[4]Talents!$AB$5</definedName>
    <definedName name="piéton" localSheetId="6">[1]Talents!$AB$6</definedName>
    <definedName name="piéton" localSheetId="7">[2]Talents!$AB$6</definedName>
    <definedName name="piéton" localSheetId="8">[3]Talents!$AB$6</definedName>
    <definedName name="piéton">[4]Talents!$AB$6</definedName>
    <definedName name="pique" localSheetId="6">[1]Talents!$AB$62</definedName>
    <definedName name="pique" localSheetId="7">[2]Talents!$AB$62</definedName>
    <definedName name="pique" localSheetId="8">[3]Talents!$AB$62</definedName>
    <definedName name="pique">[4]Talents!$AB$62</definedName>
    <definedName name="piste" localSheetId="6">[1]Talents!$AB$7</definedName>
    <definedName name="piste" localSheetId="7">[2]Talents!$AB$7</definedName>
    <definedName name="piste" localSheetId="8">[3]Talents!$AB$7</definedName>
    <definedName name="piste">[4]Talents!$AB$7</definedName>
    <definedName name="PMA" localSheetId="6">[1]Perso!$J$37</definedName>
    <definedName name="PMA" localSheetId="7">[2]Perso!$J$37</definedName>
    <definedName name="PMA" localSheetId="8">[3]Perso!$J$37</definedName>
    <definedName name="PMA">[4]Perso!$J$37</definedName>
    <definedName name="poids" localSheetId="6">[1]Perso!$D$2</definedName>
    <definedName name="poids" localSheetId="7">[2]Perso!$D$2</definedName>
    <definedName name="poids" localSheetId="8">[3]Perso!$D$2</definedName>
    <definedName name="poids">[4]Perso!$D$2</definedName>
    <definedName name="poison" localSheetId="6">[1]Talents!$AB$8</definedName>
    <definedName name="poison" localSheetId="7">[2]Talents!$AB$8</definedName>
    <definedName name="poison" localSheetId="8">[3]Talents!$AB$8</definedName>
    <definedName name="poison">[4]Talents!$AB$8</definedName>
    <definedName name="Porter" localSheetId="6">[1]Perso!$J$30</definedName>
    <definedName name="Porter" localSheetId="7">[2]Perso!$J$30</definedName>
    <definedName name="Porter" localSheetId="8">[3]Perso!$J$30</definedName>
    <definedName name="Porter">[4]Perso!$J$30</definedName>
    <definedName name="poterie" localSheetId="6">[1]Talents!$AB$9</definedName>
    <definedName name="poterie" localSheetId="7">[2]Talents!$AB$9</definedName>
    <definedName name="poterie" localSheetId="8">[3]Talents!$AB$9</definedName>
    <definedName name="poterie">[4]Talents!$AB$9</definedName>
    <definedName name="pou" localSheetId="6">[1]Perso!$E$14</definedName>
    <definedName name="pou" localSheetId="7">[2]Perso!$E$14</definedName>
    <definedName name="pou" localSheetId="8">[3]Perso!$E$14</definedName>
    <definedName name="pou">[4]Perso!$E$14</definedName>
    <definedName name="poun" localSheetId="6">[1]Perso!$D$14</definedName>
    <definedName name="poun" localSheetId="7">[2]Perso!$D$14</definedName>
    <definedName name="poun" localSheetId="8">[3]Perso!$D$14</definedName>
    <definedName name="poun">[4]Perso!$D$14</definedName>
    <definedName name="pub" localSheetId="6">[1]Perso!$F$13</definedName>
    <definedName name="pub" localSheetId="7">[2]Perso!$F$13</definedName>
    <definedName name="pub" localSheetId="8">[3]Perso!$F$13</definedName>
    <definedName name="pub">[4]Perso!$F$13</definedName>
    <definedName name="pui" localSheetId="6">[1]Perso!$E$13</definedName>
    <definedName name="pui" localSheetId="7">[2]Perso!$E$13</definedName>
    <definedName name="pui" localSheetId="8">[3]Perso!$E$13</definedName>
    <definedName name="pui">[4]Perso!$E$13</definedName>
    <definedName name="rap" localSheetId="6">[1]Perso!$E$32</definedName>
    <definedName name="rap" localSheetId="7">[2]Perso!$E$32</definedName>
    <definedName name="rap" localSheetId="8">[3]Perso!$E$32</definedName>
    <definedName name="rap">[4]Perso!$E$32</definedName>
    <definedName name="réaction" localSheetId="6">[1]Talents!$AB$63</definedName>
    <definedName name="réaction" localSheetId="7">[2]Talents!$AB$63</definedName>
    <definedName name="réaction" localSheetId="8">[3]Talents!$AB$63</definedName>
    <definedName name="réaction">[4]Talents!$AB$63</definedName>
    <definedName name="recherche" localSheetId="6">[1]Talents!$AB$10</definedName>
    <definedName name="recherche" localSheetId="7">[2]Talents!$AB$10</definedName>
    <definedName name="recherche" localSheetId="8">[3]Talents!$AB$10</definedName>
    <definedName name="recherche">[4]Talents!$AB$10</definedName>
    <definedName name="religion" localSheetId="6">[1]Talents!$AB$11</definedName>
    <definedName name="religion" localSheetId="7">[2]Talents!$AB$11</definedName>
    <definedName name="religion" localSheetId="8">[3]Talents!$AB$11</definedName>
    <definedName name="religion">[4]Talents!$AB$11</definedName>
    <definedName name="res" localSheetId="6">[1]Perso!$E$29</definedName>
    <definedName name="res" localSheetId="7">[2]Perso!$E$29</definedName>
    <definedName name="res" localSheetId="8">[3]Perso!$E$29</definedName>
    <definedName name="res">[4]Perso!$E$29</definedName>
    <definedName name="résilience" localSheetId="6">[1]Talents!$AB$12</definedName>
    <definedName name="résilience" localSheetId="7">[2]Talents!$AB$12</definedName>
    <definedName name="résilience" localSheetId="8">[3]Talents!$AB$12</definedName>
    <definedName name="résilience">[4]Talents!$AB$12</definedName>
    <definedName name="résistance" localSheetId="6">[1]Talents!$AB$64</definedName>
    <definedName name="résistance" localSheetId="7">[2]Talents!$AB$64</definedName>
    <definedName name="résistance" localSheetId="8">[3]Talents!$AB$64</definedName>
    <definedName name="résistance">[4]Talents!$AB$64</definedName>
    <definedName name="resn" localSheetId="6">[1]Perso!$D$29</definedName>
    <definedName name="resn" localSheetId="7">[2]Perso!$D$29</definedName>
    <definedName name="resn" localSheetId="8">[3]Perso!$D$29</definedName>
    <definedName name="resn">[4]Perso!$D$29</definedName>
    <definedName name="rhétorique" localSheetId="6">[1]Talents!$AB$13</definedName>
    <definedName name="rhétorique" localSheetId="7">[2]Talents!$AB$13</definedName>
    <definedName name="rhétorique" localSheetId="8">[3]Talents!$AB$13</definedName>
    <definedName name="rhétorique">[4]Talents!$AB$13</definedName>
    <definedName name="RM" localSheetId="6">[1]Perso!$J$15</definedName>
    <definedName name="RM" localSheetId="7">[2]Perso!$J$15</definedName>
    <definedName name="RM" localSheetId="8">[3]Perso!$J$15</definedName>
    <definedName name="RM">[4]Perso!$J$15</definedName>
    <definedName name="rob" localSheetId="6">[1]Perso!$E$38</definedName>
    <definedName name="rob" localSheetId="7">[2]Perso!$E$38</definedName>
    <definedName name="rob" localSheetId="8">[3]Perso!$E$38</definedName>
    <definedName name="rob">[4]Perso!$E$38</definedName>
    <definedName name="robb" localSheetId="6">[1]Perso!$F$38</definedName>
    <definedName name="robb" localSheetId="7">[2]Perso!$F$38</definedName>
    <definedName name="robb" localSheetId="8">[3]Perso!$F$38</definedName>
    <definedName name="robb">[4]Perso!$F$38</definedName>
    <definedName name="san" localSheetId="6">[1]Perso!$E$37</definedName>
    <definedName name="san" localSheetId="7">[2]Perso!$E$37</definedName>
    <definedName name="san" localSheetId="8">[3]Perso!$E$37</definedName>
    <definedName name="san">[4]Perso!$E$37</definedName>
    <definedName name="sann" localSheetId="6">[1]Perso!$D$37</definedName>
    <definedName name="sann" localSheetId="7">[2]Perso!$D$37</definedName>
    <definedName name="sann" localSheetId="8">[3]Perso!$D$37</definedName>
    <definedName name="sann">[4]Perso!$D$37</definedName>
    <definedName name="sculpture" localSheetId="6">[1]Talents!$AB$14</definedName>
    <definedName name="sculpture" localSheetId="7">[2]Talents!$AB$14</definedName>
    <definedName name="sculpture" localSheetId="8">[3]Talents!$AB$14</definedName>
    <definedName name="sculpture">[4]Talents!$AB$14</definedName>
    <definedName name="servage" localSheetId="6">[1]Talents!$AB$15</definedName>
    <definedName name="servage" localSheetId="7">[2]Talents!$AB$15</definedName>
    <definedName name="servage" localSheetId="8">[3]Talents!$AB$15</definedName>
    <definedName name="servage">[4]Talents!$AB$15</definedName>
    <definedName name="sexe" localSheetId="6">[1]Talents!$AB$16</definedName>
    <definedName name="sexe" localSheetId="7">[2]Talents!$AB$16</definedName>
    <definedName name="sexe" localSheetId="8">[3]Talents!$AB$16</definedName>
    <definedName name="sexe">[4]Talents!$AB$16</definedName>
    <definedName name="siège" localSheetId="6">[1]Talents!$AB$65</definedName>
    <definedName name="siège" localSheetId="7">[2]Talents!$AB$65</definedName>
    <definedName name="siège" localSheetId="8">[3]Talents!$AB$65</definedName>
    <definedName name="siège">[4]Talents!$AB$65</definedName>
    <definedName name="sop" localSheetId="6">[1]Perso!$E$22</definedName>
    <definedName name="sop" localSheetId="7">[2]Perso!$E$22</definedName>
    <definedName name="sop" localSheetId="8">[3]Perso!$E$22</definedName>
    <definedName name="sop">[4]Perso!$E$22</definedName>
    <definedName name="sopb" localSheetId="6">[1]Perso!$F$22</definedName>
    <definedName name="sopb" localSheetId="7">[2]Perso!$F$22</definedName>
    <definedName name="sopb" localSheetId="8">[3]Perso!$F$22</definedName>
    <definedName name="sopb">[4]Perso!$F$22</definedName>
    <definedName name="sou" localSheetId="6">[1]Perso!$E$16</definedName>
    <definedName name="sou" localSheetId="7">[2]Perso!$E$16</definedName>
    <definedName name="sou" localSheetId="8">[3]Perso!$E$16</definedName>
    <definedName name="sou">[4]Perso!$E$16</definedName>
    <definedName name="stratège" localSheetId="6">[1]Talents!$AB$17</definedName>
    <definedName name="stratège" localSheetId="7">[2]Talents!$AB$17</definedName>
    <definedName name="stratège" localSheetId="8">[3]Talents!$AB$17</definedName>
    <definedName name="stratège">[4]Talents!$AB$17</definedName>
    <definedName name="taille" localSheetId="6">[1]Perso!$C$2</definedName>
    <definedName name="taille" localSheetId="7">[2]Perso!$C$2</definedName>
    <definedName name="taille" localSheetId="8">[3]Perso!$C$2</definedName>
    <definedName name="taille">[4]Perso!$C$2</definedName>
    <definedName name="torture" localSheetId="6">[1]Talents!$AB$31</definedName>
    <definedName name="torture" localSheetId="7">[2]Talents!$AB$31</definedName>
    <definedName name="torture" localSheetId="8">[3]Talents!$AB$31</definedName>
    <definedName name="torture">[4]Talents!$AB$31</definedName>
    <definedName name="transport" localSheetId="6">[1]Talents!$AB$32</definedName>
    <definedName name="transport" localSheetId="7">[2]Talents!$AB$32</definedName>
    <definedName name="transport" localSheetId="8">[3]Talents!$AB$32</definedName>
    <definedName name="transport">[4]Talents!$AB$32</definedName>
    <definedName name="traque" localSheetId="6">[1]Talents!$AB$33</definedName>
    <definedName name="traque" localSheetId="7">[2]Talents!$AB$33</definedName>
    <definedName name="traque" localSheetId="8">[3]Talents!$AB$33</definedName>
    <definedName name="traque">[4]Talents!$AB$33</definedName>
    <definedName name="usure" localSheetId="6">[1]Talents!$AB$34</definedName>
    <definedName name="usure" localSheetId="7">[2]Talents!$AB$34</definedName>
    <definedName name="usure" localSheetId="8">[3]Talents!$AB$34</definedName>
    <definedName name="usure">[4]Talents!$AB$34</definedName>
    <definedName name="VDN" localSheetId="2">PerB!$G$13</definedName>
    <definedName name="VDN" localSheetId="3">PerC!$G$13</definedName>
    <definedName name="VDN" localSheetId="4">PerD!$G$13</definedName>
    <definedName name="VDN">PerA!$G$13</definedName>
    <definedName name="VIT" localSheetId="6">[1]Perso!$J$27</definedName>
    <definedName name="VIT" localSheetId="7">[2]Perso!$J$27</definedName>
    <definedName name="VIT" localSheetId="8">[3]Perso!$J$27</definedName>
    <definedName name="VIT">[4]Perso!$J$27</definedName>
    <definedName name="vitesse" localSheetId="6">[1]Talents!$AB$66</definedName>
    <definedName name="vitesse" localSheetId="7">[2]Talents!$AB$66</definedName>
    <definedName name="vitesse" localSheetId="8">[3]Talents!$AB$66</definedName>
    <definedName name="vitesse">[4]Talents!$AB$66</definedName>
    <definedName name="voi" localSheetId="6">[1]Perso!$E$31</definedName>
    <definedName name="voi" localSheetId="7">[2]Perso!$E$31</definedName>
    <definedName name="voi" localSheetId="8">[3]Perso!$E$31</definedName>
    <definedName name="voi">[4]Perso!$E$31</definedName>
    <definedName name="voin" localSheetId="6">[1]Perso!$D$31</definedName>
    <definedName name="voin" localSheetId="7">[2]Perso!$D$31</definedName>
    <definedName name="voin" localSheetId="8">[3]Perso!$D$31</definedName>
    <definedName name="voin">[4]Perso!$D$31</definedName>
    <definedName name="vol" localSheetId="6">[1]Talents!$AB$35</definedName>
    <definedName name="vol" localSheetId="7">[2]Talents!$AB$35</definedName>
    <definedName name="vol" localSheetId="8">[3]Talents!$AB$35</definedName>
    <definedName name="vol">[4]Talents!$AB$35</definedName>
    <definedName name="VON" localSheetId="2">PerB!$G$12</definedName>
    <definedName name="VON" localSheetId="3">PerC!$G$12</definedName>
    <definedName name="VON" localSheetId="4">PerD!$G$12</definedName>
    <definedName name="VON">PerA!$G$12</definedName>
  </definedNames>
  <calcPr calcId="162913"/>
</workbook>
</file>

<file path=xl/calcChain.xml><?xml version="1.0" encoding="utf-8"?>
<calcChain xmlns="http://schemas.openxmlformats.org/spreadsheetml/2006/main">
  <c r="V29" i="14" l="1"/>
  <c r="X29" i="14"/>
  <c r="Z29" i="14"/>
  <c r="AB29" i="14"/>
  <c r="V30" i="14"/>
  <c r="X30" i="14"/>
  <c r="Z30" i="14"/>
  <c r="AB30" i="14"/>
  <c r="S1" i="14"/>
  <c r="Q1" i="14"/>
  <c r="L107" i="24" l="1"/>
  <c r="M107" i="24"/>
  <c r="L108" i="24"/>
  <c r="M108" i="24"/>
  <c r="L109" i="24"/>
  <c r="M109" i="24"/>
  <c r="L110" i="24"/>
  <c r="M110" i="24"/>
  <c r="L111" i="24"/>
  <c r="M111" i="24"/>
  <c r="L112" i="24"/>
  <c r="M112" i="24"/>
  <c r="L113" i="24"/>
  <c r="M113" i="24"/>
  <c r="L114" i="24"/>
  <c r="M114" i="24"/>
  <c r="M56" i="25" l="1"/>
  <c r="M57" i="25"/>
  <c r="M58" i="25"/>
  <c r="M59" i="25"/>
  <c r="M60" i="25"/>
  <c r="M61" i="25"/>
  <c r="M62" i="25"/>
  <c r="M63" i="25"/>
  <c r="M64" i="25"/>
  <c r="M55" i="25"/>
  <c r="L56" i="25"/>
  <c r="L57" i="25"/>
  <c r="L58" i="25"/>
  <c r="L59" i="25"/>
  <c r="L60" i="25"/>
  <c r="L61" i="25"/>
  <c r="L62" i="25"/>
  <c r="L63" i="25"/>
  <c r="L64" i="25"/>
  <c r="L55" i="25"/>
  <c r="AB34" i="14" l="1"/>
  <c r="X34" i="14"/>
  <c r="V34" i="14"/>
  <c r="AB33" i="14"/>
  <c r="X33" i="14"/>
  <c r="V33" i="14"/>
  <c r="AB37" i="14"/>
  <c r="AB38" i="14"/>
  <c r="AB39" i="14"/>
  <c r="AB40" i="14"/>
  <c r="AB41" i="14"/>
  <c r="AB42" i="14"/>
  <c r="AB43" i="14"/>
  <c r="AB44" i="14"/>
  <c r="AB45" i="14"/>
  <c r="AB46" i="14"/>
  <c r="AB47" i="14"/>
  <c r="AB48" i="14"/>
  <c r="AB49" i="14"/>
  <c r="AB50" i="14"/>
  <c r="AB51" i="14"/>
  <c r="AB52" i="14"/>
  <c r="AB53" i="14"/>
  <c r="AB54" i="14"/>
  <c r="AB55" i="14"/>
  <c r="AB56" i="14"/>
  <c r="AB57" i="14"/>
  <c r="AB58" i="14"/>
  <c r="AB59" i="14"/>
  <c r="X37" i="14"/>
  <c r="X38" i="14"/>
  <c r="X39" i="14"/>
  <c r="X40" i="14"/>
  <c r="X41" i="14"/>
  <c r="X42" i="14"/>
  <c r="X43" i="14"/>
  <c r="X44" i="14"/>
  <c r="X45" i="14"/>
  <c r="X46" i="14"/>
  <c r="X47" i="14"/>
  <c r="X48" i="14"/>
  <c r="X49" i="14"/>
  <c r="X50" i="14"/>
  <c r="X51" i="14"/>
  <c r="X52" i="14"/>
  <c r="X53" i="14"/>
  <c r="X54" i="14"/>
  <c r="X55" i="14"/>
  <c r="X56" i="14"/>
  <c r="X57" i="14"/>
  <c r="X58" i="14"/>
  <c r="X59" i="14"/>
  <c r="V37" i="14"/>
  <c r="V38" i="14"/>
  <c r="V39" i="14"/>
  <c r="V40" i="14"/>
  <c r="V41" i="14"/>
  <c r="V42" i="14"/>
  <c r="V43" i="14"/>
  <c r="V44" i="14"/>
  <c r="V45" i="14"/>
  <c r="V46" i="14"/>
  <c r="V47" i="14"/>
  <c r="V48" i="14"/>
  <c r="V49" i="14"/>
  <c r="V50" i="14"/>
  <c r="V51" i="14"/>
  <c r="V52" i="14"/>
  <c r="V53" i="14"/>
  <c r="V54" i="14"/>
  <c r="V55" i="14"/>
  <c r="V56" i="14"/>
  <c r="V57" i="14"/>
  <c r="V58" i="14"/>
  <c r="V59" i="14"/>
  <c r="AB36" i="14"/>
  <c r="X36" i="14"/>
  <c r="V36" i="14"/>
  <c r="AB32" i="14"/>
  <c r="X32" i="14"/>
  <c r="V32" i="14"/>
  <c r="AB31" i="14"/>
  <c r="X31" i="14"/>
  <c r="V31" i="14"/>
  <c r="V28" i="14"/>
  <c r="X28" i="14"/>
  <c r="AB28" i="14"/>
  <c r="AB5" i="14"/>
  <c r="AB6" i="14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X5" i="14"/>
  <c r="X6" i="14"/>
  <c r="X7" i="14"/>
  <c r="X8" i="14"/>
  <c r="X9" i="14"/>
  <c r="X10" i="14"/>
  <c r="X11" i="14"/>
  <c r="X12" i="14"/>
  <c r="X13" i="14"/>
  <c r="X14" i="14"/>
  <c r="X15" i="14"/>
  <c r="X16" i="14"/>
  <c r="X17" i="14"/>
  <c r="X18" i="14"/>
  <c r="X19" i="14"/>
  <c r="V5" i="14"/>
  <c r="V6" i="14"/>
  <c r="V7" i="14"/>
  <c r="V8" i="14"/>
  <c r="V9" i="14"/>
  <c r="V10" i="14"/>
  <c r="V11" i="14"/>
  <c r="V12" i="14"/>
  <c r="V13" i="14"/>
  <c r="V14" i="14"/>
  <c r="V15" i="14"/>
  <c r="V16" i="14"/>
  <c r="V17" i="14"/>
  <c r="V18" i="14"/>
  <c r="V19" i="14"/>
  <c r="AB4" i="14"/>
  <c r="X4" i="14"/>
  <c r="V4" i="14"/>
  <c r="AB2" i="14"/>
  <c r="AB3" i="14"/>
  <c r="X2" i="14"/>
  <c r="X3" i="14"/>
  <c r="V2" i="14"/>
  <c r="V3" i="14"/>
  <c r="AB1" i="14"/>
  <c r="X1" i="14"/>
  <c r="V1" i="14"/>
  <c r="S52" i="14"/>
  <c r="S53" i="14"/>
  <c r="S54" i="14"/>
  <c r="S55" i="14"/>
  <c r="S56" i="14"/>
  <c r="O52" i="14"/>
  <c r="O53" i="14"/>
  <c r="O54" i="14"/>
  <c r="O55" i="14"/>
  <c r="O56" i="14"/>
  <c r="M52" i="14"/>
  <c r="M53" i="14"/>
  <c r="M54" i="14"/>
  <c r="M55" i="14"/>
  <c r="M56" i="14"/>
  <c r="S51" i="14"/>
  <c r="O51" i="14"/>
  <c r="M51" i="14"/>
  <c r="S50" i="14"/>
  <c r="O50" i="14"/>
  <c r="M50" i="14"/>
  <c r="S49" i="14"/>
  <c r="O49" i="14"/>
  <c r="M49" i="14"/>
  <c r="S48" i="14"/>
  <c r="S47" i="14"/>
  <c r="O48" i="14"/>
  <c r="O47" i="14"/>
  <c r="M48" i="14"/>
  <c r="M47" i="14"/>
  <c r="S46" i="14"/>
  <c r="O46" i="14"/>
  <c r="M46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S29" i="14"/>
  <c r="O29" i="14"/>
  <c r="M29" i="14"/>
  <c r="S3" i="14" l="1"/>
  <c r="S4" i="14"/>
  <c r="S5" i="14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" i="14"/>
  <c r="O3" i="14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3" i="14"/>
  <c r="M4" i="14"/>
  <c r="M5" i="14"/>
  <c r="M6" i="14"/>
  <c r="M7" i="14"/>
  <c r="M8" i="14"/>
  <c r="M2" i="14"/>
  <c r="Z37" i="14" l="1"/>
  <c r="Z38" i="14"/>
  <c r="Z39" i="14"/>
  <c r="Z40" i="14"/>
  <c r="Z41" i="14"/>
  <c r="Z42" i="14"/>
  <c r="Z43" i="14"/>
  <c r="Z44" i="14"/>
  <c r="Z45" i="14"/>
  <c r="Z46" i="14"/>
  <c r="Z47" i="14"/>
  <c r="Z48" i="14"/>
  <c r="Z49" i="14"/>
  <c r="Z50" i="14"/>
  <c r="Z51" i="14"/>
  <c r="Z52" i="14"/>
  <c r="Z53" i="14"/>
  <c r="Z54" i="14"/>
  <c r="Z55" i="14"/>
  <c r="Z56" i="14"/>
  <c r="Z57" i="14"/>
  <c r="Z58" i="14"/>
  <c r="Z59" i="14"/>
  <c r="Z36" i="14"/>
  <c r="Z34" i="14"/>
  <c r="Z33" i="14"/>
  <c r="Z32" i="14"/>
  <c r="Z31" i="14"/>
  <c r="Z28" i="14"/>
  <c r="Z5" i="14"/>
  <c r="Z6" i="14"/>
  <c r="Z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4" i="14"/>
  <c r="Z2" i="14"/>
  <c r="Z3" i="14"/>
  <c r="Z1" i="14"/>
  <c r="Q52" i="14"/>
  <c r="Q53" i="14"/>
  <c r="Q54" i="14"/>
  <c r="Q55" i="14"/>
  <c r="Q56" i="14"/>
  <c r="Q51" i="14"/>
  <c r="Q50" i="14"/>
  <c r="Q48" i="14"/>
  <c r="Q49" i="14"/>
  <c r="Q47" i="14"/>
  <c r="Q46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29" i="14"/>
  <c r="Q3" i="14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" i="14"/>
  <c r="Y26" i="26" l="1"/>
  <c r="Y26" i="6" l="1"/>
  <c r="L7" i="2" l="1"/>
  <c r="L6" i="2"/>
  <c r="L5" i="2"/>
  <c r="L4" i="2"/>
  <c r="L3" i="2"/>
  <c r="P2" i="2" l="1"/>
  <c r="S2" i="2"/>
  <c r="R2" i="2"/>
  <c r="Q2" i="2"/>
  <c r="N2" i="2"/>
  <c r="M2" i="2"/>
  <c r="L2" i="2"/>
  <c r="AH27" i="27" l="1"/>
  <c r="Y26" i="28" l="1"/>
  <c r="AA27" i="28" l="1"/>
  <c r="V52" i="10" l="1"/>
  <c r="W52" i="10"/>
  <c r="X52" i="10"/>
  <c r="Y52" i="10"/>
  <c r="V53" i="10"/>
  <c r="W53" i="10"/>
  <c r="X53" i="10"/>
  <c r="Y53" i="10"/>
  <c r="V54" i="10"/>
  <c r="W54" i="10"/>
  <c r="X54" i="10"/>
  <c r="Y54" i="10"/>
  <c r="V55" i="10"/>
  <c r="W55" i="10"/>
  <c r="X55" i="10"/>
  <c r="Y55" i="10"/>
  <c r="V56" i="10"/>
  <c r="W56" i="10"/>
  <c r="X56" i="10"/>
  <c r="Y56" i="10"/>
  <c r="V57" i="10"/>
  <c r="W57" i="10"/>
  <c r="X57" i="10"/>
  <c r="Y57" i="10"/>
  <c r="Y51" i="10"/>
  <c r="X51" i="10"/>
  <c r="W51" i="10"/>
  <c r="T52" i="10"/>
  <c r="T53" i="10"/>
  <c r="T54" i="10"/>
  <c r="T55" i="10"/>
  <c r="T56" i="10"/>
  <c r="T57" i="10"/>
  <c r="S52" i="10"/>
  <c r="S53" i="10"/>
  <c r="S54" i="10"/>
  <c r="S55" i="10"/>
  <c r="S56" i="10"/>
  <c r="S57" i="10"/>
  <c r="R52" i="10"/>
  <c r="R53" i="10"/>
  <c r="R54" i="10"/>
  <c r="R55" i="10"/>
  <c r="R56" i="10"/>
  <c r="R57" i="10"/>
  <c r="T51" i="10"/>
  <c r="S51" i="10"/>
  <c r="R51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O45" i="10"/>
  <c r="N45" i="10"/>
  <c r="M45" i="10"/>
  <c r="V67" i="28"/>
  <c r="U67" i="28"/>
  <c r="T67" i="28"/>
  <c r="V40" i="28"/>
  <c r="U40" i="28"/>
  <c r="T40" i="28"/>
  <c r="U39" i="28"/>
  <c r="T39" i="28"/>
  <c r="U38" i="28"/>
  <c r="T38" i="28"/>
  <c r="U37" i="28"/>
  <c r="T37" i="28"/>
  <c r="U36" i="28"/>
  <c r="T36" i="28"/>
  <c r="AI29" i="28"/>
  <c r="AI27" i="28"/>
  <c r="AH27" i="28"/>
  <c r="AG27" i="28"/>
  <c r="V67" i="6"/>
  <c r="U67" i="6"/>
  <c r="T67" i="6"/>
  <c r="V40" i="6"/>
  <c r="U40" i="6"/>
  <c r="T40" i="6"/>
  <c r="U39" i="6"/>
  <c r="T39" i="6"/>
  <c r="U38" i="6"/>
  <c r="T38" i="6"/>
  <c r="U37" i="6"/>
  <c r="T37" i="6"/>
  <c r="U36" i="6"/>
  <c r="T36" i="6"/>
  <c r="F39" i="10"/>
  <c r="V67" i="27"/>
  <c r="U67" i="27"/>
  <c r="T67" i="27"/>
  <c r="V40" i="27"/>
  <c r="U40" i="27"/>
  <c r="T40" i="27"/>
  <c r="U39" i="27"/>
  <c r="T39" i="27"/>
  <c r="U38" i="27"/>
  <c r="T38" i="27"/>
  <c r="U37" i="27"/>
  <c r="T37" i="27"/>
  <c r="U36" i="27"/>
  <c r="T36" i="27"/>
  <c r="AI29" i="27"/>
  <c r="AI37" i="27" s="1"/>
  <c r="AI27" i="27"/>
  <c r="AG27" i="27"/>
  <c r="AA27" i="27"/>
  <c r="Y26" i="27"/>
  <c r="D33" i="2"/>
  <c r="V67" i="26"/>
  <c r="U67" i="26"/>
  <c r="T67" i="26"/>
  <c r="V40" i="26"/>
  <c r="U40" i="26"/>
  <c r="T40" i="26"/>
  <c r="U39" i="26"/>
  <c r="T39" i="26"/>
  <c r="U38" i="26"/>
  <c r="T38" i="26"/>
  <c r="U37" i="26"/>
  <c r="T37" i="26"/>
  <c r="U36" i="26"/>
  <c r="T36" i="26"/>
  <c r="AI29" i="26"/>
  <c r="AI27" i="26"/>
  <c r="AH27" i="26"/>
  <c r="AG27" i="26"/>
  <c r="AA27" i="26"/>
  <c r="AI33" i="28" l="1"/>
  <c r="AI45" i="28"/>
  <c r="AI45" i="27"/>
  <c r="AI49" i="27"/>
  <c r="AI53" i="26"/>
  <c r="AI49" i="26"/>
  <c r="AI45" i="26"/>
  <c r="AI41" i="26"/>
  <c r="AI37" i="26"/>
  <c r="AI33" i="27"/>
  <c r="AI41" i="28"/>
  <c r="AI49" i="28"/>
  <c r="AI53" i="28"/>
  <c r="AI37" i="28"/>
  <c r="AI41" i="27"/>
  <c r="AI53" i="27"/>
  <c r="AI33" i="26"/>
  <c r="M39" i="25" l="1"/>
  <c r="L39" i="25"/>
  <c r="AI29" i="6" l="1"/>
  <c r="AH27" i="6"/>
  <c r="AG27" i="6"/>
  <c r="M77" i="25"/>
  <c r="L77" i="25"/>
  <c r="M76" i="25"/>
  <c r="L76" i="25"/>
  <c r="M75" i="25"/>
  <c r="L75" i="25"/>
  <c r="M74" i="25"/>
  <c r="L74" i="25"/>
  <c r="M73" i="25"/>
  <c r="L73" i="25"/>
  <c r="M72" i="25"/>
  <c r="L72" i="25"/>
  <c r="M71" i="25"/>
  <c r="L71" i="25"/>
  <c r="M70" i="25"/>
  <c r="L70" i="25"/>
  <c r="M69" i="25"/>
  <c r="L69" i="25"/>
  <c r="M68" i="25"/>
  <c r="L68" i="25"/>
  <c r="M51" i="25"/>
  <c r="L51" i="25"/>
  <c r="M50" i="25"/>
  <c r="L50" i="25"/>
  <c r="M49" i="25"/>
  <c r="L49" i="25"/>
  <c r="M48" i="25"/>
  <c r="L48" i="25"/>
  <c r="M47" i="25"/>
  <c r="L47" i="25"/>
  <c r="M46" i="25"/>
  <c r="L46" i="25"/>
  <c r="M45" i="25"/>
  <c r="L45" i="25"/>
  <c r="M44" i="25"/>
  <c r="L44" i="25"/>
  <c r="M43" i="25"/>
  <c r="L43" i="25"/>
  <c r="M42" i="25"/>
  <c r="L42" i="25"/>
  <c r="M38" i="25"/>
  <c r="L38" i="25"/>
  <c r="M37" i="25"/>
  <c r="L37" i="25"/>
  <c r="M36" i="25"/>
  <c r="L36" i="25"/>
  <c r="M35" i="25"/>
  <c r="L35" i="25"/>
  <c r="M34" i="25"/>
  <c r="L34" i="25"/>
  <c r="M33" i="25"/>
  <c r="L33" i="25"/>
  <c r="M32" i="25"/>
  <c r="L32" i="25"/>
  <c r="M31" i="25"/>
  <c r="L31" i="25"/>
  <c r="M30" i="25"/>
  <c r="L30" i="25"/>
  <c r="M29" i="25"/>
  <c r="L29" i="25"/>
  <c r="M25" i="25"/>
  <c r="L25" i="25"/>
  <c r="M24" i="25"/>
  <c r="L24" i="25"/>
  <c r="M23" i="25"/>
  <c r="L23" i="25"/>
  <c r="M22" i="25"/>
  <c r="L22" i="25"/>
  <c r="M21" i="25"/>
  <c r="L21" i="25"/>
  <c r="M20" i="25"/>
  <c r="L20" i="25"/>
  <c r="M19" i="25"/>
  <c r="L19" i="25"/>
  <c r="M18" i="25"/>
  <c r="L18" i="25"/>
  <c r="M17" i="25"/>
  <c r="L17" i="25"/>
  <c r="M16" i="25"/>
  <c r="L16" i="25"/>
  <c r="M15" i="25"/>
  <c r="L15" i="25"/>
  <c r="M14" i="25"/>
  <c r="L14" i="25"/>
  <c r="M13" i="25"/>
  <c r="L13" i="25"/>
  <c r="M12" i="25"/>
  <c r="L12" i="25"/>
  <c r="M11" i="25"/>
  <c r="L11" i="25"/>
  <c r="M10" i="25"/>
  <c r="L10" i="25"/>
  <c r="M9" i="25"/>
  <c r="L9" i="25"/>
  <c r="M8" i="25"/>
  <c r="L8" i="25"/>
  <c r="M7" i="25"/>
  <c r="L7" i="25"/>
  <c r="M6" i="25"/>
  <c r="L6" i="25"/>
  <c r="M5" i="25"/>
  <c r="L5" i="25"/>
  <c r="M4" i="25"/>
  <c r="L4" i="25"/>
  <c r="M129" i="24"/>
  <c r="L129" i="24"/>
  <c r="M128" i="24"/>
  <c r="L128" i="24"/>
  <c r="M127" i="24"/>
  <c r="L127" i="24"/>
  <c r="M126" i="24"/>
  <c r="L126" i="24"/>
  <c r="M125" i="24"/>
  <c r="L125" i="24"/>
  <c r="M124" i="24"/>
  <c r="L124" i="24"/>
  <c r="M123" i="24"/>
  <c r="L123" i="24"/>
  <c r="M122" i="24"/>
  <c r="L122" i="24"/>
  <c r="M121" i="24"/>
  <c r="L121" i="24"/>
  <c r="M120" i="24"/>
  <c r="L120" i="24"/>
  <c r="M116" i="24"/>
  <c r="L116" i="24"/>
  <c r="M115" i="24"/>
  <c r="L115" i="24"/>
  <c r="M106" i="24"/>
  <c r="L106" i="24"/>
  <c r="M105" i="24"/>
  <c r="L105" i="24"/>
  <c r="M104" i="24"/>
  <c r="L104" i="24"/>
  <c r="M103" i="24"/>
  <c r="L103" i="24"/>
  <c r="M102" i="24"/>
  <c r="L102" i="24"/>
  <c r="M101" i="24"/>
  <c r="L101" i="24"/>
  <c r="M100" i="24"/>
  <c r="L100" i="24"/>
  <c r="M99" i="24"/>
  <c r="L99" i="24"/>
  <c r="M95" i="24"/>
  <c r="L95" i="24"/>
  <c r="M94" i="24"/>
  <c r="L94" i="24"/>
  <c r="M93" i="24"/>
  <c r="L93" i="24"/>
  <c r="M92" i="24"/>
  <c r="L92" i="24"/>
  <c r="M91" i="24"/>
  <c r="L91" i="24"/>
  <c r="M90" i="24"/>
  <c r="L90" i="24"/>
  <c r="M38" i="24"/>
  <c r="L38" i="24"/>
  <c r="M37" i="24"/>
  <c r="L37" i="24"/>
  <c r="M36" i="24"/>
  <c r="L36" i="24"/>
  <c r="M35" i="24"/>
  <c r="L35" i="24"/>
  <c r="M34" i="24"/>
  <c r="L34" i="24"/>
  <c r="M33" i="24"/>
  <c r="L33" i="24"/>
  <c r="M32" i="24"/>
  <c r="L32" i="24"/>
  <c r="M31" i="24"/>
  <c r="L31" i="24"/>
  <c r="M30" i="24"/>
  <c r="L30" i="24"/>
  <c r="M29" i="24"/>
  <c r="L29" i="24"/>
  <c r="M25" i="24"/>
  <c r="L25" i="24"/>
  <c r="M24" i="24"/>
  <c r="L24" i="24"/>
  <c r="M23" i="24"/>
  <c r="L23" i="24"/>
  <c r="M22" i="24"/>
  <c r="L22" i="24"/>
  <c r="M21" i="24"/>
  <c r="L21" i="24"/>
  <c r="M20" i="24"/>
  <c r="L20" i="24"/>
  <c r="M19" i="24"/>
  <c r="L19" i="24"/>
  <c r="M18" i="24"/>
  <c r="L18" i="24"/>
  <c r="M17" i="24"/>
  <c r="L17" i="24"/>
  <c r="M16" i="24"/>
  <c r="L16" i="24"/>
  <c r="M15" i="24"/>
  <c r="L15" i="24"/>
  <c r="M14" i="24"/>
  <c r="L14" i="24"/>
  <c r="M13" i="24"/>
  <c r="L13" i="24"/>
  <c r="M12" i="24"/>
  <c r="L12" i="24"/>
  <c r="M11" i="24"/>
  <c r="L11" i="24"/>
  <c r="M10" i="24"/>
  <c r="L10" i="24"/>
  <c r="M9" i="24"/>
  <c r="L9" i="24"/>
  <c r="M8" i="24"/>
  <c r="L8" i="24"/>
  <c r="M7" i="24"/>
  <c r="L7" i="24"/>
  <c r="M6" i="24"/>
  <c r="L6" i="24"/>
  <c r="M5" i="24"/>
  <c r="L5" i="24"/>
  <c r="M4" i="24"/>
  <c r="L4" i="24"/>
  <c r="M76" i="23"/>
  <c r="L76" i="23"/>
  <c r="M75" i="23"/>
  <c r="L75" i="23"/>
  <c r="M74" i="23"/>
  <c r="L74" i="23"/>
  <c r="M73" i="23"/>
  <c r="L73" i="23"/>
  <c r="M72" i="23"/>
  <c r="L72" i="23"/>
  <c r="M71" i="23"/>
  <c r="L71" i="23"/>
  <c r="M67" i="23"/>
  <c r="L67" i="23"/>
  <c r="M66" i="23"/>
  <c r="L66" i="23"/>
  <c r="M65" i="23"/>
  <c r="L65" i="23"/>
  <c r="M64" i="23"/>
  <c r="L64" i="23"/>
  <c r="M63" i="23"/>
  <c r="L63" i="23"/>
  <c r="M62" i="23"/>
  <c r="L62" i="23"/>
  <c r="M61" i="23"/>
  <c r="L61" i="23"/>
  <c r="M60" i="23"/>
  <c r="L60" i="23"/>
  <c r="M59" i="23"/>
  <c r="L59" i="23"/>
  <c r="M58" i="23"/>
  <c r="L58" i="23"/>
  <c r="M54" i="23"/>
  <c r="L54" i="23"/>
  <c r="M53" i="23"/>
  <c r="L53" i="23"/>
  <c r="M52" i="23"/>
  <c r="L52" i="23"/>
  <c r="M51" i="23"/>
  <c r="L51" i="23"/>
  <c r="M50" i="23"/>
  <c r="L50" i="23"/>
  <c r="M49" i="23"/>
  <c r="L49" i="23"/>
  <c r="M48" i="23"/>
  <c r="L48" i="23"/>
  <c r="M47" i="23"/>
  <c r="L47" i="23"/>
  <c r="M46" i="23"/>
  <c r="L46" i="23"/>
  <c r="M45" i="23"/>
  <c r="L45" i="23"/>
  <c r="M41" i="23"/>
  <c r="L41" i="23"/>
  <c r="M37" i="23"/>
  <c r="L37" i="23"/>
  <c r="M36" i="23"/>
  <c r="L36" i="23"/>
  <c r="M35" i="23"/>
  <c r="L35" i="23"/>
  <c r="M34" i="23"/>
  <c r="L34" i="23"/>
  <c r="M33" i="23"/>
  <c r="L33" i="23"/>
  <c r="M32" i="23"/>
  <c r="L32" i="23"/>
  <c r="M31" i="23"/>
  <c r="L31" i="23"/>
  <c r="M30" i="23"/>
  <c r="L30" i="23"/>
  <c r="M29" i="23"/>
  <c r="L29" i="23"/>
  <c r="M25" i="23"/>
  <c r="L25" i="23"/>
  <c r="M24" i="23"/>
  <c r="L24" i="23"/>
  <c r="M23" i="23"/>
  <c r="L23" i="23"/>
  <c r="M22" i="23"/>
  <c r="L22" i="23"/>
  <c r="M21" i="23"/>
  <c r="L21" i="23"/>
  <c r="M20" i="23"/>
  <c r="L20" i="23"/>
  <c r="M19" i="23"/>
  <c r="L19" i="23"/>
  <c r="M18" i="23"/>
  <c r="L18" i="23"/>
  <c r="M17" i="23"/>
  <c r="L17" i="23"/>
  <c r="M16" i="23"/>
  <c r="L16" i="23"/>
  <c r="M15" i="23"/>
  <c r="L15" i="23"/>
  <c r="M14" i="23"/>
  <c r="L14" i="23"/>
  <c r="M13" i="23"/>
  <c r="L13" i="23"/>
  <c r="M12" i="23"/>
  <c r="L12" i="23"/>
  <c r="M11" i="23"/>
  <c r="L11" i="23"/>
  <c r="M10" i="23"/>
  <c r="L10" i="23"/>
  <c r="M9" i="23"/>
  <c r="L9" i="23"/>
  <c r="M8" i="23"/>
  <c r="L8" i="23"/>
  <c r="M7" i="23"/>
  <c r="L7" i="23"/>
  <c r="M6" i="23"/>
  <c r="L6" i="23"/>
  <c r="M5" i="23"/>
  <c r="L5" i="23"/>
  <c r="M4" i="23"/>
  <c r="L4" i="23"/>
  <c r="M70" i="22"/>
  <c r="L70" i="22"/>
  <c r="M69" i="22"/>
  <c r="L69" i="22"/>
  <c r="M68" i="22"/>
  <c r="L68" i="22"/>
  <c r="M67" i="22"/>
  <c r="L67" i="22"/>
  <c r="M63" i="22"/>
  <c r="L63" i="22"/>
  <c r="M62" i="22"/>
  <c r="L62" i="22"/>
  <c r="M61" i="22"/>
  <c r="L61" i="22"/>
  <c r="M60" i="22"/>
  <c r="L60" i="22"/>
  <c r="M56" i="22"/>
  <c r="L56" i="22"/>
  <c r="M55" i="22"/>
  <c r="L55" i="22"/>
  <c r="M54" i="22"/>
  <c r="L54" i="22"/>
  <c r="M53" i="22"/>
  <c r="L53" i="22"/>
  <c r="M52" i="22"/>
  <c r="L52" i="22"/>
  <c r="M51" i="22"/>
  <c r="L51" i="22"/>
  <c r="M47" i="22"/>
  <c r="L47" i="22"/>
  <c r="M46" i="22"/>
  <c r="L46" i="22"/>
  <c r="M45" i="22"/>
  <c r="L45" i="22"/>
  <c r="M44" i="22"/>
  <c r="L44" i="22"/>
  <c r="M43" i="22"/>
  <c r="L43" i="22"/>
  <c r="M42" i="22"/>
  <c r="L42" i="22"/>
  <c r="M41" i="22"/>
  <c r="L41" i="22"/>
  <c r="M40" i="22"/>
  <c r="L40" i="22"/>
  <c r="M39" i="22"/>
  <c r="L39" i="22"/>
  <c r="M38" i="22"/>
  <c r="L38" i="22"/>
  <c r="M37" i="22"/>
  <c r="L37" i="22"/>
  <c r="M36" i="22"/>
  <c r="L36" i="22"/>
  <c r="M35" i="22"/>
  <c r="L35" i="22"/>
  <c r="M34" i="22"/>
  <c r="L34" i="22"/>
  <c r="M33" i="22"/>
  <c r="L33" i="22"/>
  <c r="M32" i="22"/>
  <c r="L32" i="22"/>
  <c r="M31" i="22"/>
  <c r="L31" i="22"/>
  <c r="M30" i="22"/>
  <c r="L30" i="22"/>
  <c r="M29" i="22"/>
  <c r="L29" i="22"/>
  <c r="M25" i="22"/>
  <c r="L25" i="22"/>
  <c r="M24" i="22"/>
  <c r="L24" i="22"/>
  <c r="M23" i="22"/>
  <c r="L23" i="22"/>
  <c r="M22" i="22"/>
  <c r="L22" i="22"/>
  <c r="M21" i="22"/>
  <c r="L21" i="22"/>
  <c r="M20" i="22"/>
  <c r="L20" i="22"/>
  <c r="M19" i="22"/>
  <c r="L19" i="22"/>
  <c r="M18" i="22"/>
  <c r="L18" i="22"/>
  <c r="M17" i="22"/>
  <c r="L17" i="22"/>
  <c r="M16" i="22"/>
  <c r="L16" i="22"/>
  <c r="M15" i="22"/>
  <c r="L15" i="22"/>
  <c r="M14" i="22"/>
  <c r="L14" i="22"/>
  <c r="M13" i="22"/>
  <c r="L13" i="22"/>
  <c r="M12" i="22"/>
  <c r="L12" i="22"/>
  <c r="M11" i="22"/>
  <c r="L11" i="22"/>
  <c r="M10" i="22"/>
  <c r="L10" i="22"/>
  <c r="M9" i="22"/>
  <c r="L9" i="22"/>
  <c r="M8" i="22"/>
  <c r="L8" i="22"/>
  <c r="M7" i="22"/>
  <c r="L7" i="22"/>
  <c r="M6" i="22"/>
  <c r="L6" i="22"/>
  <c r="M5" i="22"/>
  <c r="L5" i="22"/>
  <c r="M4" i="22"/>
  <c r="L4" i="22"/>
  <c r="M58" i="22" l="1"/>
  <c r="K58" i="22" s="1"/>
  <c r="M65" i="22"/>
  <c r="K65" i="22" s="1"/>
  <c r="M66" i="25"/>
  <c r="K66" i="25" s="1"/>
  <c r="L118" i="24"/>
  <c r="L53" i="25"/>
  <c r="M56" i="23"/>
  <c r="K56" i="23" s="1"/>
  <c r="AI33" i="6"/>
  <c r="AI49" i="6"/>
  <c r="AI45" i="6"/>
  <c r="AI41" i="6"/>
  <c r="AI37" i="6"/>
  <c r="AI53" i="6"/>
  <c r="M69" i="23"/>
  <c r="K69" i="23" s="1"/>
  <c r="M2" i="23"/>
  <c r="E14" i="2" s="1"/>
  <c r="D24" i="2" s="1"/>
  <c r="L49" i="22"/>
  <c r="L2" i="22"/>
  <c r="B14" i="2" s="1"/>
  <c r="L58" i="22"/>
  <c r="M53" i="25"/>
  <c r="K53" i="25" s="1"/>
  <c r="L66" i="25"/>
  <c r="L2" i="24"/>
  <c r="F14" i="2" s="1"/>
  <c r="L27" i="24"/>
  <c r="M27" i="25"/>
  <c r="K27" i="25" s="1"/>
  <c r="L27" i="22"/>
  <c r="M27" i="22"/>
  <c r="K27" i="22" s="1"/>
  <c r="L43" i="23"/>
  <c r="L40" i="24"/>
  <c r="L97" i="24"/>
  <c r="L65" i="22"/>
  <c r="M27" i="24"/>
  <c r="K27" i="24" s="1"/>
  <c r="M40" i="24"/>
  <c r="K40" i="24" s="1"/>
  <c r="M97" i="24"/>
  <c r="K97" i="24" s="1"/>
  <c r="M2" i="22"/>
  <c r="C14" i="2" s="1"/>
  <c r="M49" i="22"/>
  <c r="K49" i="22" s="1"/>
  <c r="M2" i="24"/>
  <c r="G14" i="2" s="1"/>
  <c r="M118" i="24"/>
  <c r="K118" i="24" s="1"/>
  <c r="L27" i="25"/>
  <c r="L40" i="25"/>
  <c r="M43" i="23"/>
  <c r="K43" i="23" s="1"/>
  <c r="L56" i="23"/>
  <c r="M40" i="25"/>
  <c r="K40" i="25" s="1"/>
  <c r="L2" i="25"/>
  <c r="H14" i="2" s="1"/>
  <c r="H25" i="2" s="1"/>
  <c r="M2" i="25"/>
  <c r="L2" i="23"/>
  <c r="L27" i="23"/>
  <c r="L69" i="23"/>
  <c r="M27" i="23"/>
  <c r="K27" i="23" s="1"/>
  <c r="I14" i="2" l="1"/>
  <c r="H24" i="2" s="1"/>
  <c r="M1" i="25"/>
  <c r="F25" i="2"/>
  <c r="F24" i="2"/>
  <c r="B24" i="2"/>
  <c r="B25" i="2"/>
  <c r="M1" i="23"/>
  <c r="E15" i="2" s="1"/>
  <c r="I1" i="22"/>
  <c r="B15" i="2" s="1"/>
  <c r="I1" i="24"/>
  <c r="F15" i="2" s="1"/>
  <c r="M1" i="24"/>
  <c r="G15" i="2" s="1"/>
  <c r="I1" i="25"/>
  <c r="H15" i="2" s="1"/>
  <c r="M1" i="22"/>
  <c r="C15" i="2" s="1"/>
  <c r="I15" i="2"/>
  <c r="I1" i="23"/>
  <c r="D15" i="2" s="1"/>
  <c r="D14" i="2"/>
  <c r="D25" i="2" s="1"/>
  <c r="L45" i="10" l="1"/>
  <c r="L46" i="10"/>
  <c r="L47" i="10"/>
  <c r="L48" i="10"/>
  <c r="L49" i="10"/>
  <c r="L50" i="10"/>
  <c r="L51" i="10"/>
  <c r="L52" i="10"/>
  <c r="L53" i="10"/>
  <c r="L54" i="10"/>
  <c r="L55" i="10"/>
  <c r="L56" i="10"/>
  <c r="L57" i="10"/>
  <c r="Q51" i="10"/>
  <c r="Q52" i="10"/>
  <c r="Q53" i="10"/>
  <c r="Q54" i="10"/>
  <c r="Q55" i="10"/>
  <c r="Q56" i="10"/>
  <c r="Q57" i="10"/>
  <c r="V51" i="10"/>
  <c r="K2" i="10" l="1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D39" i="10"/>
  <c r="D3" i="14" l="1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2" i="14"/>
  <c r="AA27" i="6" l="1"/>
  <c r="AI27" i="6"/>
  <c r="O72" i="27" l="1"/>
  <c r="P72" i="27" l="1"/>
  <c r="N72" i="27"/>
  <c r="G67" i="2" l="1"/>
  <c r="G64" i="2"/>
  <c r="G46" i="10"/>
  <c r="G28" i="10"/>
  <c r="G27" i="10"/>
  <c r="G26" i="10"/>
  <c r="G25" i="10"/>
  <c r="G24" i="10"/>
  <c r="H21" i="10"/>
  <c r="G21" i="10"/>
  <c r="H20" i="10"/>
  <c r="G20" i="10"/>
  <c r="H19" i="10"/>
  <c r="G19" i="10"/>
  <c r="H18" i="10"/>
  <c r="G18" i="10"/>
  <c r="H17" i="10"/>
  <c r="G23" i="10"/>
  <c r="N24" i="10" s="1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H3" i="10"/>
  <c r="P16" i="27"/>
  <c r="H2" i="10"/>
  <c r="G22" i="10"/>
  <c r="H52" i="10"/>
  <c r="G51" i="10"/>
  <c r="H47" i="10"/>
  <c r="G48" i="10"/>
  <c r="G45" i="10"/>
  <c r="G43" i="10"/>
  <c r="G41" i="10"/>
  <c r="G52" i="10"/>
  <c r="G50" i="10"/>
  <c r="G49" i="10"/>
  <c r="G47" i="10"/>
  <c r="G44" i="10"/>
  <c r="G42" i="10"/>
  <c r="G40" i="10"/>
  <c r="G38" i="10"/>
  <c r="H36" i="10"/>
  <c r="H33" i="10"/>
  <c r="G33" i="10"/>
  <c r="G39" i="10"/>
  <c r="G37" i="10"/>
  <c r="G36" i="10"/>
  <c r="G35" i="10"/>
  <c r="G34" i="10"/>
  <c r="G32" i="10"/>
  <c r="G31" i="10"/>
  <c r="G30" i="10"/>
  <c r="G29" i="10"/>
  <c r="V36" i="27"/>
  <c r="V59" i="27"/>
  <c r="P33" i="27"/>
  <c r="U63" i="27"/>
  <c r="T63" i="27"/>
  <c r="O14" i="27"/>
  <c r="U6" i="27"/>
  <c r="T6" i="27"/>
  <c r="P69" i="27"/>
  <c r="O13" i="27"/>
  <c r="O12" i="27"/>
  <c r="U44" i="27"/>
  <c r="O38" i="27"/>
  <c r="V65" i="27"/>
  <c r="U4" i="27"/>
  <c r="O71" i="27"/>
  <c r="P18" i="27"/>
  <c r="O57" i="27"/>
  <c r="O47" i="27"/>
  <c r="O29" i="27"/>
  <c r="O50" i="27"/>
  <c r="O49" i="27"/>
  <c r="O36" i="27"/>
  <c r="V50" i="27"/>
  <c r="V58" i="27"/>
  <c r="U45" i="27"/>
  <c r="U62" i="27"/>
  <c r="P63" i="27"/>
  <c r="P61" i="27"/>
  <c r="P53" i="27"/>
  <c r="G35" i="27"/>
  <c r="N25" i="10" s="1"/>
  <c r="U12" i="27"/>
  <c r="U2" i="27"/>
  <c r="P14" i="27"/>
  <c r="U21" i="27"/>
  <c r="V29" i="27"/>
  <c r="U9" i="27"/>
  <c r="P15" i="27"/>
  <c r="P26" i="27"/>
  <c r="O26" i="27"/>
  <c r="N26" i="27"/>
  <c r="V25" i="27"/>
  <c r="U48" i="27"/>
  <c r="O4" i="27"/>
  <c r="O24" i="27"/>
  <c r="P35" i="27"/>
  <c r="V35" i="27"/>
  <c r="V54" i="27"/>
  <c r="V41" i="27"/>
  <c r="U55" i="27"/>
  <c r="P56" i="27"/>
  <c r="V60" i="27"/>
  <c r="V44" i="27"/>
  <c r="U22" i="27"/>
  <c r="P66" i="27"/>
  <c r="V28" i="27"/>
  <c r="V21" i="27"/>
  <c r="P13" i="27"/>
  <c r="O43" i="27"/>
  <c r="O16" i="27"/>
  <c r="U25" i="27"/>
  <c r="U30" i="27"/>
  <c r="V45" i="27"/>
  <c r="V24" i="27"/>
  <c r="U24" i="27"/>
  <c r="U14" i="27"/>
  <c r="V23" i="27"/>
  <c r="U19" i="27"/>
  <c r="N47" i="27"/>
  <c r="G14" i="27"/>
  <c r="O25" i="27"/>
  <c r="U58" i="27"/>
  <c r="N50" i="27"/>
  <c r="O51" i="27"/>
  <c r="U41" i="27"/>
  <c r="O28" i="27"/>
  <c r="G27" i="27"/>
  <c r="G26" i="27"/>
  <c r="N16" i="10" s="1"/>
  <c r="P42" i="27"/>
  <c r="O42" i="27"/>
  <c r="U5" i="27"/>
  <c r="T5" i="27"/>
  <c r="O60" i="27"/>
  <c r="N38" i="27"/>
  <c r="P62" i="27"/>
  <c r="O70" i="27"/>
  <c r="T4" i="27"/>
  <c r="P6" i="27"/>
  <c r="P51" i="27"/>
  <c r="P57" i="27"/>
  <c r="P71" i="27"/>
  <c r="V51" i="27"/>
  <c r="P52" i="27"/>
  <c r="P37" i="27"/>
  <c r="V48" i="27"/>
  <c r="O63" i="27"/>
  <c r="N43" i="27"/>
  <c r="N4" i="27"/>
  <c r="O68" i="27"/>
  <c r="O32" i="27"/>
  <c r="N13" i="27"/>
  <c r="U3" i="27"/>
  <c r="P17" i="27"/>
  <c r="O17" i="27"/>
  <c r="G19" i="27"/>
  <c r="N9" i="10" s="1"/>
  <c r="V19" i="27"/>
  <c r="O56" i="27"/>
  <c r="V64" i="27"/>
  <c r="G29" i="27"/>
  <c r="N19" i="10" s="1"/>
  <c r="V34" i="27"/>
  <c r="P7" i="27"/>
  <c r="G45" i="27"/>
  <c r="N35" i="10" s="1"/>
  <c r="P5" i="27"/>
  <c r="V61" i="27"/>
  <c r="U11" i="27"/>
  <c r="P68" i="27"/>
  <c r="P44" i="27"/>
  <c r="V46" i="27"/>
  <c r="O44" i="27"/>
  <c r="O61" i="27"/>
  <c r="G28" i="27"/>
  <c r="N18" i="10" s="1"/>
  <c r="G22" i="27"/>
  <c r="N12" i="10" s="1"/>
  <c r="G13" i="27"/>
  <c r="G16" i="27"/>
  <c r="N6" i="10" s="1"/>
  <c r="P29" i="27"/>
  <c r="V43" i="27"/>
  <c r="V18" i="27"/>
  <c r="O23" i="27"/>
  <c r="P23" i="27"/>
  <c r="T25" i="27"/>
  <c r="V12" i="27"/>
  <c r="N56" i="27"/>
  <c r="N32" i="27"/>
  <c r="N17" i="27"/>
  <c r="N68" i="27"/>
  <c r="T58" i="27"/>
  <c r="N60" i="27"/>
  <c r="V4" i="27"/>
  <c r="N42" i="27"/>
  <c r="T24" i="27"/>
  <c r="N63" i="27"/>
  <c r="T3" i="27"/>
  <c r="N70" i="27"/>
  <c r="P8" i="27"/>
  <c r="O64" i="27"/>
  <c r="P38" i="27"/>
  <c r="V6" i="27"/>
  <c r="O34" i="27"/>
  <c r="P21" i="27"/>
  <c r="P31" i="27"/>
  <c r="G20" i="27"/>
  <c r="N10" i="10" s="1"/>
  <c r="O10" i="27"/>
  <c r="P10" i="27"/>
  <c r="V27" i="27"/>
  <c r="G46" i="27"/>
  <c r="N36" i="10" s="1"/>
  <c r="G47" i="27"/>
  <c r="N37" i="10" s="1"/>
  <c r="V7" i="27"/>
  <c r="V63" i="27"/>
  <c r="V55" i="27"/>
  <c r="P28" i="27"/>
  <c r="V62" i="27"/>
  <c r="P36" i="27"/>
  <c r="G25" i="27"/>
  <c r="N15" i="10" s="1"/>
  <c r="O18" i="27"/>
  <c r="N18" i="27"/>
  <c r="P58" i="27"/>
  <c r="G42" i="27"/>
  <c r="N32" i="10" s="1"/>
  <c r="P30" i="27"/>
  <c r="V11" i="27"/>
  <c r="P24" i="27"/>
  <c r="O2" i="27"/>
  <c r="N2" i="27"/>
  <c r="V20" i="27"/>
  <c r="G23" i="27"/>
  <c r="N13" i="10" s="1"/>
  <c r="V30" i="27"/>
  <c r="V22" i="27"/>
  <c r="U20" i="27"/>
  <c r="O40" i="27"/>
  <c r="N40" i="27"/>
  <c r="U59" i="27"/>
  <c r="G12" i="27"/>
  <c r="V2" i="27"/>
  <c r="U29" i="27"/>
  <c r="V47" i="27"/>
  <c r="V16" i="27"/>
  <c r="I67" i="2"/>
  <c r="I64" i="2"/>
  <c r="O25" i="28"/>
  <c r="I28" i="10"/>
  <c r="I27" i="10"/>
  <c r="I25" i="10"/>
  <c r="I24" i="10"/>
  <c r="J21" i="10"/>
  <c r="J20" i="10"/>
  <c r="J19" i="10"/>
  <c r="I19" i="10"/>
  <c r="J18" i="10"/>
  <c r="I18" i="10"/>
  <c r="J17" i="10"/>
  <c r="I17" i="10"/>
  <c r="I23" i="10"/>
  <c r="O24" i="10" s="1"/>
  <c r="J16" i="10"/>
  <c r="J15" i="10"/>
  <c r="J14" i="10"/>
  <c r="I14" i="10"/>
  <c r="J13" i="10"/>
  <c r="I13" i="10"/>
  <c r="J12" i="10"/>
  <c r="I12" i="10"/>
  <c r="J11" i="10"/>
  <c r="I11" i="10"/>
  <c r="J10" i="10"/>
  <c r="I10" i="10"/>
  <c r="J9" i="10"/>
  <c r="I9" i="10"/>
  <c r="J8" i="10"/>
  <c r="I8" i="10"/>
  <c r="J7" i="10"/>
  <c r="I7" i="10"/>
  <c r="J6" i="10"/>
  <c r="J5" i="10"/>
  <c r="J4" i="10"/>
  <c r="I4" i="10"/>
  <c r="J3" i="10"/>
  <c r="J2" i="10"/>
  <c r="I51" i="10"/>
  <c r="J47" i="10"/>
  <c r="I48" i="10"/>
  <c r="I45" i="10"/>
  <c r="I43" i="10"/>
  <c r="I41" i="10"/>
  <c r="I52" i="10"/>
  <c r="I50" i="10"/>
  <c r="I49" i="10"/>
  <c r="I47" i="10"/>
  <c r="I44" i="10"/>
  <c r="I42" i="10"/>
  <c r="I40" i="10"/>
  <c r="I38" i="10"/>
  <c r="J36" i="10"/>
  <c r="J33" i="10"/>
  <c r="I33" i="10"/>
  <c r="I39" i="10"/>
  <c r="I37" i="10"/>
  <c r="I36" i="10"/>
  <c r="I35" i="10"/>
  <c r="I34" i="10"/>
  <c r="I32" i="10"/>
  <c r="I31" i="10"/>
  <c r="I30" i="10"/>
  <c r="I29" i="10"/>
  <c r="V36" i="28"/>
  <c r="U61" i="28"/>
  <c r="O9" i="28"/>
  <c r="U32" i="28"/>
  <c r="U58" i="28"/>
  <c r="O32" i="28"/>
  <c r="O36" i="28"/>
  <c r="U12" i="28"/>
  <c r="O12" i="28"/>
  <c r="P9" i="28"/>
  <c r="U3" i="28"/>
  <c r="G37" i="28"/>
  <c r="O27" i="10" s="1"/>
  <c r="T61" i="28"/>
  <c r="V44" i="28"/>
  <c r="G17" i="28"/>
  <c r="O7" i="10" s="1"/>
  <c r="G25" i="28"/>
  <c r="O15" i="10" s="1"/>
  <c r="N12" i="28"/>
  <c r="P40" i="28"/>
  <c r="T12" i="28"/>
  <c r="U57" i="28"/>
  <c r="O55" i="28"/>
  <c r="N25" i="28"/>
  <c r="P35" i="28"/>
  <c r="P65" i="28"/>
  <c r="G41" i="28"/>
  <c r="U35" i="28"/>
  <c r="O22" i="28"/>
  <c r="O28" i="28"/>
  <c r="P14" i="28"/>
  <c r="V9" i="28"/>
  <c r="V3" i="28"/>
  <c r="P25" i="28"/>
  <c r="N22" i="28"/>
  <c r="O14" i="28" l="1"/>
  <c r="U45" i="28"/>
  <c r="O71" i="28"/>
  <c r="O48" i="28"/>
  <c r="O4" i="28"/>
  <c r="O27" i="28"/>
  <c r="U56" i="28"/>
  <c r="U64" i="28"/>
  <c r="U6" i="28"/>
  <c r="U35" i="27"/>
  <c r="U31" i="27"/>
  <c r="O67" i="27"/>
  <c r="V53" i="27"/>
  <c r="O20" i="27"/>
  <c r="O22" i="27"/>
  <c r="O49" i="28"/>
  <c r="I22" i="10"/>
  <c r="H19" i="2"/>
  <c r="O31" i="10"/>
  <c r="H20" i="2"/>
  <c r="I26" i="2" s="1"/>
  <c r="N36" i="28"/>
  <c r="T58" i="28"/>
  <c r="O65" i="27"/>
  <c r="U47" i="27"/>
  <c r="U51" i="27"/>
  <c r="P60" i="27"/>
  <c r="O63" i="28"/>
  <c r="N55" i="28"/>
  <c r="U7" i="28"/>
  <c r="U60" i="28"/>
  <c r="P13" i="28"/>
  <c r="I2" i="10"/>
  <c r="I3" i="10"/>
  <c r="I20" i="10"/>
  <c r="I46" i="2"/>
  <c r="I45" i="2"/>
  <c r="I44" i="2"/>
  <c r="T44" i="27"/>
  <c r="O5" i="27"/>
  <c r="P4" i="27"/>
  <c r="O15" i="27"/>
  <c r="U54" i="28"/>
  <c r="T35" i="28"/>
  <c r="O56" i="28"/>
  <c r="U2" i="28"/>
  <c r="N9" i="28"/>
  <c r="I6" i="10"/>
  <c r="T20" i="27"/>
  <c r="O55" i="27"/>
  <c r="U46" i="27"/>
  <c r="O7" i="27"/>
  <c r="P55" i="27"/>
  <c r="O59" i="27"/>
  <c r="O52" i="27"/>
  <c r="O62" i="27"/>
  <c r="I5" i="10"/>
  <c r="P64" i="27"/>
  <c r="O54" i="27"/>
  <c r="U9" i="28"/>
  <c r="U14" i="28"/>
  <c r="P48" i="28"/>
  <c r="O13" i="28"/>
  <c r="O65" i="28"/>
  <c r="O29" i="28"/>
  <c r="V61" i="28"/>
  <c r="I47" i="2"/>
  <c r="I51" i="2"/>
  <c r="I50" i="2"/>
  <c r="I49" i="2"/>
  <c r="I48" i="2"/>
  <c r="N64" i="27"/>
  <c r="O41" i="27"/>
  <c r="N61" i="27"/>
  <c r="N71" i="27"/>
  <c r="V32" i="27"/>
  <c r="O69" i="27"/>
  <c r="O58" i="27"/>
  <c r="O37" i="27"/>
  <c r="O70" i="28"/>
  <c r="T57" i="28"/>
  <c r="V52" i="28"/>
  <c r="U13" i="28"/>
  <c r="U10" i="28"/>
  <c r="G14" i="28"/>
  <c r="I21" i="10"/>
  <c r="I53" i="2"/>
  <c r="I52" i="2"/>
  <c r="I54" i="2"/>
  <c r="I56" i="2"/>
  <c r="I55" i="2"/>
  <c r="I57" i="2"/>
  <c r="I59" i="2"/>
  <c r="I58" i="2"/>
  <c r="I60" i="2"/>
  <c r="I63" i="2"/>
  <c r="I61" i="2"/>
  <c r="I62" i="2"/>
  <c r="U16" i="27"/>
  <c r="U57" i="27"/>
  <c r="O21" i="27"/>
  <c r="U43" i="27"/>
  <c r="U61" i="27"/>
  <c r="O27" i="27"/>
  <c r="O30" i="27"/>
  <c r="U42" i="27"/>
  <c r="U33" i="28"/>
  <c r="V58" i="28"/>
  <c r="P50" i="28"/>
  <c r="O52" i="28"/>
  <c r="U48" i="28"/>
  <c r="O51" i="28"/>
  <c r="V32" i="28"/>
  <c r="J52" i="10"/>
  <c r="U54" i="27"/>
  <c r="U60" i="27"/>
  <c r="G39" i="27"/>
  <c r="N29" i="10" s="1"/>
  <c r="G36" i="27"/>
  <c r="N26" i="10" s="1"/>
  <c r="T12" i="27"/>
  <c r="U65" i="28"/>
  <c r="O54" i="28"/>
  <c r="G45" i="28"/>
  <c r="O35" i="10" s="1"/>
  <c r="P7" i="28"/>
  <c r="U44" i="28"/>
  <c r="I68" i="2"/>
  <c r="I69" i="2"/>
  <c r="N44" i="27"/>
  <c r="U15" i="27"/>
  <c r="O11" i="27"/>
  <c r="U27" i="27"/>
  <c r="O33" i="27"/>
  <c r="V42" i="27"/>
  <c r="P54" i="27"/>
  <c r="O53" i="27"/>
  <c r="N32" i="28"/>
  <c r="I65" i="2"/>
  <c r="I66" i="2"/>
  <c r="U53" i="28"/>
  <c r="P28" i="28"/>
  <c r="U52" i="28"/>
  <c r="O43" i="28"/>
  <c r="O46" i="28"/>
  <c r="I1" i="2"/>
  <c r="I1" i="10"/>
  <c r="P39" i="27"/>
  <c r="T14" i="27"/>
  <c r="V10" i="27"/>
  <c r="G17" i="10"/>
  <c r="P32" i="27"/>
  <c r="V5" i="27"/>
  <c r="P67" i="27"/>
  <c r="P34" i="27"/>
  <c r="P41" i="27"/>
  <c r="P20" i="27"/>
  <c r="G40" i="27"/>
  <c r="N30" i="10" s="1"/>
  <c r="G17" i="27"/>
  <c r="N7" i="10" s="1"/>
  <c r="P58" i="28"/>
  <c r="I16" i="10"/>
  <c r="N24" i="27"/>
  <c r="O58" i="28"/>
  <c r="O30" i="28"/>
  <c r="P26" i="28"/>
  <c r="T32" i="28"/>
  <c r="P12" i="28"/>
  <c r="V35" i="28"/>
  <c r="I15" i="10"/>
  <c r="I26" i="10"/>
  <c r="U64" i="27"/>
  <c r="O35" i="27"/>
  <c r="V13" i="27"/>
  <c r="U62" i="28"/>
  <c r="O50" i="28"/>
  <c r="U50" i="28"/>
  <c r="U42" i="28"/>
  <c r="O26" i="28"/>
  <c r="O57" i="28"/>
  <c r="O35" i="28"/>
  <c r="P2" i="28"/>
  <c r="N28" i="27"/>
  <c r="O8" i="27"/>
  <c r="O6" i="27"/>
  <c r="U34" i="27"/>
  <c r="O31" i="27"/>
  <c r="U7" i="27"/>
  <c r="G44" i="27"/>
  <c r="N34" i="10" s="1"/>
  <c r="F6" i="2"/>
  <c r="G44" i="2"/>
  <c r="G46" i="2"/>
  <c r="G45" i="2"/>
  <c r="AE42" i="27"/>
  <c r="AE50" i="27"/>
  <c r="AE38" i="27"/>
  <c r="N2" i="10"/>
  <c r="AE54" i="27"/>
  <c r="AE34" i="27"/>
  <c r="AE46" i="27"/>
  <c r="G1" i="2"/>
  <c r="G1" i="10"/>
  <c r="V31" i="27"/>
  <c r="G48" i="2"/>
  <c r="G50" i="2"/>
  <c r="G49" i="2"/>
  <c r="G47" i="2"/>
  <c r="G51" i="2"/>
  <c r="V15" i="27"/>
  <c r="P3" i="27"/>
  <c r="G52" i="2"/>
  <c r="G53" i="2"/>
  <c r="G66" i="2"/>
  <c r="G65" i="2"/>
  <c r="G69" i="2"/>
  <c r="G68" i="2"/>
  <c r="G57" i="2"/>
  <c r="G54" i="2"/>
  <c r="G55" i="2"/>
  <c r="G56" i="2"/>
  <c r="N34" i="27"/>
  <c r="G18" i="27"/>
  <c r="N8" i="10" s="1"/>
  <c r="P2" i="27"/>
  <c r="P59" i="27"/>
  <c r="N4" i="10"/>
  <c r="G43" i="27"/>
  <c r="N33" i="10" s="1"/>
  <c r="G58" i="2"/>
  <c r="G59" i="2"/>
  <c r="G60" i="2"/>
  <c r="G62" i="2"/>
  <c r="G63" i="2"/>
  <c r="G61" i="2"/>
  <c r="N10" i="27"/>
  <c r="V57" i="27"/>
  <c r="AF42" i="27"/>
  <c r="AF46" i="27"/>
  <c r="AF34" i="27"/>
  <c r="AF38" i="27"/>
  <c r="AF54" i="27"/>
  <c r="AF50" i="27"/>
  <c r="N3" i="10"/>
  <c r="G24" i="27"/>
  <c r="N14" i="10" s="1"/>
  <c r="P22" i="27"/>
  <c r="G3" i="10"/>
  <c r="G2" i="10"/>
  <c r="AI43" i="27"/>
  <c r="AI51" i="27"/>
  <c r="AI47" i="27"/>
  <c r="AI35" i="27"/>
  <c r="AI39" i="27"/>
  <c r="AI55" i="27"/>
  <c r="N17" i="10"/>
  <c r="G21" i="27"/>
  <c r="N11" i="10" s="1"/>
  <c r="V54" i="28"/>
  <c r="P52" i="28"/>
  <c r="P55" i="28"/>
  <c r="V66" i="28"/>
  <c r="G42" i="28"/>
  <c r="O32" i="10" s="1"/>
  <c r="V48" i="28"/>
  <c r="P32" i="28"/>
  <c r="V53" i="28"/>
  <c r="V31" i="28"/>
  <c r="V49" i="28"/>
  <c r="V62" i="28"/>
  <c r="P71" i="28"/>
  <c r="P51" i="28"/>
  <c r="V7" i="28"/>
  <c r="P54" i="28"/>
  <c r="P70" i="28"/>
  <c r="P56" i="28"/>
  <c r="V59" i="28"/>
  <c r="G22" i="28"/>
  <c r="O12" i="10" s="1"/>
  <c r="G18" i="28"/>
  <c r="O8" i="10" s="1"/>
  <c r="P61" i="28"/>
  <c r="P11" i="28"/>
  <c r="V65" i="28"/>
  <c r="V63" i="28"/>
  <c r="P27" i="28"/>
  <c r="P34" i="28"/>
  <c r="G26" i="28"/>
  <c r="O16" i="10" s="1"/>
  <c r="G24" i="28"/>
  <c r="O14" i="10" s="1"/>
  <c r="V64" i="28"/>
  <c r="P69" i="28"/>
  <c r="I46" i="10"/>
  <c r="G15" i="28"/>
  <c r="G21" i="28"/>
  <c r="O11" i="10" s="1"/>
  <c r="G20" i="28"/>
  <c r="O10" i="10" s="1"/>
  <c r="G19" i="28"/>
  <c r="O9" i="10" s="1"/>
  <c r="G30" i="28"/>
  <c r="O20" i="10" s="1"/>
  <c r="P17" i="28"/>
  <c r="G29" i="28"/>
  <c r="O19" i="10" s="1"/>
  <c r="V14" i="28"/>
  <c r="P31" i="28"/>
  <c r="V41" i="28"/>
  <c r="V27" i="28"/>
  <c r="P60" i="28"/>
  <c r="P45" i="28"/>
  <c r="V21" i="28"/>
  <c r="P43" i="28"/>
  <c r="G43" i="28"/>
  <c r="O33" i="10" s="1"/>
  <c r="G33" i="28"/>
  <c r="O23" i="10" s="1"/>
  <c r="P37" i="28"/>
  <c r="V6" i="28"/>
  <c r="G16" i="28"/>
  <c r="O6" i="10" s="1"/>
  <c r="G12" i="28"/>
  <c r="G39" i="28"/>
  <c r="O29" i="10" s="1"/>
  <c r="G40" i="28"/>
  <c r="O30" i="10" s="1"/>
  <c r="G36" i="28"/>
  <c r="O26" i="10" s="1"/>
  <c r="G35" i="28"/>
  <c r="O25" i="10" s="1"/>
  <c r="V16" i="28"/>
  <c r="P10" i="28"/>
  <c r="V13" i="28"/>
  <c r="V42" i="28"/>
  <c r="V34" i="28"/>
  <c r="P24" i="28"/>
  <c r="P49" i="28"/>
  <c r="P44" i="28"/>
  <c r="P72" i="28"/>
  <c r="V45" i="28"/>
  <c r="V57" i="28"/>
  <c r="V2" i="28"/>
  <c r="V47" i="28"/>
  <c r="V56" i="28"/>
  <c r="V60" i="28"/>
  <c r="V50" i="28"/>
  <c r="G13" i="28"/>
  <c r="P39" i="28"/>
  <c r="P57" i="28"/>
  <c r="G23" i="28"/>
  <c r="O13" i="10" s="1"/>
  <c r="P47" i="28"/>
  <c r="P46" i="28"/>
  <c r="P30" i="28"/>
  <c r="P22" i="28"/>
  <c r="P33" i="28"/>
  <c r="P18" i="28"/>
  <c r="V33" i="28"/>
  <c r="U30" i="28" l="1"/>
  <c r="O10" i="28"/>
  <c r="O2" i="28"/>
  <c r="U59" i="28"/>
  <c r="AG34" i="27"/>
  <c r="N29" i="27"/>
  <c r="V9" i="27"/>
  <c r="U31" i="28"/>
  <c r="T65" i="28"/>
  <c r="T3" i="28"/>
  <c r="T21" i="27"/>
  <c r="T10" i="28"/>
  <c r="U65" i="27"/>
  <c r="N29" i="28"/>
  <c r="N62" i="27"/>
  <c r="N56" i="28"/>
  <c r="N49" i="28"/>
  <c r="O7" i="28"/>
  <c r="AG46" i="27"/>
  <c r="N22" i="27"/>
  <c r="O19" i="28"/>
  <c r="N14" i="27"/>
  <c r="AG42" i="27"/>
  <c r="T2" i="27"/>
  <c r="V8" i="27"/>
  <c r="U13" i="27"/>
  <c r="P49" i="27"/>
  <c r="T52" i="28"/>
  <c r="T48" i="28"/>
  <c r="T13" i="28"/>
  <c r="N65" i="28"/>
  <c r="N52" i="27"/>
  <c r="N55" i="27"/>
  <c r="P48" i="27"/>
  <c r="T60" i="28"/>
  <c r="O17" i="28"/>
  <c r="O5" i="10"/>
  <c r="H21" i="2"/>
  <c r="T43" i="27"/>
  <c r="T45" i="28"/>
  <c r="AE42" i="28"/>
  <c r="AE50" i="28"/>
  <c r="AE38" i="28"/>
  <c r="AE54" i="28"/>
  <c r="AE34" i="28"/>
  <c r="AE46" i="28"/>
  <c r="O2" i="10"/>
  <c r="O42" i="28"/>
  <c r="N49" i="27"/>
  <c r="V66" i="27"/>
  <c r="T9" i="27"/>
  <c r="P9" i="27"/>
  <c r="N8" i="27"/>
  <c r="O21" i="28"/>
  <c r="N26" i="28"/>
  <c r="P46" i="27"/>
  <c r="P45" i="27"/>
  <c r="G27" i="28"/>
  <c r="T27" i="27"/>
  <c r="U15" i="28"/>
  <c r="T42" i="27"/>
  <c r="N21" i="27"/>
  <c r="O4" i="10"/>
  <c r="H22" i="2"/>
  <c r="N37" i="27"/>
  <c r="O34" i="28"/>
  <c r="N63" i="28"/>
  <c r="U17" i="27"/>
  <c r="P3" i="28"/>
  <c r="N20" i="27"/>
  <c r="O40" i="28"/>
  <c r="N33" i="27"/>
  <c r="G47" i="28"/>
  <c r="O37" i="10" s="1"/>
  <c r="G46" i="28"/>
  <c r="O36" i="10" s="1"/>
  <c r="P15" i="28"/>
  <c r="O31" i="28"/>
  <c r="O69" i="28"/>
  <c r="O61" i="28"/>
  <c r="O72" i="28"/>
  <c r="O33" i="28"/>
  <c r="T62" i="27"/>
  <c r="P50" i="27"/>
  <c r="T55" i="27"/>
  <c r="N35" i="27"/>
  <c r="G30" i="27"/>
  <c r="N20" i="10" s="1"/>
  <c r="F12" i="2"/>
  <c r="F11" i="2"/>
  <c r="F13" i="2"/>
  <c r="G32" i="27"/>
  <c r="N22" i="10" s="1"/>
  <c r="G31" i="27"/>
  <c r="N21" i="10" s="1"/>
  <c r="P47" i="27"/>
  <c r="N52" i="28"/>
  <c r="U66" i="28"/>
  <c r="N13" i="28"/>
  <c r="P43" i="27"/>
  <c r="T54" i="28"/>
  <c r="N5" i="27"/>
  <c r="V17" i="27"/>
  <c r="T6" i="28"/>
  <c r="N4" i="28"/>
  <c r="O53" i="28"/>
  <c r="G33" i="27"/>
  <c r="N23" i="10" s="1"/>
  <c r="G12" i="2"/>
  <c r="G13" i="2"/>
  <c r="G11" i="2"/>
  <c r="AF42" i="28"/>
  <c r="AF54" i="28"/>
  <c r="AF38" i="28"/>
  <c r="AF46" i="28"/>
  <c r="AF50" i="28"/>
  <c r="O3" i="10"/>
  <c r="AF34" i="28"/>
  <c r="P53" i="28"/>
  <c r="V5" i="28"/>
  <c r="T41" i="27"/>
  <c r="U28" i="27"/>
  <c r="N36" i="27"/>
  <c r="T42" i="28"/>
  <c r="P65" i="27"/>
  <c r="V14" i="27"/>
  <c r="N11" i="27"/>
  <c r="T44" i="28"/>
  <c r="N12" i="27"/>
  <c r="T57" i="27"/>
  <c r="N58" i="27"/>
  <c r="N41" i="27"/>
  <c r="N59" i="27"/>
  <c r="U53" i="27"/>
  <c r="O18" i="28"/>
  <c r="N27" i="28"/>
  <c r="N14" i="28"/>
  <c r="N28" i="28"/>
  <c r="O60" i="28"/>
  <c r="U47" i="28"/>
  <c r="T19" i="27"/>
  <c r="T11" i="27"/>
  <c r="O3" i="27"/>
  <c r="T64" i="27"/>
  <c r="U63" i="28"/>
  <c r="N30" i="28"/>
  <c r="V33" i="27"/>
  <c r="G37" i="27"/>
  <c r="N27" i="10" s="1"/>
  <c r="N46" i="28"/>
  <c r="T53" i="28"/>
  <c r="N30" i="27"/>
  <c r="O68" i="28"/>
  <c r="N54" i="27"/>
  <c r="N48" i="28"/>
  <c r="G44" i="28"/>
  <c r="O34" i="10" s="1"/>
  <c r="H6" i="2"/>
  <c r="G38" i="28"/>
  <c r="P42" i="28"/>
  <c r="O37" i="28"/>
  <c r="N51" i="27"/>
  <c r="N25" i="27"/>
  <c r="N57" i="27"/>
  <c r="T7" i="27"/>
  <c r="T50" i="28"/>
  <c r="P40" i="27"/>
  <c r="G41" i="27"/>
  <c r="V3" i="27"/>
  <c r="N53" i="27"/>
  <c r="T15" i="27"/>
  <c r="T16" i="27"/>
  <c r="V15" i="28"/>
  <c r="N69" i="27"/>
  <c r="T14" i="28"/>
  <c r="T9" i="28"/>
  <c r="T47" i="27"/>
  <c r="N67" i="27"/>
  <c r="O39" i="28"/>
  <c r="V52" i="27"/>
  <c r="V30" i="28"/>
  <c r="U21" i="28"/>
  <c r="U5" i="28"/>
  <c r="V51" i="28"/>
  <c r="N23" i="27"/>
  <c r="T22" i="27"/>
  <c r="P19" i="27"/>
  <c r="T45" i="27"/>
  <c r="N58" i="28"/>
  <c r="T33" i="28"/>
  <c r="N27" i="27"/>
  <c r="N7" i="27"/>
  <c r="T7" i="28"/>
  <c r="T64" i="28"/>
  <c r="U41" i="28"/>
  <c r="V11" i="28"/>
  <c r="O24" i="28"/>
  <c r="U34" i="28"/>
  <c r="O15" i="28"/>
  <c r="O59" i="28"/>
  <c r="T59" i="27"/>
  <c r="N16" i="27"/>
  <c r="T48" i="27"/>
  <c r="N31" i="27"/>
  <c r="N35" i="28"/>
  <c r="N50" i="28"/>
  <c r="P11" i="27"/>
  <c r="N43" i="28"/>
  <c r="P27" i="27"/>
  <c r="T60" i="27"/>
  <c r="N70" i="28"/>
  <c r="P68" i="28"/>
  <c r="N15" i="27"/>
  <c r="N65" i="27"/>
  <c r="T31" i="27"/>
  <c r="V26" i="27"/>
  <c r="N6" i="27"/>
  <c r="O48" i="27"/>
  <c r="T51" i="27"/>
  <c r="O44" i="28"/>
  <c r="G15" i="27"/>
  <c r="G33" i="2"/>
  <c r="G38" i="2"/>
  <c r="G39" i="2" s="1"/>
  <c r="G42" i="2" s="1"/>
  <c r="G43" i="2" s="1"/>
  <c r="G34" i="2"/>
  <c r="T29" i="27"/>
  <c r="T30" i="27"/>
  <c r="O66" i="27"/>
  <c r="P25" i="27"/>
  <c r="N54" i="28"/>
  <c r="T61" i="27"/>
  <c r="U32" i="27"/>
  <c r="T46" i="27"/>
  <c r="T2" i="28"/>
  <c r="G28" i="28"/>
  <c r="O18" i="10" s="1"/>
  <c r="U50" i="27"/>
  <c r="O39" i="27"/>
  <c r="U51" i="28"/>
  <c r="O47" i="28"/>
  <c r="O45" i="28"/>
  <c r="U16" i="28"/>
  <c r="U27" i="28"/>
  <c r="V49" i="27"/>
  <c r="AG38" i="27"/>
  <c r="V56" i="27"/>
  <c r="U18" i="27"/>
  <c r="U23" i="27"/>
  <c r="T34" i="27"/>
  <c r="N57" i="28"/>
  <c r="T62" i="28"/>
  <c r="P12" i="27"/>
  <c r="P70" i="27"/>
  <c r="U10" i="27"/>
  <c r="T54" i="27"/>
  <c r="N51" i="28"/>
  <c r="U49" i="28"/>
  <c r="T35" i="27"/>
  <c r="T56" i="28"/>
  <c r="N71" i="28"/>
  <c r="P6" i="28"/>
  <c r="P41" i="28"/>
  <c r="P5" i="28"/>
  <c r="V17" i="28"/>
  <c r="P4" i="28"/>
  <c r="P64" i="28"/>
  <c r="V10" i="28"/>
  <c r="V55" i="28"/>
  <c r="V12" i="28"/>
  <c r="P38" i="28"/>
  <c r="P59" i="28"/>
  <c r="P62" i="28"/>
  <c r="P63" i="28"/>
  <c r="P20" i="28"/>
  <c r="V4" i="28"/>
  <c r="P36" i="28"/>
  <c r="P29" i="28"/>
  <c r="P67" i="28"/>
  <c r="V8" i="28"/>
  <c r="V43" i="28"/>
  <c r="P8" i="28"/>
  <c r="V19" i="28"/>
  <c r="V28" i="28"/>
  <c r="V24" i="28"/>
  <c r="V23" i="28"/>
  <c r="V29" i="28"/>
  <c r="V26" i="28"/>
  <c r="V46" i="28"/>
  <c r="P21" i="28"/>
  <c r="P16" i="28"/>
  <c r="V20" i="28"/>
  <c r="P23" i="28"/>
  <c r="V18" i="28"/>
  <c r="I12" i="2"/>
  <c r="I13" i="2"/>
  <c r="I11" i="2"/>
  <c r="P66" i="28"/>
  <c r="V22" i="28"/>
  <c r="V25" i="28"/>
  <c r="P19" i="28"/>
  <c r="H13" i="2"/>
  <c r="H11" i="2"/>
  <c r="G31" i="28"/>
  <c r="O21" i="10" s="1"/>
  <c r="H12" i="2"/>
  <c r="G32" i="28"/>
  <c r="O22" i="10" s="1"/>
  <c r="I34" i="2"/>
  <c r="I38" i="2"/>
  <c r="I39" i="2" s="1"/>
  <c r="I42" i="2" s="1"/>
  <c r="I43" i="2" s="1"/>
  <c r="I33" i="2"/>
  <c r="I35" i="2" l="1"/>
  <c r="I37" i="2"/>
  <c r="I40" i="2" s="1"/>
  <c r="I41" i="2" s="1"/>
  <c r="I36" i="2"/>
  <c r="N68" i="28"/>
  <c r="N17" i="28"/>
  <c r="U20" i="28"/>
  <c r="U46" i="28"/>
  <c r="O62" i="28"/>
  <c r="O38" i="28"/>
  <c r="O6" i="28"/>
  <c r="U56" i="27"/>
  <c r="N24" i="28"/>
  <c r="T41" i="28"/>
  <c r="N31" i="10"/>
  <c r="F19" i="2"/>
  <c r="F20" i="2"/>
  <c r="G26" i="2" s="1"/>
  <c r="N60" i="28"/>
  <c r="T53" i="27"/>
  <c r="U19" i="28"/>
  <c r="N3" i="27"/>
  <c r="AG42" i="28"/>
  <c r="N61" i="28"/>
  <c r="O3" i="28"/>
  <c r="N2" i="28"/>
  <c r="U23" i="28"/>
  <c r="U55" i="28"/>
  <c r="T49" i="28"/>
  <c r="N47" i="28"/>
  <c r="G36" i="2"/>
  <c r="G35" i="2"/>
  <c r="G37" i="2"/>
  <c r="G40" i="2" s="1"/>
  <c r="G41" i="2" s="1"/>
  <c r="N15" i="28"/>
  <c r="U33" i="27"/>
  <c r="N40" i="28"/>
  <c r="T17" i="27"/>
  <c r="U66" i="27"/>
  <c r="O19" i="27"/>
  <c r="T59" i="28"/>
  <c r="U17" i="28"/>
  <c r="U49" i="27"/>
  <c r="T27" i="28"/>
  <c r="T51" i="28"/>
  <c r="AI39" i="28"/>
  <c r="AI35" i="28"/>
  <c r="AI47" i="28"/>
  <c r="O17" i="10"/>
  <c r="AI51" i="28"/>
  <c r="AI43" i="28"/>
  <c r="AI55" i="28"/>
  <c r="O11" i="28"/>
  <c r="AG38" i="28"/>
  <c r="O16" i="28"/>
  <c r="O8" i="28"/>
  <c r="N39" i="27"/>
  <c r="U52" i="27"/>
  <c r="N37" i="28"/>
  <c r="N33" i="28"/>
  <c r="O45" i="27"/>
  <c r="N21" i="28"/>
  <c r="U4" i="28"/>
  <c r="T16" i="28"/>
  <c r="N66" i="27"/>
  <c r="T66" i="28"/>
  <c r="N69" i="28"/>
  <c r="O41" i="28"/>
  <c r="N18" i="28"/>
  <c r="U25" i="28"/>
  <c r="U24" i="28"/>
  <c r="U8" i="28"/>
  <c r="T50" i="27"/>
  <c r="N59" i="28"/>
  <c r="T21" i="28"/>
  <c r="N72" i="28"/>
  <c r="O46" i="27"/>
  <c r="T65" i="27"/>
  <c r="T31" i="28"/>
  <c r="O64" i="28"/>
  <c r="T23" i="27"/>
  <c r="N45" i="28"/>
  <c r="N5" i="10"/>
  <c r="F21" i="2"/>
  <c r="F22" i="2"/>
  <c r="N48" i="27"/>
  <c r="T5" i="28"/>
  <c r="AG34" i="28"/>
  <c r="N31" i="28"/>
  <c r="N7" i="28"/>
  <c r="U18" i="28"/>
  <c r="U26" i="28"/>
  <c r="U29" i="28"/>
  <c r="U43" i="28"/>
  <c r="O20" i="28"/>
  <c r="H23" i="2"/>
  <c r="O28" i="10"/>
  <c r="T63" i="28"/>
  <c r="T47" i="28"/>
  <c r="U8" i="27"/>
  <c r="U26" i="27"/>
  <c r="O66" i="28"/>
  <c r="U22" i="28"/>
  <c r="O67" i="28"/>
  <c r="O5" i="28"/>
  <c r="T18" i="27"/>
  <c r="N34" i="28"/>
  <c r="O9" i="27"/>
  <c r="T13" i="27"/>
  <c r="N19" i="28"/>
  <c r="O23" i="28"/>
  <c r="U28" i="28"/>
  <c r="T10" i="27"/>
  <c r="T32" i="27"/>
  <c r="N44" i="28"/>
  <c r="T34" i="28"/>
  <c r="U11" i="28"/>
  <c r="N39" i="28"/>
  <c r="G38" i="27"/>
  <c r="T28" i="27"/>
  <c r="AG46" i="28"/>
  <c r="N53" i="28"/>
  <c r="T15" i="28"/>
  <c r="N42" i="28"/>
  <c r="N10" i="28"/>
  <c r="T30" i="28"/>
  <c r="N6" i="28" l="1"/>
  <c r="N23" i="28"/>
  <c r="N5" i="28"/>
  <c r="N16" i="28"/>
  <c r="T17" i="28"/>
  <c r="N19" i="27"/>
  <c r="T20" i="28"/>
  <c r="T55" i="28"/>
  <c r="N3" i="28"/>
  <c r="T19" i="28"/>
  <c r="T26" i="27"/>
  <c r="T33" i="27"/>
  <c r="T29" i="28"/>
  <c r="N45" i="27"/>
  <c r="N46" i="27"/>
  <c r="N67" i="28"/>
  <c r="N11" i="28"/>
  <c r="N38" i="28"/>
  <c r="T8" i="28"/>
  <c r="T52" i="27"/>
  <c r="T18" i="28"/>
  <c r="T4" i="28"/>
  <c r="T11" i="28"/>
  <c r="F23" i="2"/>
  <c r="N28" i="10"/>
  <c r="N20" i="28"/>
  <c r="T66" i="27"/>
  <c r="N62" i="28"/>
  <c r="N66" i="28"/>
  <c r="T26" i="28"/>
  <c r="T24" i="28"/>
  <c r="N41" i="28"/>
  <c r="T49" i="27"/>
  <c r="T23" i="28"/>
  <c r="N9" i="27"/>
  <c r="T28" i="28"/>
  <c r="T8" i="27"/>
  <c r="T43" i="28"/>
  <c r="N64" i="28"/>
  <c r="N8" i="28"/>
  <c r="T46" i="28"/>
  <c r="T22" i="28"/>
  <c r="T25" i="28"/>
  <c r="T56" i="27"/>
  <c r="E67" i="2" l="1"/>
  <c r="E64" i="2"/>
  <c r="G26" i="26"/>
  <c r="M16" i="10" s="1"/>
  <c r="E28" i="10"/>
  <c r="E27" i="10"/>
  <c r="E26" i="10"/>
  <c r="E25" i="10"/>
  <c r="E24" i="10"/>
  <c r="F21" i="10"/>
  <c r="E21" i="10"/>
  <c r="F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F5" i="10"/>
  <c r="E5" i="10"/>
  <c r="F4" i="10"/>
  <c r="E4" i="10"/>
  <c r="F3" i="10"/>
  <c r="F2" i="10"/>
  <c r="E22" i="10"/>
  <c r="F52" i="10"/>
  <c r="E51" i="10"/>
  <c r="F47" i="10"/>
  <c r="E48" i="10"/>
  <c r="E45" i="10"/>
  <c r="E43" i="10"/>
  <c r="E41" i="10"/>
  <c r="E52" i="10"/>
  <c r="E50" i="10"/>
  <c r="E49" i="10"/>
  <c r="E47" i="10"/>
  <c r="E44" i="10"/>
  <c r="E42" i="10"/>
  <c r="E40" i="10"/>
  <c r="E38" i="10"/>
  <c r="F36" i="10"/>
  <c r="F33" i="10"/>
  <c r="E33" i="10"/>
  <c r="E39" i="10"/>
  <c r="E37" i="10"/>
  <c r="E36" i="10"/>
  <c r="E35" i="10"/>
  <c r="E34" i="10"/>
  <c r="E32" i="10"/>
  <c r="E31" i="10"/>
  <c r="E30" i="10"/>
  <c r="E29" i="10"/>
  <c r="V36" i="26"/>
  <c r="P12" i="26"/>
  <c r="O10" i="26"/>
  <c r="P7" i="26"/>
  <c r="O19" i="26"/>
  <c r="V52" i="26"/>
  <c r="V44" i="26"/>
  <c r="O66" i="26"/>
  <c r="U30" i="26"/>
  <c r="V24" i="26"/>
  <c r="U56" i="26"/>
  <c r="P23" i="26"/>
  <c r="V27" i="26"/>
  <c r="G46" i="26"/>
  <c r="M36" i="10" s="1"/>
  <c r="O37" i="26"/>
  <c r="G21" i="26"/>
  <c r="M11" i="10" s="1"/>
  <c r="V17" i="26"/>
  <c r="P41" i="26"/>
  <c r="U59" i="26"/>
  <c r="O53" i="26"/>
  <c r="O5" i="26"/>
  <c r="P65" i="26"/>
  <c r="U9" i="26"/>
  <c r="G41" i="26"/>
  <c r="P20" i="26"/>
  <c r="G37" i="26"/>
  <c r="M27" i="10" s="1"/>
  <c r="O44" i="26"/>
  <c r="U19" i="26"/>
  <c r="O23" i="26"/>
  <c r="U23" i="26"/>
  <c r="O28" i="26"/>
  <c r="V31" i="26"/>
  <c r="P24" i="26"/>
  <c r="P32" i="26"/>
  <c r="O55" i="26"/>
  <c r="N66" i="26"/>
  <c r="G47" i="26"/>
  <c r="M37" i="10" s="1"/>
  <c r="P71" i="26"/>
  <c r="U3" i="26"/>
  <c r="V5" i="26"/>
  <c r="U10" i="26"/>
  <c r="N28" i="26"/>
  <c r="N23" i="26"/>
  <c r="P19" i="26"/>
  <c r="U13" i="26"/>
  <c r="U21" i="26"/>
  <c r="O34" i="26"/>
  <c r="V64" i="26"/>
  <c r="P17" i="26"/>
  <c r="O17" i="26"/>
  <c r="V61" i="26"/>
  <c r="O18" i="26"/>
  <c r="O60" i="26"/>
  <c r="P45" i="26"/>
  <c r="V10" i="26"/>
  <c r="P4" i="26"/>
  <c r="P29" i="26"/>
  <c r="P55" i="26"/>
  <c r="O61" i="26"/>
  <c r="P48" i="26"/>
  <c r="T21" i="26"/>
  <c r="O41" i="26"/>
  <c r="O62" i="26"/>
  <c r="U12" i="26"/>
  <c r="U5" i="26"/>
  <c r="O52" i="26"/>
  <c r="O63" i="26"/>
  <c r="N63" i="26"/>
  <c r="U28" i="26"/>
  <c r="O26" i="26"/>
  <c r="V9" i="26"/>
  <c r="O14" i="26"/>
  <c r="P72" i="26"/>
  <c r="P53" i="26"/>
  <c r="P14" i="26"/>
  <c r="P35" i="26"/>
  <c r="P44" i="26"/>
  <c r="V21" i="26"/>
  <c r="V13" i="26"/>
  <c r="U54" i="26"/>
  <c r="V11" i="26"/>
  <c r="V4" i="26"/>
  <c r="P18" i="26"/>
  <c r="O40" i="26"/>
  <c r="V18" i="26"/>
  <c r="O57" i="26"/>
  <c r="P52" i="26"/>
  <c r="V25" i="26"/>
  <c r="V19" i="26"/>
  <c r="V30" i="26"/>
  <c r="O4" i="26"/>
  <c r="P10" i="26"/>
  <c r="O35" i="26"/>
  <c r="O8" i="26"/>
  <c r="V58" i="26"/>
  <c r="V15" i="26"/>
  <c r="U15" i="26"/>
  <c r="T30" i="26"/>
  <c r="O12" i="26"/>
  <c r="P31" i="26"/>
  <c r="O31" i="26"/>
  <c r="O36" i="26"/>
  <c r="O20" i="26"/>
  <c r="P70" i="26"/>
  <c r="O29" i="26"/>
  <c r="P67" i="26"/>
  <c r="V22" i="26"/>
  <c r="U22" i="26"/>
  <c r="P47" i="26"/>
  <c r="T19" i="26"/>
  <c r="U14" i="26"/>
  <c r="T9" i="26"/>
  <c r="U27" i="26"/>
  <c r="P49" i="26"/>
  <c r="T12" i="26"/>
  <c r="N10" i="26"/>
  <c r="T10" i="26"/>
  <c r="O49" i="26"/>
  <c r="G23" i="26"/>
  <c r="M13" i="10" s="1"/>
  <c r="P27" i="26"/>
  <c r="T27" i="26"/>
  <c r="N20" i="26"/>
  <c r="U58" i="26"/>
  <c r="T15" i="26"/>
  <c r="N57" i="26"/>
  <c r="V46" i="26"/>
  <c r="U46" i="26"/>
  <c r="U48" i="26"/>
  <c r="T3" i="26"/>
  <c r="V35" i="26"/>
  <c r="U35" i="26"/>
  <c r="V20" i="26"/>
  <c r="G19" i="26"/>
  <c r="M9" i="10" s="1"/>
  <c r="N17" i="26"/>
  <c r="V28" i="26"/>
  <c r="G20" i="26"/>
  <c r="M10" i="10" s="1"/>
  <c r="N18" i="26"/>
  <c r="P51" i="26"/>
  <c r="G16" i="26"/>
  <c r="M6" i="10" s="1"/>
  <c r="G36" i="26"/>
  <c r="M26" i="10" s="1"/>
  <c r="P42" i="26"/>
  <c r="G27" i="26"/>
  <c r="P64" i="26"/>
  <c r="N12" i="26"/>
  <c r="N37" i="26"/>
  <c r="T23" i="26"/>
  <c r="P46" i="26"/>
  <c r="N19" i="26"/>
  <c r="O58" i="26"/>
  <c r="O39" i="26"/>
  <c r="N53" i="26"/>
  <c r="P62" i="26"/>
  <c r="N61" i="26"/>
  <c r="E46" i="10"/>
  <c r="O71" i="26"/>
  <c r="P34" i="26"/>
  <c r="V8" i="26"/>
  <c r="T5" i="26"/>
  <c r="N5" i="26"/>
  <c r="U24" i="26"/>
  <c r="T22" i="26"/>
  <c r="V3" i="26"/>
  <c r="N52" i="26"/>
  <c r="P63" i="26"/>
  <c r="N4" i="26"/>
  <c r="O24" i="26"/>
  <c r="G43" i="26"/>
  <c r="M33" i="10" s="1"/>
  <c r="N49" i="26"/>
  <c r="N14" i="26"/>
  <c r="N41" i="26"/>
  <c r="O11" i="26"/>
  <c r="N26" i="26"/>
  <c r="P60" i="26"/>
  <c r="P2" i="26"/>
  <c r="U63" i="26"/>
  <c r="V63" i="26"/>
  <c r="T24" i="26"/>
  <c r="P9" i="26"/>
  <c r="O9" i="26"/>
  <c r="N58" i="26"/>
  <c r="O64" i="26"/>
  <c r="V33" i="26"/>
  <c r="U66" i="26"/>
  <c r="T46" i="26"/>
  <c r="G13" i="6"/>
  <c r="O25" i="6"/>
  <c r="V36" i="6"/>
  <c r="C64" i="2"/>
  <c r="G21" i="6"/>
  <c r="L11" i="10" s="1"/>
  <c r="C67" i="2"/>
  <c r="C29" i="10"/>
  <c r="C30" i="10"/>
  <c r="C31" i="10"/>
  <c r="C32" i="10"/>
  <c r="C34" i="10"/>
  <c r="C35" i="10"/>
  <c r="C36" i="10"/>
  <c r="C37" i="10"/>
  <c r="C39" i="10"/>
  <c r="C33" i="10"/>
  <c r="D33" i="10"/>
  <c r="D36" i="10"/>
  <c r="C38" i="10"/>
  <c r="C40" i="10"/>
  <c r="C42" i="10"/>
  <c r="C44" i="10"/>
  <c r="C47" i="10"/>
  <c r="C49" i="10"/>
  <c r="C50" i="10"/>
  <c r="C52" i="10"/>
  <c r="C41" i="10"/>
  <c r="C43" i="10"/>
  <c r="C45" i="10"/>
  <c r="C48" i="10"/>
  <c r="D47" i="10"/>
  <c r="C51" i="10"/>
  <c r="D52" i="10"/>
  <c r="D2" i="10"/>
  <c r="D3" i="10"/>
  <c r="C4" i="10"/>
  <c r="D4" i="10"/>
  <c r="D5" i="10"/>
  <c r="C6" i="10"/>
  <c r="D6" i="10"/>
  <c r="D7" i="10"/>
  <c r="D8" i="10"/>
  <c r="C9" i="10"/>
  <c r="D9" i="10"/>
  <c r="C10" i="10"/>
  <c r="D10" i="10"/>
  <c r="C11" i="10"/>
  <c r="D11" i="10"/>
  <c r="C12" i="10"/>
  <c r="D12" i="10"/>
  <c r="C13" i="10"/>
  <c r="D13" i="10"/>
  <c r="C14" i="10"/>
  <c r="D14" i="10"/>
  <c r="D15" i="10"/>
  <c r="D16" i="10"/>
  <c r="C23" i="10"/>
  <c r="L24" i="10" s="1"/>
  <c r="D17" i="10"/>
  <c r="C18" i="10"/>
  <c r="D18" i="10"/>
  <c r="D19" i="10"/>
  <c r="C20" i="10"/>
  <c r="D20" i="10"/>
  <c r="C21" i="10"/>
  <c r="D21" i="10"/>
  <c r="C24" i="10"/>
  <c r="C25" i="10"/>
  <c r="C27" i="10"/>
  <c r="C28" i="10"/>
  <c r="V17" i="6"/>
  <c r="V22" i="6"/>
  <c r="V46" i="6"/>
  <c r="U11" i="6"/>
  <c r="O19" i="6"/>
  <c r="V11" i="6"/>
  <c r="G35" i="6"/>
  <c r="L25" i="10" s="1"/>
  <c r="G40" i="6"/>
  <c r="L30" i="10" s="1"/>
  <c r="O41" i="6"/>
  <c r="O70" i="6"/>
  <c r="V62" i="6"/>
  <c r="G45" i="6"/>
  <c r="L35" i="10" s="1"/>
  <c r="V51" i="6"/>
  <c r="O61" i="6"/>
  <c r="O16" i="6"/>
  <c r="G26" i="6"/>
  <c r="L16" i="10" s="1"/>
  <c r="P41" i="6"/>
  <c r="U29" i="6"/>
  <c r="P15" i="6"/>
  <c r="O38" i="6"/>
  <c r="P18" i="6"/>
  <c r="P19" i="6"/>
  <c r="O51" i="6"/>
  <c r="U42" i="6"/>
  <c r="T11" i="6"/>
  <c r="G25" i="6"/>
  <c r="L15" i="10" s="1"/>
  <c r="V16" i="6"/>
  <c r="P54" i="6"/>
  <c r="U2" i="6"/>
  <c r="V61" i="6"/>
  <c r="U28" i="6"/>
  <c r="T42" i="6"/>
  <c r="U54" i="6"/>
  <c r="O48" i="6"/>
  <c r="V10" i="6"/>
  <c r="G39" i="6"/>
  <c r="L29" i="10" s="1"/>
  <c r="V53" i="6"/>
  <c r="P23" i="6"/>
  <c r="P31" i="6"/>
  <c r="V25" i="6"/>
  <c r="G42" i="6"/>
  <c r="L32" i="10" s="1"/>
  <c r="G41" i="6"/>
  <c r="T28" i="6"/>
  <c r="P50" i="6"/>
  <c r="V30" i="6"/>
  <c r="O55" i="6"/>
  <c r="P16" i="6"/>
  <c r="O15" i="6"/>
  <c r="U32" i="6"/>
  <c r="G36" i="6"/>
  <c r="L26" i="10" s="1"/>
  <c r="U17" i="6"/>
  <c r="V24" i="6"/>
  <c r="U5" i="6"/>
  <c r="P70" i="6"/>
  <c r="C13" i="2"/>
  <c r="G29" i="6"/>
  <c r="L19" i="10" s="1"/>
  <c r="V32" i="6"/>
  <c r="V42" i="6"/>
  <c r="P5" i="6"/>
  <c r="P39" i="6"/>
  <c r="O13" i="6"/>
  <c r="P30" i="6"/>
  <c r="V58" i="6"/>
  <c r="V4" i="6"/>
  <c r="O71" i="6"/>
  <c r="U14" i="6"/>
  <c r="P42" i="6"/>
  <c r="V5" i="6"/>
  <c r="V66" i="6"/>
  <c r="V47" i="6"/>
  <c r="U61" i="6"/>
  <c r="U16" i="6"/>
  <c r="V65" i="6"/>
  <c r="O14" i="6"/>
  <c r="P7" i="6"/>
  <c r="V44" i="6"/>
  <c r="P67" i="6"/>
  <c r="V6" i="6"/>
  <c r="U20" i="6"/>
  <c r="V45" i="6"/>
  <c r="P34" i="6"/>
  <c r="P62" i="6"/>
  <c r="P57" i="6"/>
  <c r="V54" i="6"/>
  <c r="P71" i="6"/>
  <c r="O40" i="6"/>
  <c r="P64" i="6"/>
  <c r="O64" i="6"/>
  <c r="T54" i="6"/>
  <c r="P44" i="6"/>
  <c r="O60" i="6"/>
  <c r="P48" i="6"/>
  <c r="T17" i="6"/>
  <c r="N55" i="6"/>
  <c r="O4" i="6"/>
  <c r="P21" i="6"/>
  <c r="V43" i="6"/>
  <c r="V14" i="6"/>
  <c r="U35" i="6" l="1"/>
  <c r="U46" i="6"/>
  <c r="O8" i="6"/>
  <c r="U31" i="6"/>
  <c r="O36" i="6"/>
  <c r="U65" i="26"/>
  <c r="U19" i="6"/>
  <c r="U41" i="6"/>
  <c r="U10" i="6"/>
  <c r="U56" i="6"/>
  <c r="U60" i="6"/>
  <c r="U26" i="6"/>
  <c r="U53" i="6"/>
  <c r="U51" i="6"/>
  <c r="O11" i="6"/>
  <c r="U48" i="6"/>
  <c r="O34" i="6"/>
  <c r="AF46" i="6"/>
  <c r="AF54" i="6"/>
  <c r="AF34" i="6"/>
  <c r="AF42" i="6"/>
  <c r="AF38" i="6"/>
  <c r="AF50" i="6"/>
  <c r="L3" i="10"/>
  <c r="U45" i="6"/>
  <c r="U43" i="6"/>
  <c r="P51" i="6"/>
  <c r="N14" i="6"/>
  <c r="P9" i="6"/>
  <c r="G43" i="6"/>
  <c r="L33" i="10" s="1"/>
  <c r="O37" i="6"/>
  <c r="U65" i="6"/>
  <c r="P17" i="6"/>
  <c r="C17" i="10"/>
  <c r="P32" i="6"/>
  <c r="P35" i="6"/>
  <c r="P3" i="26"/>
  <c r="N35" i="26"/>
  <c r="U44" i="26"/>
  <c r="V43" i="26"/>
  <c r="O65" i="26"/>
  <c r="T28" i="26"/>
  <c r="N71" i="6"/>
  <c r="G12" i="6"/>
  <c r="O72" i="6"/>
  <c r="C46" i="10"/>
  <c r="P66" i="6"/>
  <c r="O30" i="6"/>
  <c r="G22" i="6"/>
  <c r="L12" i="10" s="1"/>
  <c r="U8" i="6"/>
  <c r="G16" i="6"/>
  <c r="L6" i="10" s="1"/>
  <c r="C51" i="2"/>
  <c r="C48" i="2"/>
  <c r="C49" i="2"/>
  <c r="C47" i="2"/>
  <c r="C50" i="2"/>
  <c r="G38" i="26"/>
  <c r="N44" i="26"/>
  <c r="N29" i="26"/>
  <c r="P39" i="26"/>
  <c r="P21" i="26"/>
  <c r="E2" i="10"/>
  <c r="E3" i="10"/>
  <c r="V59" i="26"/>
  <c r="P69" i="26"/>
  <c r="E23" i="10"/>
  <c r="M24" i="10" s="1"/>
  <c r="G40" i="26"/>
  <c r="M30" i="10" s="1"/>
  <c r="G35" i="26"/>
  <c r="M25" i="10" s="1"/>
  <c r="G39" i="26"/>
  <c r="M29" i="10" s="1"/>
  <c r="N25" i="6"/>
  <c r="O47" i="6"/>
  <c r="O20" i="6"/>
  <c r="U11" i="26"/>
  <c r="V23" i="26"/>
  <c r="E20" i="10"/>
  <c r="O42" i="6"/>
  <c r="U25" i="6"/>
  <c r="U21" i="6"/>
  <c r="U47" i="6"/>
  <c r="P72" i="6"/>
  <c r="U24" i="6"/>
  <c r="O23" i="6"/>
  <c r="P55" i="6"/>
  <c r="U12" i="6"/>
  <c r="V56" i="6"/>
  <c r="O17" i="6"/>
  <c r="C16" i="10"/>
  <c r="V12" i="6"/>
  <c r="C5" i="10"/>
  <c r="C22" i="10"/>
  <c r="O54" i="26"/>
  <c r="V12" i="26"/>
  <c r="U64" i="26"/>
  <c r="U50" i="26"/>
  <c r="P15" i="26"/>
  <c r="E6" i="10"/>
  <c r="V66" i="26"/>
  <c r="G12" i="26"/>
  <c r="P58" i="26"/>
  <c r="P56" i="26"/>
  <c r="P57" i="26"/>
  <c r="V50" i="26"/>
  <c r="V48" i="26"/>
  <c r="N8" i="26"/>
  <c r="O57" i="6"/>
  <c r="N19" i="6"/>
  <c r="U18" i="6"/>
  <c r="U23" i="6"/>
  <c r="U22" i="6"/>
  <c r="U58" i="6"/>
  <c r="U44" i="6"/>
  <c r="T54" i="26"/>
  <c r="P68" i="26"/>
  <c r="P5" i="26"/>
  <c r="O13" i="26"/>
  <c r="O38" i="26"/>
  <c r="O67" i="26"/>
  <c r="V29" i="26"/>
  <c r="U25" i="26"/>
  <c r="U34" i="26"/>
  <c r="G24" i="26"/>
  <c r="M14" i="10" s="1"/>
  <c r="U6" i="6"/>
  <c r="N55" i="26"/>
  <c r="O56" i="26"/>
  <c r="G37" i="6"/>
  <c r="L27" i="10" s="1"/>
  <c r="C52" i="2"/>
  <c r="C53" i="2"/>
  <c r="N24" i="26"/>
  <c r="V48" i="6"/>
  <c r="V41" i="6"/>
  <c r="P40" i="6"/>
  <c r="U49" i="6"/>
  <c r="N70" i="6"/>
  <c r="P58" i="6"/>
  <c r="U57" i="6"/>
  <c r="G15" i="6"/>
  <c r="C19" i="10"/>
  <c r="O27" i="26"/>
  <c r="T59" i="26"/>
  <c r="V54" i="26"/>
  <c r="P38" i="26"/>
  <c r="O45" i="26"/>
  <c r="P16" i="26"/>
  <c r="V34" i="26"/>
  <c r="N13" i="6"/>
  <c r="T29" i="6"/>
  <c r="B19" i="2"/>
  <c r="B20" i="2"/>
  <c r="C26" i="2" s="1"/>
  <c r="L31" i="10"/>
  <c r="O66" i="6"/>
  <c r="U4" i="6"/>
  <c r="G24" i="6"/>
  <c r="L14" i="10" s="1"/>
  <c r="O32" i="6"/>
  <c r="C15" i="10"/>
  <c r="P43" i="6"/>
  <c r="V29" i="6"/>
  <c r="C8" i="10"/>
  <c r="V26" i="6"/>
  <c r="V27" i="6"/>
  <c r="V49" i="6"/>
  <c r="C1" i="2"/>
  <c r="K2" i="2" s="1"/>
  <c r="C1" i="10"/>
  <c r="M1" i="14"/>
  <c r="O46" i="26"/>
  <c r="T13" i="26"/>
  <c r="O42" i="26"/>
  <c r="U33" i="26"/>
  <c r="U18" i="26"/>
  <c r="U52" i="26"/>
  <c r="G42" i="26"/>
  <c r="M32" i="10" s="1"/>
  <c r="O31" i="6"/>
  <c r="O51" i="26"/>
  <c r="P43" i="26"/>
  <c r="O69" i="6"/>
  <c r="G17" i="6"/>
  <c r="L7" i="10" s="1"/>
  <c r="U59" i="6"/>
  <c r="O24" i="6"/>
  <c r="O10" i="6"/>
  <c r="P4" i="6"/>
  <c r="O52" i="6"/>
  <c r="U30" i="6"/>
  <c r="G18" i="6"/>
  <c r="L8" i="10" s="1"/>
  <c r="O21" i="6"/>
  <c r="C26" i="10"/>
  <c r="T14" i="26"/>
  <c r="O69" i="26"/>
  <c r="O70" i="26"/>
  <c r="P59" i="26"/>
  <c r="P11" i="26"/>
  <c r="P26" i="26"/>
  <c r="U20" i="26"/>
  <c r="O32" i="26"/>
  <c r="V26" i="26"/>
  <c r="G45" i="26"/>
  <c r="M35" i="10" s="1"/>
  <c r="P25" i="26"/>
  <c r="V33" i="6"/>
  <c r="G15" i="26"/>
  <c r="O58" i="6"/>
  <c r="G13" i="26"/>
  <c r="G17" i="26"/>
  <c r="M7" i="10" s="1"/>
  <c r="O35" i="6"/>
  <c r="P47" i="6"/>
  <c r="V34" i="6"/>
  <c r="P33" i="6"/>
  <c r="V59" i="6"/>
  <c r="B6" i="2"/>
  <c r="G44" i="6"/>
  <c r="L34" i="10" s="1"/>
  <c r="G47" i="6"/>
  <c r="L37" i="10" s="1"/>
  <c r="G46" i="6"/>
  <c r="L36" i="10" s="1"/>
  <c r="O67" i="6"/>
  <c r="V23" i="6"/>
  <c r="T48" i="26"/>
  <c r="O2" i="26"/>
  <c r="P50" i="26"/>
  <c r="N31" i="26"/>
  <c r="U31" i="26"/>
  <c r="P30" i="26"/>
  <c r="V65" i="26"/>
  <c r="O48" i="26"/>
  <c r="N51" i="6"/>
  <c r="P28" i="26"/>
  <c r="U4" i="26"/>
  <c r="O44" i="6"/>
  <c r="N15" i="6"/>
  <c r="P46" i="6"/>
  <c r="P27" i="6"/>
  <c r="O33" i="6"/>
  <c r="V8" i="6"/>
  <c r="V35" i="6"/>
  <c r="P13" i="6"/>
  <c r="P20" i="6"/>
  <c r="P52" i="6"/>
  <c r="U13" i="6"/>
  <c r="V57" i="6"/>
  <c r="P26" i="6"/>
  <c r="T35" i="26"/>
  <c r="O50" i="26"/>
  <c r="U2" i="26"/>
  <c r="P54" i="26"/>
  <c r="P8" i="26"/>
  <c r="V7" i="26"/>
  <c r="U8" i="26"/>
  <c r="G25" i="26"/>
  <c r="M15" i="10" s="1"/>
  <c r="U61" i="26"/>
  <c r="G18" i="26"/>
  <c r="M8" i="10" s="1"/>
  <c r="G22" i="26"/>
  <c r="M12" i="10" s="1"/>
  <c r="U34" i="6"/>
  <c r="N71" i="26"/>
  <c r="T56" i="26"/>
  <c r="O7" i="26"/>
  <c r="N60" i="6"/>
  <c r="T16" i="6"/>
  <c r="O46" i="6"/>
  <c r="U27" i="6"/>
  <c r="C12" i="2"/>
  <c r="G33" i="6"/>
  <c r="L23" i="10" s="1"/>
  <c r="V63" i="6"/>
  <c r="O62" i="6"/>
  <c r="O2" i="6"/>
  <c r="P65" i="6"/>
  <c r="C69" i="2"/>
  <c r="C68" i="2"/>
  <c r="N36" i="26"/>
  <c r="P37" i="26"/>
  <c r="P22" i="26"/>
  <c r="V14" i="26"/>
  <c r="C45" i="2"/>
  <c r="C44" i="2"/>
  <c r="C46" i="2"/>
  <c r="E66" i="2"/>
  <c r="E65" i="2"/>
  <c r="P61" i="26"/>
  <c r="T66" i="26"/>
  <c r="G23" i="6"/>
  <c r="L13" i="10" s="1"/>
  <c r="C65" i="2"/>
  <c r="C66" i="2"/>
  <c r="V56" i="26"/>
  <c r="E47" i="2"/>
  <c r="E50" i="2"/>
  <c r="E48" i="2"/>
  <c r="E51" i="2"/>
  <c r="E49" i="2"/>
  <c r="E52" i="2"/>
  <c r="E53" i="2"/>
  <c r="E46" i="2"/>
  <c r="E44" i="2"/>
  <c r="E45" i="2"/>
  <c r="C7" i="10"/>
  <c r="P40" i="26"/>
  <c r="M31" i="10"/>
  <c r="D19" i="2"/>
  <c r="D20" i="2"/>
  <c r="E26" i="2" s="1"/>
  <c r="E1" i="10"/>
  <c r="E1" i="2"/>
  <c r="O1" i="14"/>
  <c r="E57" i="2"/>
  <c r="E54" i="2"/>
  <c r="E56" i="2"/>
  <c r="E55" i="2"/>
  <c r="E59" i="2"/>
  <c r="E58" i="2"/>
  <c r="E60" i="2"/>
  <c r="E63" i="2"/>
  <c r="E62" i="2"/>
  <c r="E61" i="2"/>
  <c r="AI35" i="26"/>
  <c r="AI47" i="26"/>
  <c r="M17" i="10"/>
  <c r="AI51" i="26"/>
  <c r="AI43" i="26"/>
  <c r="AI55" i="26"/>
  <c r="AI39" i="26"/>
  <c r="C3" i="10"/>
  <c r="C2" i="10"/>
  <c r="C60" i="2"/>
  <c r="C61" i="2"/>
  <c r="C63" i="2"/>
  <c r="C62" i="2"/>
  <c r="C58" i="2"/>
  <c r="C59" i="2"/>
  <c r="C54" i="2"/>
  <c r="C56" i="2"/>
  <c r="C57" i="2"/>
  <c r="C55" i="2"/>
  <c r="E68" i="2"/>
  <c r="E69" i="2"/>
  <c r="P22" i="6"/>
  <c r="P56" i="6"/>
  <c r="V31" i="6"/>
  <c r="P53" i="6"/>
  <c r="V55" i="6"/>
  <c r="P61" i="6"/>
  <c r="P12" i="6"/>
  <c r="V19" i="6"/>
  <c r="P29" i="6"/>
  <c r="P3" i="6"/>
  <c r="J39" i="10" s="1"/>
  <c r="P24" i="6"/>
  <c r="P6" i="6"/>
  <c r="P14" i="6"/>
  <c r="P25" i="6"/>
  <c r="V28" i="6"/>
  <c r="P37" i="6"/>
  <c r="P59" i="6"/>
  <c r="P49" i="6"/>
  <c r="P36" i="6"/>
  <c r="V20" i="6"/>
  <c r="P28" i="6"/>
  <c r="V21" i="6"/>
  <c r="V7" i="6"/>
  <c r="V18" i="6"/>
  <c r="V13" i="6"/>
  <c r="C11" i="2"/>
  <c r="V60" i="6"/>
  <c r="V2" i="6"/>
  <c r="P10" i="6"/>
  <c r="G30" i="6"/>
  <c r="L20" i="10" s="1"/>
  <c r="P11" i="6"/>
  <c r="G19" i="6"/>
  <c r="L9" i="10" s="1"/>
  <c r="G20" i="6"/>
  <c r="L10" i="10" s="1"/>
  <c r="P69" i="6"/>
  <c r="G14" i="6"/>
  <c r="U7" i="6" l="1"/>
  <c r="O29" i="6"/>
  <c r="N9" i="26"/>
  <c r="P8" i="6"/>
  <c r="T2" i="26"/>
  <c r="T4" i="26"/>
  <c r="N35" i="6"/>
  <c r="O72" i="26"/>
  <c r="T58" i="6"/>
  <c r="P68" i="6"/>
  <c r="G33" i="26"/>
  <c r="M23" i="10" s="1"/>
  <c r="E13" i="2"/>
  <c r="E12" i="2"/>
  <c r="E11" i="2"/>
  <c r="T60" i="6"/>
  <c r="N36" i="6"/>
  <c r="T59" i="6"/>
  <c r="T47" i="6"/>
  <c r="N37" i="6"/>
  <c r="O54" i="6"/>
  <c r="N50" i="26"/>
  <c r="N40" i="6"/>
  <c r="D21" i="2"/>
  <c r="M5" i="10"/>
  <c r="N70" i="26"/>
  <c r="U62" i="6"/>
  <c r="N42" i="26"/>
  <c r="T4" i="6"/>
  <c r="T57" i="6"/>
  <c r="T22" i="6"/>
  <c r="P36" i="26"/>
  <c r="T50" i="26"/>
  <c r="P38" i="6"/>
  <c r="N64" i="6"/>
  <c r="AG38" i="6"/>
  <c r="T56" i="6"/>
  <c r="T31" i="6"/>
  <c r="T13" i="6"/>
  <c r="U33" i="6"/>
  <c r="N31" i="6"/>
  <c r="N62" i="26"/>
  <c r="G27" i="6"/>
  <c r="O49" i="6"/>
  <c r="U55" i="6"/>
  <c r="N16" i="6"/>
  <c r="N7" i="26"/>
  <c r="N67" i="6"/>
  <c r="T32" i="6"/>
  <c r="G28" i="26"/>
  <c r="M18" i="10" s="1"/>
  <c r="N21" i="6"/>
  <c r="V50" i="6"/>
  <c r="O43" i="6"/>
  <c r="T34" i="26"/>
  <c r="V51" i="26"/>
  <c r="T11" i="26"/>
  <c r="V2" i="26"/>
  <c r="O21" i="26"/>
  <c r="N72" i="6"/>
  <c r="T44" i="26"/>
  <c r="AG42" i="6"/>
  <c r="N11" i="6"/>
  <c r="T6" i="6"/>
  <c r="O6" i="6"/>
  <c r="O12" i="6"/>
  <c r="O22" i="6"/>
  <c r="T8" i="26"/>
  <c r="N33" i="6"/>
  <c r="U26" i="26"/>
  <c r="N69" i="26"/>
  <c r="N10" i="6"/>
  <c r="O68" i="26"/>
  <c r="T23" i="6"/>
  <c r="V49" i="26"/>
  <c r="T64" i="26"/>
  <c r="V62" i="26"/>
  <c r="AE50" i="6"/>
  <c r="AE42" i="6"/>
  <c r="L2" i="10"/>
  <c r="AE54" i="6"/>
  <c r="AE34" i="6"/>
  <c r="AE38" i="6"/>
  <c r="AE46" i="6"/>
  <c r="AG34" i="6"/>
  <c r="U2" i="2"/>
  <c r="T10" i="6"/>
  <c r="N8" i="6"/>
  <c r="T31" i="26"/>
  <c r="P45" i="6"/>
  <c r="O22" i="26"/>
  <c r="P2" i="6"/>
  <c r="N61" i="6"/>
  <c r="G30" i="26"/>
  <c r="M20" i="10" s="1"/>
  <c r="D13" i="2"/>
  <c r="G32" i="26"/>
  <c r="M22" i="10" s="1"/>
  <c r="D11" i="2"/>
  <c r="G31" i="26"/>
  <c r="M21" i="10" s="1"/>
  <c r="D12" i="2"/>
  <c r="O65" i="6"/>
  <c r="N69" i="6"/>
  <c r="O47" i="26"/>
  <c r="T25" i="26"/>
  <c r="G29" i="26"/>
  <c r="M19" i="10" s="1"/>
  <c r="V47" i="26"/>
  <c r="T21" i="6"/>
  <c r="V60" i="26"/>
  <c r="V55" i="26"/>
  <c r="O18" i="6"/>
  <c r="O59" i="6"/>
  <c r="O39" i="6"/>
  <c r="U7" i="26"/>
  <c r="O7" i="6"/>
  <c r="AF38" i="26"/>
  <c r="M3" i="10"/>
  <c r="AF54" i="26"/>
  <c r="AF50" i="26"/>
  <c r="AF34" i="26"/>
  <c r="AF42" i="26"/>
  <c r="AF46" i="26"/>
  <c r="O25" i="26"/>
  <c r="N32" i="26"/>
  <c r="O26" i="6"/>
  <c r="T5" i="6"/>
  <c r="T52" i="26"/>
  <c r="N46" i="26"/>
  <c r="T18" i="6"/>
  <c r="P33" i="26"/>
  <c r="P6" i="26"/>
  <c r="N17" i="6"/>
  <c r="N23" i="6"/>
  <c r="N20" i="6"/>
  <c r="V6" i="26"/>
  <c r="AG46" i="6"/>
  <c r="T51" i="6"/>
  <c r="T41" i="6"/>
  <c r="T46" i="6"/>
  <c r="U17" i="26"/>
  <c r="N60" i="26"/>
  <c r="T27" i="6"/>
  <c r="N2" i="26"/>
  <c r="O43" i="26"/>
  <c r="U63" i="6"/>
  <c r="N66" i="6"/>
  <c r="G38" i="6"/>
  <c r="U29" i="26"/>
  <c r="V41" i="26"/>
  <c r="N54" i="26"/>
  <c r="N38" i="6"/>
  <c r="T25" i="6"/>
  <c r="V32" i="26"/>
  <c r="T8" i="6"/>
  <c r="O3" i="26"/>
  <c r="T65" i="6"/>
  <c r="T61" i="26"/>
  <c r="N13" i="26"/>
  <c r="O15" i="26"/>
  <c r="V42" i="26"/>
  <c r="U43" i="26"/>
  <c r="N2" i="6"/>
  <c r="U52" i="6"/>
  <c r="N48" i="26"/>
  <c r="N58" i="6"/>
  <c r="G14" i="26"/>
  <c r="E34" i="2"/>
  <c r="T20" i="26"/>
  <c r="N34" i="26"/>
  <c r="T30" i="6"/>
  <c r="N24" i="6"/>
  <c r="T18" i="26"/>
  <c r="N27" i="26"/>
  <c r="T49" i="6"/>
  <c r="N56" i="26"/>
  <c r="P13" i="26"/>
  <c r="N47" i="6"/>
  <c r="V52" i="6"/>
  <c r="N34" i="6"/>
  <c r="T19" i="6"/>
  <c r="O9" i="6"/>
  <c r="AE50" i="26"/>
  <c r="M2" i="10"/>
  <c r="AE54" i="26"/>
  <c r="AE38" i="26"/>
  <c r="AE34" i="26"/>
  <c r="AE46" i="26"/>
  <c r="AE42" i="26"/>
  <c r="N64" i="26"/>
  <c r="V9" i="6"/>
  <c r="N11" i="26"/>
  <c r="O59" i="26"/>
  <c r="N39" i="26"/>
  <c r="N46" i="6"/>
  <c r="N4" i="6"/>
  <c r="T14" i="6"/>
  <c r="N67" i="26"/>
  <c r="T44" i="6"/>
  <c r="T2" i="6"/>
  <c r="T24" i="6"/>
  <c r="N42" i="6"/>
  <c r="V57" i="26"/>
  <c r="V45" i="26"/>
  <c r="T43" i="6"/>
  <c r="T53" i="6"/>
  <c r="P60" i="6"/>
  <c r="O5" i="6"/>
  <c r="N45" i="26"/>
  <c r="O28" i="6"/>
  <c r="O3" i="6"/>
  <c r="O50" i="6"/>
  <c r="O53" i="6"/>
  <c r="T34" i="6"/>
  <c r="T20" i="6"/>
  <c r="N44" i="6"/>
  <c r="N52" i="6"/>
  <c r="O27" i="6"/>
  <c r="N51" i="26"/>
  <c r="T33" i="26"/>
  <c r="N32" i="6"/>
  <c r="O16" i="26"/>
  <c r="N48" i="6"/>
  <c r="T12" i="6"/>
  <c r="T61" i="6"/>
  <c r="V53" i="26"/>
  <c r="P66" i="26"/>
  <c r="N30" i="6"/>
  <c r="T58" i="26"/>
  <c r="T26" i="6"/>
  <c r="T65" i="26"/>
  <c r="N40" i="26"/>
  <c r="L4" i="10"/>
  <c r="B22" i="2"/>
  <c r="O56" i="6"/>
  <c r="U66" i="6"/>
  <c r="T63" i="26"/>
  <c r="N62" i="6"/>
  <c r="O30" i="26"/>
  <c r="G28" i="6"/>
  <c r="L18" i="10" s="1"/>
  <c r="V3" i="6"/>
  <c r="L5" i="10"/>
  <c r="B21" i="2"/>
  <c r="N38" i="26"/>
  <c r="N57" i="6"/>
  <c r="V15" i="6"/>
  <c r="V16" i="26"/>
  <c r="D23" i="2"/>
  <c r="M28" i="10"/>
  <c r="N65" i="26"/>
  <c r="N41" i="6"/>
  <c r="T45" i="6"/>
  <c r="T48" i="6"/>
  <c r="T35" i="6"/>
  <c r="P63" i="6"/>
  <c r="C33" i="2"/>
  <c r="C38" i="2"/>
  <c r="C39" i="2" s="1"/>
  <c r="C42" i="2" s="1"/>
  <c r="C43" i="2" s="1"/>
  <c r="C34" i="2"/>
  <c r="V64" i="6"/>
  <c r="B11" i="2"/>
  <c r="B12" i="2"/>
  <c r="G31" i="6"/>
  <c r="L21" i="10" s="1"/>
  <c r="G32" i="6"/>
  <c r="L22" i="10" s="1"/>
  <c r="B13" i="2"/>
  <c r="T2" i="2" l="1"/>
  <c r="U15" i="6"/>
  <c r="N30" i="26"/>
  <c r="U53" i="26"/>
  <c r="U57" i="26"/>
  <c r="U41" i="26"/>
  <c r="AG46" i="26"/>
  <c r="N39" i="6"/>
  <c r="U62" i="26"/>
  <c r="AG42" i="26"/>
  <c r="N65" i="6"/>
  <c r="U42" i="26"/>
  <c r="T29" i="26"/>
  <c r="N59" i="6"/>
  <c r="O63" i="6"/>
  <c r="E38" i="2"/>
  <c r="E39" i="2" s="1"/>
  <c r="E42" i="2" s="1"/>
  <c r="E43" i="2" s="1"/>
  <c r="N15" i="26"/>
  <c r="U49" i="26"/>
  <c r="U51" i="26"/>
  <c r="T62" i="6"/>
  <c r="AG34" i="26"/>
  <c r="N68" i="26"/>
  <c r="N53" i="6"/>
  <c r="U32" i="26"/>
  <c r="B23" i="2"/>
  <c r="L28" i="10"/>
  <c r="U9" i="6"/>
  <c r="N18" i="6"/>
  <c r="N22" i="6"/>
  <c r="U55" i="26"/>
  <c r="O45" i="6"/>
  <c r="N49" i="6"/>
  <c r="N5" i="6"/>
  <c r="C36" i="2"/>
  <c r="C35" i="2"/>
  <c r="C37" i="2"/>
  <c r="C40" i="2" s="1"/>
  <c r="C41" i="2" s="1"/>
  <c r="N27" i="6"/>
  <c r="N50" i="6"/>
  <c r="U6" i="26"/>
  <c r="O6" i="26"/>
  <c r="N26" i="6"/>
  <c r="AG38" i="26"/>
  <c r="N12" i="6"/>
  <c r="N43" i="6"/>
  <c r="O68" i="6"/>
  <c r="T66" i="6"/>
  <c r="N59" i="26"/>
  <c r="T17" i="26"/>
  <c r="O33" i="26"/>
  <c r="N21" i="26"/>
  <c r="N16" i="26"/>
  <c r="N3" i="6"/>
  <c r="H39" i="10" s="1"/>
  <c r="T52" i="6"/>
  <c r="T63" i="6"/>
  <c r="N7" i="6"/>
  <c r="U60" i="26"/>
  <c r="T26" i="26"/>
  <c r="N6" i="6"/>
  <c r="T33" i="6"/>
  <c r="N54" i="6"/>
  <c r="N22" i="26"/>
  <c r="U3" i="6"/>
  <c r="N56" i="6"/>
  <c r="T7" i="26"/>
  <c r="N47" i="26"/>
  <c r="U50" i="6"/>
  <c r="D6" i="2"/>
  <c r="G44" i="26"/>
  <c r="M34" i="10" s="1"/>
  <c r="N72" i="26"/>
  <c r="N29" i="6"/>
  <c r="AI35" i="6"/>
  <c r="AI43" i="6"/>
  <c r="AI47" i="6"/>
  <c r="AI55" i="6"/>
  <c r="L17" i="10"/>
  <c r="AI51" i="6"/>
  <c r="AI39" i="6"/>
  <c r="U16" i="26"/>
  <c r="N28" i="6"/>
  <c r="U45" i="26"/>
  <c r="N9" i="6"/>
  <c r="E33" i="2"/>
  <c r="N43" i="26"/>
  <c r="N25" i="26"/>
  <c r="M4" i="10"/>
  <c r="D22" i="2"/>
  <c r="U64" i="6"/>
  <c r="T43" i="26"/>
  <c r="N3" i="26"/>
  <c r="U47" i="26"/>
  <c r="T55" i="6"/>
  <c r="T7" i="6"/>
  <c r="N6" i="26" l="1"/>
  <c r="T9" i="6"/>
  <c r="T51" i="26"/>
  <c r="N45" i="6"/>
  <c r="T32" i="26"/>
  <c r="T49" i="26"/>
  <c r="T16" i="26"/>
  <c r="T3" i="6"/>
  <c r="T60" i="26"/>
  <c r="T57" i="26"/>
  <c r="T64" i="6"/>
  <c r="N68" i="6"/>
  <c r="T55" i="26"/>
  <c r="T41" i="26"/>
  <c r="N33" i="26"/>
  <c r="T53" i="26"/>
  <c r="T6" i="26"/>
  <c r="T62" i="26"/>
  <c r="T45" i="26"/>
  <c r="T42" i="26"/>
  <c r="T47" i="26"/>
  <c r="E35" i="2"/>
  <c r="E36" i="2"/>
  <c r="E37" i="2"/>
  <c r="E40" i="2" s="1"/>
  <c r="E41" i="2" s="1"/>
  <c r="T50" i="6"/>
  <c r="N63" i="6"/>
  <c r="T15" i="6"/>
</calcChain>
</file>

<file path=xl/sharedStrings.xml><?xml version="1.0" encoding="utf-8"?>
<sst xmlns="http://schemas.openxmlformats.org/spreadsheetml/2006/main" count="4307" uniqueCount="1763">
  <si>
    <t>Puissance</t>
  </si>
  <si>
    <t>Pouvoir</t>
  </si>
  <si>
    <t>Souffle</t>
  </si>
  <si>
    <t>Fatigue</t>
  </si>
  <si>
    <t>Coordination</t>
  </si>
  <si>
    <t>Manipulation</t>
  </si>
  <si>
    <t>Souplesse</t>
  </si>
  <si>
    <t>Equilibre</t>
  </si>
  <si>
    <t>Mémoire</t>
  </si>
  <si>
    <t>Caractère</t>
  </si>
  <si>
    <t>Résistance</t>
  </si>
  <si>
    <t>Voix</t>
  </si>
  <si>
    <t>Rapidité</t>
  </si>
  <si>
    <t>Intuition</t>
  </si>
  <si>
    <t>Santé</t>
  </si>
  <si>
    <t>Robustesse</t>
  </si>
  <si>
    <t>Beauté</t>
  </si>
  <si>
    <t>Charisme</t>
  </si>
  <si>
    <t>Energie</t>
  </si>
  <si>
    <t>Nourriture</t>
  </si>
  <si>
    <t>Obéissance</t>
  </si>
  <si>
    <t>A</t>
  </si>
  <si>
    <t>E</t>
  </si>
  <si>
    <t>Esquive</t>
  </si>
  <si>
    <t>Porter</t>
  </si>
  <si>
    <t>Tirer</t>
  </si>
  <si>
    <t>Arracher</t>
  </si>
  <si>
    <t>F</t>
  </si>
  <si>
    <t>En</t>
  </si>
  <si>
    <t>D</t>
  </si>
  <si>
    <t>I</t>
  </si>
  <si>
    <t>V</t>
  </si>
  <si>
    <t>Em</t>
  </si>
  <si>
    <t>C</t>
  </si>
  <si>
    <t>Ap</t>
  </si>
  <si>
    <t>Vue</t>
  </si>
  <si>
    <t>Ouïe</t>
  </si>
  <si>
    <t>Goût</t>
  </si>
  <si>
    <t>Odorat</t>
  </si>
  <si>
    <t>Toucher</t>
  </si>
  <si>
    <t>NEC</t>
  </si>
  <si>
    <t>Charge</t>
  </si>
  <si>
    <t>Réaction</t>
  </si>
  <si>
    <t>NEM</t>
  </si>
  <si>
    <t>Rés.Poison</t>
  </si>
  <si>
    <t>Mouvement</t>
  </si>
  <si>
    <t>Compréh.</t>
  </si>
  <si>
    <t>Raison.</t>
  </si>
  <si>
    <t>Fuite</t>
  </si>
  <si>
    <t>Soin(CS)</t>
  </si>
  <si>
    <t>Combat</t>
  </si>
  <si>
    <t>Magie</t>
  </si>
  <si>
    <t>Poids</t>
  </si>
  <si>
    <t>ENC</t>
  </si>
  <si>
    <t>Total</t>
  </si>
  <si>
    <t>Thorax</t>
  </si>
  <si>
    <t>Ventre</t>
  </si>
  <si>
    <t>Bras Gau</t>
  </si>
  <si>
    <t>Bras Dro</t>
  </si>
  <si>
    <t>Main Gau</t>
  </si>
  <si>
    <t>Main Dro</t>
  </si>
  <si>
    <t>Jambe Ga</t>
  </si>
  <si>
    <t>Jambe Dr</t>
  </si>
  <si>
    <t>Pied Ga</t>
  </si>
  <si>
    <t>Pied Dr</t>
  </si>
  <si>
    <t>AR</t>
  </si>
  <si>
    <t xml:space="preserve">Tête </t>
  </si>
  <si>
    <t>Notes</t>
  </si>
  <si>
    <t>BM</t>
  </si>
  <si>
    <t>famille</t>
  </si>
  <si>
    <t>Taille</t>
  </si>
  <si>
    <t>Carrure</t>
  </si>
  <si>
    <t>vue</t>
  </si>
  <si>
    <t>odorat</t>
  </si>
  <si>
    <t>toucher</t>
  </si>
  <si>
    <t>mod</t>
  </si>
  <si>
    <t>Croyance</t>
  </si>
  <si>
    <t>Fpui</t>
  </si>
  <si>
    <t>Fpou</t>
  </si>
  <si>
    <t>Ensou</t>
  </si>
  <si>
    <t>Enfat</t>
  </si>
  <si>
    <t>Dcoo</t>
  </si>
  <si>
    <t>Dman</t>
  </si>
  <si>
    <t>Asop</t>
  </si>
  <si>
    <t>Aequ</t>
  </si>
  <si>
    <t>Irai</t>
  </si>
  <si>
    <t>Imem</t>
  </si>
  <si>
    <t>Vcar</t>
  </si>
  <si>
    <t>Vres</t>
  </si>
  <si>
    <t>Evoi</t>
  </si>
  <si>
    <t>Erap</t>
  </si>
  <si>
    <t>Emcom</t>
  </si>
  <si>
    <t>Eminu</t>
  </si>
  <si>
    <t>Csan</t>
  </si>
  <si>
    <t>Crob</t>
  </si>
  <si>
    <t>Apbea</t>
  </si>
  <si>
    <t>Apcha</t>
  </si>
  <si>
    <t>Modif</t>
  </si>
  <si>
    <t>ouie</t>
  </si>
  <si>
    <t>gout</t>
  </si>
  <si>
    <t>année</t>
  </si>
  <si>
    <t>mois</t>
  </si>
  <si>
    <t>jour</t>
  </si>
  <si>
    <t>lune</t>
  </si>
  <si>
    <t>Spécialité et notes</t>
  </si>
  <si>
    <t>embuscade</t>
  </si>
  <si>
    <t>Moral (+0)</t>
  </si>
  <si>
    <t>Encombrem</t>
  </si>
  <si>
    <t xml:space="preserve">Mana </t>
  </si>
  <si>
    <t>Influ.base (CI)</t>
  </si>
  <si>
    <t>Mvt Stratégique</t>
  </si>
  <si>
    <t>NOM</t>
  </si>
  <si>
    <t>Date Nais</t>
  </si>
  <si>
    <t>Cheveux</t>
  </si>
  <si>
    <t>Yeux</t>
  </si>
  <si>
    <t>Peau</t>
  </si>
  <si>
    <t>Pilosité</t>
  </si>
  <si>
    <t>Odeur</t>
  </si>
  <si>
    <t>Psycho</t>
  </si>
  <si>
    <t>Médical</t>
  </si>
  <si>
    <t>Art Graph</t>
  </si>
  <si>
    <t>Humour</t>
  </si>
  <si>
    <t xml:space="preserve">NS </t>
  </si>
  <si>
    <t>Talents (+spécialisation)</t>
  </si>
  <si>
    <t>NE</t>
  </si>
  <si>
    <t>Talent  de Combat</t>
  </si>
  <si>
    <t>Armures</t>
  </si>
  <si>
    <t>(zone )</t>
  </si>
  <si>
    <t>T Th V B J M P</t>
  </si>
  <si>
    <t>Nom /talent/ notes</t>
  </si>
  <si>
    <t>taille(cm)</t>
  </si>
  <si>
    <t>Résistance actuelle</t>
  </si>
  <si>
    <t>Normal</t>
  </si>
  <si>
    <t>Sévère</t>
  </si>
  <si>
    <t>Mortel</t>
  </si>
  <si>
    <t>Critique</t>
  </si>
  <si>
    <t>Bonus coup total</t>
  </si>
  <si>
    <t>poids(kg)</t>
  </si>
  <si>
    <t>Vit. TOT</t>
  </si>
  <si>
    <t>VO</t>
  </si>
  <si>
    <t>VD</t>
  </si>
  <si>
    <t>Tir</t>
  </si>
  <si>
    <t>détails</t>
  </si>
  <si>
    <t>R</t>
  </si>
  <si>
    <t>Tête-V(car)</t>
  </si>
  <si>
    <t>Armure</t>
  </si>
  <si>
    <t>visée 20</t>
  </si>
  <si>
    <t>Thorax-En(sou)</t>
  </si>
  <si>
    <t>visée 5</t>
  </si>
  <si>
    <t>Ventre-C(rob)</t>
  </si>
  <si>
    <t>visée 15</t>
  </si>
  <si>
    <t>Bras Gau-F(pou)</t>
  </si>
  <si>
    <t>visée 10</t>
  </si>
  <si>
    <t>Bras Dro-F(pui)</t>
  </si>
  <si>
    <t>Main Gau-D(coo)</t>
  </si>
  <si>
    <t>Main D-D(man)</t>
  </si>
  <si>
    <t>Jambe Ga-A(sop)</t>
  </si>
  <si>
    <t>Jambe Dr-A(sop)</t>
  </si>
  <si>
    <t>Pied Gau-A(equ)</t>
  </si>
  <si>
    <t>Pied Droi-A(equ)</t>
  </si>
  <si>
    <t>frère/sœur</t>
  </si>
  <si>
    <t>père</t>
  </si>
  <si>
    <t>mère</t>
  </si>
  <si>
    <t>coup</t>
  </si>
  <si>
    <t>crit</t>
  </si>
  <si>
    <t xml:space="preserve"> </t>
  </si>
  <si>
    <t>vitesse</t>
  </si>
  <si>
    <t xml:space="preserve">  </t>
  </si>
  <si>
    <t>Origine</t>
  </si>
  <si>
    <t>Relation</t>
  </si>
  <si>
    <t>Natif</t>
  </si>
  <si>
    <t>Courant</t>
  </si>
  <si>
    <t>Max</t>
  </si>
  <si>
    <t>Titre+Effet</t>
  </si>
  <si>
    <t>séance</t>
  </si>
  <si>
    <t>campagne</t>
  </si>
  <si>
    <t>Art graphique</t>
  </si>
  <si>
    <t>Pilosité tête</t>
  </si>
  <si>
    <t>Pilosité corps</t>
  </si>
  <si>
    <t>Foi</t>
  </si>
  <si>
    <t>NS</t>
  </si>
  <si>
    <t>Cheveux long</t>
  </si>
  <si>
    <t>corruption</t>
  </si>
  <si>
    <t>Date Naissance</t>
  </si>
  <si>
    <t>Taille cm</t>
  </si>
  <si>
    <t>Poids kg</t>
  </si>
  <si>
    <t>Cheveux couleur</t>
  </si>
  <si>
    <t>Psychologie</t>
  </si>
  <si>
    <t>Acrobatie</t>
  </si>
  <si>
    <t>Agriculture</t>
  </si>
  <si>
    <t>Alchimie</t>
  </si>
  <si>
    <t>Archerie</t>
  </si>
  <si>
    <t>Armurerie</t>
  </si>
  <si>
    <t>Assassinat</t>
  </si>
  <si>
    <t>Astrologie</t>
  </si>
  <si>
    <t>Brasserie</t>
  </si>
  <si>
    <t>cartographie</t>
  </si>
  <si>
    <t>Cavalerie</t>
  </si>
  <si>
    <t>Chant</t>
  </si>
  <si>
    <t>Charpente</t>
  </si>
  <si>
    <t>Chasse</t>
  </si>
  <si>
    <t>Comédie</t>
  </si>
  <si>
    <t>Commerce</t>
  </si>
  <si>
    <t>Construction navale</t>
  </si>
  <si>
    <t xml:space="preserve">Construction </t>
  </si>
  <si>
    <t>Convoyage</t>
  </si>
  <si>
    <t>Corruption</t>
  </si>
  <si>
    <t>Coupe</t>
  </si>
  <si>
    <t>Couture</t>
  </si>
  <si>
    <t>Création</t>
  </si>
  <si>
    <t>Criminalité</t>
  </si>
  <si>
    <t>Cueillette</t>
  </si>
  <si>
    <t>Cuir</t>
  </si>
  <si>
    <t>Cuisine</t>
  </si>
  <si>
    <t>Danse</t>
  </si>
  <si>
    <t>Dissimulation</t>
  </si>
  <si>
    <t>Ébénisterie</t>
  </si>
  <si>
    <t>Equarissage</t>
  </si>
  <si>
    <t>Escalade</t>
  </si>
  <si>
    <t>Forge</t>
  </si>
  <si>
    <t>Héraldique</t>
  </si>
  <si>
    <t>Herboristerie</t>
  </si>
  <si>
    <t>Ingénièrie</t>
  </si>
  <si>
    <t xml:space="preserve">Jeu </t>
  </si>
  <si>
    <t>Joaillerie</t>
  </si>
  <si>
    <t>Maconnerie</t>
  </si>
  <si>
    <t>Maquillage</t>
  </si>
  <si>
    <t>Marine</t>
  </si>
  <si>
    <t>Médecine</t>
  </si>
  <si>
    <t>Mendicité</t>
  </si>
  <si>
    <t>Mine</t>
  </si>
  <si>
    <t>Minéraux</t>
  </si>
  <si>
    <t>Nage</t>
  </si>
  <si>
    <t>Navigation</t>
  </si>
  <si>
    <t>Pêche</t>
  </si>
  <si>
    <t>Pièges</t>
  </si>
  <si>
    <t>Piéton</t>
  </si>
  <si>
    <t>Piste</t>
  </si>
  <si>
    <t>Poison</t>
  </si>
  <si>
    <t>Poterie</t>
  </si>
  <si>
    <t>Religion</t>
  </si>
  <si>
    <t>Résilience</t>
  </si>
  <si>
    <t>Sculpture</t>
  </si>
  <si>
    <t>Sexe</t>
  </si>
  <si>
    <t>Stratège</t>
  </si>
  <si>
    <t>Torture</t>
  </si>
  <si>
    <t>Transport</t>
  </si>
  <si>
    <t>Traque</t>
  </si>
  <si>
    <t>Usure</t>
  </si>
  <si>
    <t>Vol</t>
  </si>
  <si>
    <t>Arbalète</t>
  </si>
  <si>
    <t>Arc</t>
  </si>
  <si>
    <t>Art du combat</t>
  </si>
  <si>
    <t>Attaque</t>
  </si>
  <si>
    <t>Bouclier</t>
  </si>
  <si>
    <t>Combat à cheval</t>
  </si>
  <si>
    <t>Combat à deux armes</t>
  </si>
  <si>
    <t>Dague</t>
  </si>
  <si>
    <t>Défense</t>
  </si>
  <si>
    <t>Divers</t>
  </si>
  <si>
    <t>Embuscade</t>
  </si>
  <si>
    <t>Épée</t>
  </si>
  <si>
    <t>Fronde</t>
  </si>
  <si>
    <t>Hache</t>
  </si>
  <si>
    <t>Lance</t>
  </si>
  <si>
    <t>Masse</t>
  </si>
  <si>
    <t>Mêlée</t>
  </si>
  <si>
    <t>Pique</t>
  </si>
  <si>
    <t>Siège</t>
  </si>
  <si>
    <t>Vitesse</t>
  </si>
  <si>
    <t>VON</t>
  </si>
  <si>
    <t>VDN</t>
  </si>
  <si>
    <t>PDC</t>
  </si>
  <si>
    <t>RM</t>
  </si>
  <si>
    <t xml:space="preserve">Calligraphie + </t>
  </si>
  <si>
    <t xml:space="preserve">Élevage + </t>
  </si>
  <si>
    <t xml:space="preserve">Gestion + </t>
  </si>
  <si>
    <t xml:space="preserve">Langue Divine + </t>
  </si>
  <si>
    <t xml:space="preserve">Langue non-humaine + </t>
  </si>
  <si>
    <t>+</t>
  </si>
  <si>
    <t xml:space="preserve">Musique + </t>
  </si>
  <si>
    <t>Survie+ Colline</t>
  </si>
  <si>
    <t>+Cours d'eau</t>
  </si>
  <si>
    <t>+Désert</t>
  </si>
  <si>
    <t>+Forêt</t>
  </si>
  <si>
    <t>+Marais/Jungle</t>
  </si>
  <si>
    <t>+Monde Ancien</t>
  </si>
  <si>
    <t>+Monde Divin</t>
  </si>
  <si>
    <t>+Montagne</t>
  </si>
  <si>
    <t>+Océan</t>
  </si>
  <si>
    <t>+Plaine</t>
  </si>
  <si>
    <t>+Souterrain/caverne</t>
  </si>
  <si>
    <t>+Steppe</t>
  </si>
  <si>
    <t>+Ville/ruine</t>
  </si>
  <si>
    <t>Servage</t>
  </si>
  <si>
    <t>Recherche(Langue)</t>
  </si>
  <si>
    <t>Diplomatie(Langue)</t>
  </si>
  <si>
    <t>Intrigue(Langue)</t>
  </si>
  <si>
    <t xml:space="preserve">Lect lèvres (Langue)+ </t>
  </si>
  <si>
    <t>attaque</t>
  </si>
  <si>
    <t>charge</t>
  </si>
  <si>
    <t>défense</t>
  </si>
  <si>
    <t>esquive</t>
  </si>
  <si>
    <t>fuite</t>
  </si>
  <si>
    <t>mêlée</t>
  </si>
  <si>
    <t>obéissance</t>
  </si>
  <si>
    <t>réaction</t>
  </si>
  <si>
    <t>résistance</t>
  </si>
  <si>
    <t>Attaqu Magique</t>
  </si>
  <si>
    <t>poids</t>
  </si>
  <si>
    <t>prix</t>
  </si>
  <si>
    <t>effets métiers</t>
  </si>
  <si>
    <t>ARMURE (0/1/2/3)</t>
  </si>
  <si>
    <t>Or</t>
  </si>
  <si>
    <t>Argent</t>
  </si>
  <si>
    <t>Cuivre</t>
  </si>
  <si>
    <t>Sous</t>
  </si>
  <si>
    <t>Nom</t>
  </si>
  <si>
    <t>NC</t>
  </si>
  <si>
    <t>ancien dragon</t>
  </si>
  <si>
    <t>ange de la vengeance</t>
  </si>
  <si>
    <t>ange des nuages</t>
  </si>
  <si>
    <t>ange d'horas</t>
  </si>
  <si>
    <t>Asam</t>
  </si>
  <si>
    <t>Asla</t>
  </si>
  <si>
    <t>Baindsan</t>
  </si>
  <si>
    <t>Baveux</t>
  </si>
  <si>
    <t>belette rouge</t>
  </si>
  <si>
    <t>Berlier</t>
  </si>
  <si>
    <t>blanc serpent</t>
  </si>
  <si>
    <t>centaure</t>
  </si>
  <si>
    <t>chameau</t>
  </si>
  <si>
    <t>Chasseresse</t>
  </si>
  <si>
    <t>chauve-souris noire</t>
  </si>
  <si>
    <t>cheval de guerre</t>
  </si>
  <si>
    <t>cheval de trait</t>
  </si>
  <si>
    <t>cheval des cieux</t>
  </si>
  <si>
    <t>cheval féérique</t>
  </si>
  <si>
    <t>chevange</t>
  </si>
  <si>
    <t>chien baveur</t>
  </si>
  <si>
    <t>chien des enfers</t>
  </si>
  <si>
    <t>chiencha</t>
  </si>
  <si>
    <t>chiméara</t>
  </si>
  <si>
    <t>coeurnoir</t>
  </si>
  <si>
    <t>Corne de nuit</t>
  </si>
  <si>
    <t>corne divine</t>
  </si>
  <si>
    <t>Cornu</t>
  </si>
  <si>
    <t>Crinian</t>
  </si>
  <si>
    <t>démon de feu</t>
  </si>
  <si>
    <t>démon de nergal</t>
  </si>
  <si>
    <t>démon de putrescence</t>
  </si>
  <si>
    <t>démon des brumes</t>
  </si>
  <si>
    <t>démon des tempêtes</t>
  </si>
  <si>
    <t>démon des terres</t>
  </si>
  <si>
    <t>démon des tréfonds</t>
  </si>
  <si>
    <t>démon dragon</t>
  </si>
  <si>
    <t>démon sans nom</t>
  </si>
  <si>
    <t>destrier du chaos</t>
  </si>
  <si>
    <t>destrier noir</t>
  </si>
  <si>
    <t>Dianesse</t>
  </si>
  <si>
    <t>dragon sauvage</t>
  </si>
  <si>
    <t>dva'linn</t>
  </si>
  <si>
    <t>Elom</t>
  </si>
  <si>
    <t>enfant dragon</t>
  </si>
  <si>
    <t>épervier</t>
  </si>
  <si>
    <t>esprit malin</t>
  </si>
  <si>
    <t>esprit vengeur</t>
  </si>
  <si>
    <t>Etrancheur</t>
  </si>
  <si>
    <t>fée de la nature</t>
  </si>
  <si>
    <t>fée des cieux</t>
  </si>
  <si>
    <t>fée des lacs</t>
  </si>
  <si>
    <t>fée des monts</t>
  </si>
  <si>
    <t>Fidelius</t>
  </si>
  <si>
    <t>Folpierre</t>
  </si>
  <si>
    <t>foutueur</t>
  </si>
  <si>
    <t>gardien de sidh</t>
  </si>
  <si>
    <t>géant aveugle</t>
  </si>
  <si>
    <t>gnome-landa-geal</t>
  </si>
  <si>
    <t>gorgonne</t>
  </si>
  <si>
    <t>grand aigle</t>
  </si>
  <si>
    <t>grand ange</t>
  </si>
  <si>
    <t>grand corbeau</t>
  </si>
  <si>
    <t>grand esprit</t>
  </si>
  <si>
    <t>grand esprit de feu</t>
  </si>
  <si>
    <t>grand loup gris</t>
  </si>
  <si>
    <t>grand satyre</t>
  </si>
  <si>
    <t>grand ver blanc</t>
  </si>
  <si>
    <t>grandsage</t>
  </si>
  <si>
    <t>granetre</t>
  </si>
  <si>
    <t>grantom</t>
  </si>
  <si>
    <t>grantom de flamme</t>
  </si>
  <si>
    <t>grantom des glaces</t>
  </si>
  <si>
    <t>grantom des rocs</t>
  </si>
  <si>
    <t>grantom des tempêtes</t>
  </si>
  <si>
    <t>Grouilleur</t>
  </si>
  <si>
    <t>Guerroyeur</t>
  </si>
  <si>
    <t>Homécaille</t>
  </si>
  <si>
    <t>homme désert</t>
  </si>
  <si>
    <t>Homme d'ivoire</t>
  </si>
  <si>
    <t>homme scorie</t>
  </si>
  <si>
    <t>homme-singe</t>
  </si>
  <si>
    <t>irnolo des forêts</t>
  </si>
  <si>
    <t>irnolo des marais</t>
  </si>
  <si>
    <t>irnolo des montagnes</t>
  </si>
  <si>
    <t>irnolo sauvage</t>
  </si>
  <si>
    <t>kek'oni</t>
  </si>
  <si>
    <t>Krakor</t>
  </si>
  <si>
    <t>Kramor</t>
  </si>
  <si>
    <t>Lame éternelle</t>
  </si>
  <si>
    <t>Lavamorte</t>
  </si>
  <si>
    <t>loup des ombres</t>
  </si>
  <si>
    <t>loupgris</t>
  </si>
  <si>
    <t>lueur sainte</t>
  </si>
  <si>
    <t>magisou</t>
  </si>
  <si>
    <t>maîtresse de tous</t>
  </si>
  <si>
    <t>Malhorreur</t>
  </si>
  <si>
    <t>malicient</t>
  </si>
  <si>
    <t>matin-rouge</t>
  </si>
  <si>
    <t>minotaure</t>
  </si>
  <si>
    <t>minotaure de feu</t>
  </si>
  <si>
    <t>Moinange</t>
  </si>
  <si>
    <t>Mont rage</t>
  </si>
  <si>
    <t>Naag</t>
  </si>
  <si>
    <t>nain de bes</t>
  </si>
  <si>
    <t>nain-géant</t>
  </si>
  <si>
    <t>Nerguerre</t>
  </si>
  <si>
    <t>nuage mort</t>
  </si>
  <si>
    <t>Olifant</t>
  </si>
  <si>
    <t>ombre des forêts</t>
  </si>
  <si>
    <t>Présage</t>
  </si>
  <si>
    <t>princesse des bois</t>
  </si>
  <si>
    <t>Rai</t>
  </si>
  <si>
    <t>rampant</t>
  </si>
  <si>
    <t>robe sans âme</t>
  </si>
  <si>
    <t>Rochefroid</t>
  </si>
  <si>
    <t>Roi Ancien</t>
  </si>
  <si>
    <t>Roi déchu</t>
  </si>
  <si>
    <t>salmorsure</t>
  </si>
  <si>
    <t>sanglier</t>
  </si>
  <si>
    <t>sanglier éternel</t>
  </si>
  <si>
    <t>seigneur des neiges</t>
  </si>
  <si>
    <t>sentinelle</t>
  </si>
  <si>
    <t>serpent d'eldor</t>
  </si>
  <si>
    <t>serpent des marais</t>
  </si>
  <si>
    <t>serpent des tréfonds</t>
  </si>
  <si>
    <t>serpent vase</t>
  </si>
  <si>
    <t>serpent-dragon</t>
  </si>
  <si>
    <t>Silar</t>
  </si>
  <si>
    <t>silphe-vent-nuaga</t>
  </si>
  <si>
    <t>singe-fou</t>
  </si>
  <si>
    <t>singeons</t>
  </si>
  <si>
    <t>sirpent-ondine-baleir</t>
  </si>
  <si>
    <t>soldat des ombres</t>
  </si>
  <si>
    <t>Soleil Blanc</t>
  </si>
  <si>
    <t>Solétoile</t>
  </si>
  <si>
    <t>Squelette</t>
  </si>
  <si>
    <t>taureau vert</t>
  </si>
  <si>
    <t>tentacularin</t>
  </si>
  <si>
    <t>Tite</t>
  </si>
  <si>
    <t>Torcheur</t>
  </si>
  <si>
    <t>Tuemort</t>
  </si>
  <si>
    <t>unicorne</t>
  </si>
  <si>
    <t>vengeresse</t>
  </si>
  <si>
    <t>ventmor</t>
  </si>
  <si>
    <t>vieux serpent</t>
  </si>
  <si>
    <t>Volé</t>
  </si>
  <si>
    <t>Yaza</t>
  </si>
  <si>
    <t>Yuze</t>
  </si>
  <si>
    <t>Ziso</t>
  </si>
  <si>
    <t>PNJ</t>
  </si>
  <si>
    <t>Fonction</t>
  </si>
  <si>
    <t>Lieu</t>
  </si>
  <si>
    <t>Date</t>
  </si>
  <si>
    <t>CI</t>
  </si>
  <si>
    <t>Gain</t>
  </si>
  <si>
    <t>Perte</t>
  </si>
  <si>
    <t>C0</t>
  </si>
  <si>
    <t>-</t>
  </si>
  <si>
    <t>C1</t>
  </si>
  <si>
    <t>C2</t>
  </si>
  <si>
    <t>C3</t>
  </si>
  <si>
    <t>C4</t>
  </si>
  <si>
    <t>C5</t>
  </si>
  <si>
    <t>C6</t>
  </si>
  <si>
    <t>N3</t>
  </si>
  <si>
    <t>VIT</t>
  </si>
  <si>
    <t>Saut long/haut</t>
  </si>
  <si>
    <t>Détection Magie</t>
  </si>
  <si>
    <t>PDN1</t>
  </si>
  <si>
    <t>PDN2</t>
  </si>
  <si>
    <t>PDN3</t>
  </si>
  <si>
    <t>PDN4</t>
  </si>
  <si>
    <t>Résist Magique</t>
  </si>
  <si>
    <t>Puiss. Magique</t>
  </si>
  <si>
    <t>Regen Magie</t>
  </si>
  <si>
    <t>Abbr</t>
  </si>
  <si>
    <t>Typ</t>
  </si>
  <si>
    <t>Saison</t>
  </si>
  <si>
    <t>Terrain</t>
  </si>
  <si>
    <t>Pds</t>
  </si>
  <si>
    <t>Q--</t>
  </si>
  <si>
    <t>Q-</t>
  </si>
  <si>
    <t>Q=</t>
  </si>
  <si>
    <t>Q+</t>
  </si>
  <si>
    <t>Q++</t>
  </si>
  <si>
    <t>ACO</t>
  </si>
  <si>
    <t>Aconit</t>
  </si>
  <si>
    <t>FEU</t>
  </si>
  <si>
    <t>PRI</t>
  </si>
  <si>
    <t>MON</t>
  </si>
  <si>
    <t>AGA</t>
  </si>
  <si>
    <t>Agate</t>
  </si>
  <si>
    <t>GEM</t>
  </si>
  <si>
    <t>COL MON roches</t>
  </si>
  <si>
    <t>AIL</t>
  </si>
  <si>
    <t>Ail</t>
  </si>
  <si>
    <t>FRU</t>
  </si>
  <si>
    <t>ETE</t>
  </si>
  <si>
    <t>EAU OCE</t>
  </si>
  <si>
    <t>ALE</t>
  </si>
  <si>
    <t>Alecto</t>
  </si>
  <si>
    <t>CON</t>
  </si>
  <si>
    <t>Pas HIV</t>
  </si>
  <si>
    <t>Sur hermine blanche</t>
  </si>
  <si>
    <t>AMA</t>
  </si>
  <si>
    <t>Amarante</t>
  </si>
  <si>
    <t>RAC</t>
  </si>
  <si>
    <t>AUT</t>
  </si>
  <si>
    <t>Caves de château</t>
  </si>
  <si>
    <t>AMB</t>
  </si>
  <si>
    <t>Ambre</t>
  </si>
  <si>
    <t>PIE</t>
  </si>
  <si>
    <t>Mois 1-12</t>
  </si>
  <si>
    <t>OCE marée basse</t>
  </si>
  <si>
    <t>AME</t>
  </si>
  <si>
    <t>Améthyste</t>
  </si>
  <si>
    <t>hiver</t>
  </si>
  <si>
    <t>MON à +2500m</t>
  </si>
  <si>
    <t>ANE</t>
  </si>
  <si>
    <t>Anémone</t>
  </si>
  <si>
    <t>GRA</t>
  </si>
  <si>
    <t>FOR humide</t>
  </si>
  <si>
    <t>ANG</t>
  </si>
  <si>
    <t>Angélique</t>
  </si>
  <si>
    <t>TIG</t>
  </si>
  <si>
    <t>MON fossé</t>
  </si>
  <si>
    <t>ANO</t>
  </si>
  <si>
    <t>Anodine</t>
  </si>
  <si>
    <t>ÉTÉ</t>
  </si>
  <si>
    <t>MON &gt;1000m,aride</t>
  </si>
  <si>
    <t>ANT</t>
  </si>
  <si>
    <t>Antimoine</t>
  </si>
  <si>
    <t>MIN</t>
  </si>
  <si>
    <t xml:space="preserve">COL dépression </t>
  </si>
  <si>
    <t>APB</t>
  </si>
  <si>
    <t>Aile de papillon b</t>
  </si>
  <si>
    <t>ORG</t>
  </si>
  <si>
    <t>COL</t>
  </si>
  <si>
    <t>ARM</t>
  </si>
  <si>
    <t>Armoise</t>
  </si>
  <si>
    <t>HIV</t>
  </si>
  <si>
    <t xml:space="preserve">MON </t>
  </si>
  <si>
    <t>BAL</t>
  </si>
  <si>
    <t>Balim</t>
  </si>
  <si>
    <t>PRIN PY</t>
  </si>
  <si>
    <t>MON &gt;500m</t>
  </si>
  <si>
    <t>BAS</t>
  </si>
  <si>
    <t>Basilic</t>
  </si>
  <si>
    <t>t°&gt;25</t>
  </si>
  <si>
    <t>DES PLA</t>
  </si>
  <si>
    <t>BAV</t>
  </si>
  <si>
    <t>Bave de crapaud</t>
  </si>
  <si>
    <t>LIQ</t>
  </si>
  <si>
    <t>EAU</t>
  </si>
  <si>
    <t>BDA</t>
  </si>
  <si>
    <t>Belle-dame</t>
  </si>
  <si>
    <t>PRI+ETE</t>
  </si>
  <si>
    <t>PLA</t>
  </si>
  <si>
    <t>BET</t>
  </si>
  <si>
    <t>Bétoine</t>
  </si>
  <si>
    <t>BEZ</t>
  </si>
  <si>
    <t>Bezon</t>
  </si>
  <si>
    <t>FOR</t>
  </si>
  <si>
    <t>BIL</t>
  </si>
  <si>
    <t>Bilumas</t>
  </si>
  <si>
    <t>RES</t>
  </si>
  <si>
    <t>MAR</t>
  </si>
  <si>
    <t>BSU</t>
  </si>
  <si>
    <t>Baie de sureau</t>
  </si>
  <si>
    <t>CAL</t>
  </si>
  <si>
    <t>Calcédoine</t>
  </si>
  <si>
    <t>COL MON crevasse</t>
  </si>
  <si>
    <t>CAN</t>
  </si>
  <si>
    <t>Carnalite</t>
  </si>
  <si>
    <t>OCE</t>
  </si>
  <si>
    <t>Cheveux d’Ancien</t>
  </si>
  <si>
    <t>Ancien</t>
  </si>
  <si>
    <t xml:space="preserve"> 2D10</t>
  </si>
  <si>
    <t>CAR</t>
  </si>
  <si>
    <t>Carboucle</t>
  </si>
  <si>
    <t>Cratère</t>
  </si>
  <si>
    <t>CAY</t>
  </si>
  <si>
    <t>Cayenne</t>
  </si>
  <si>
    <t>CER</t>
  </si>
  <si>
    <t>Cerfeuil</t>
  </si>
  <si>
    <t>PLA STE</t>
  </si>
  <si>
    <t>CGC</t>
  </si>
  <si>
    <t>Croc de G Corbeau</t>
  </si>
  <si>
    <t>OS</t>
  </si>
  <si>
    <t>Nuit</t>
  </si>
  <si>
    <t xml:space="preserve"> 1d6</t>
  </si>
  <si>
    <t>CHE</t>
  </si>
  <si>
    <t>Chélidonius</t>
  </si>
  <si>
    <t>CHI</t>
  </si>
  <si>
    <t>Chiméde</t>
  </si>
  <si>
    <t>PLA fossé</t>
  </si>
  <si>
    <t>CHL</t>
  </si>
  <si>
    <t>Chélidoine</t>
  </si>
  <si>
    <t>COL rochers</t>
  </si>
  <si>
    <t>CHR</t>
  </si>
  <si>
    <t>Chrysolithe</t>
  </si>
  <si>
    <t>MON volcan</t>
  </si>
  <si>
    <t>CHY</t>
  </si>
  <si>
    <t>Chrysoprase</t>
  </si>
  <si>
    <t>CIG</t>
  </si>
  <si>
    <t>Ciguë</t>
  </si>
  <si>
    <t>PET</t>
  </si>
  <si>
    <t>Juin/Juillet</t>
  </si>
  <si>
    <t>COE</t>
  </si>
  <si>
    <t>Clou d’œillet</t>
  </si>
  <si>
    <t>Cornaline</t>
  </si>
  <si>
    <t>COL MON</t>
  </si>
  <si>
    <t>COR</t>
  </si>
  <si>
    <t>Corail</t>
  </si>
  <si>
    <t>Été</t>
  </si>
  <si>
    <t>COU</t>
  </si>
  <si>
    <t>Croc d’ours</t>
  </si>
  <si>
    <t>adulte</t>
  </si>
  <si>
    <t>MON FOR</t>
  </si>
  <si>
    <t>CPN</t>
  </si>
  <si>
    <t xml:space="preserve">Cœur de poule </t>
  </si>
  <si>
    <t>CRA</t>
  </si>
  <si>
    <t>Crapaudine</t>
  </si>
  <si>
    <t>MAR JUN</t>
  </si>
  <si>
    <t>CRI</t>
  </si>
  <si>
    <t>Cristal</t>
  </si>
  <si>
    <t>CRN</t>
  </si>
  <si>
    <t>Crin de jument</t>
  </si>
  <si>
    <t>CSF</t>
  </si>
  <si>
    <t>Cerveau de S Feu</t>
  </si>
  <si>
    <t>CSN</t>
  </si>
  <si>
    <t xml:space="preserve">Cervelle de serpent </t>
  </si>
  <si>
    <t>SOU COL</t>
  </si>
  <si>
    <t>CTB</t>
  </si>
  <si>
    <t>Corne de taureau</t>
  </si>
  <si>
    <t>CUN</t>
  </si>
  <si>
    <t>Corne d’Unicorne</t>
  </si>
  <si>
    <t>20+</t>
  </si>
  <si>
    <t>CVA</t>
  </si>
  <si>
    <t>Cœur de vanneau</t>
  </si>
  <si>
    <t>&lt;1an</t>
  </si>
  <si>
    <t>DHY</t>
  </si>
  <si>
    <t>Dent d’Hydre</t>
  </si>
  <si>
    <t>MON MAR</t>
  </si>
  <si>
    <t xml:space="preserve"> D10</t>
  </si>
  <si>
    <t>DIA</t>
  </si>
  <si>
    <t>Diamant</t>
  </si>
  <si>
    <t>DIN </t>
  </si>
  <si>
    <t>Diamant noir</t>
  </si>
  <si>
    <t>nuit</t>
  </si>
  <si>
    <t>SOU RUI MON</t>
  </si>
  <si>
    <t>DIO</t>
  </si>
  <si>
    <t>Dinothéria</t>
  </si>
  <si>
    <t>vieux</t>
  </si>
  <si>
    <t>MAR FOR</t>
  </si>
  <si>
    <t>DSA</t>
  </si>
  <si>
    <t>Défense de sanglier</t>
  </si>
  <si>
    <t>Tué la nuit</t>
  </si>
  <si>
    <t xml:space="preserve"> d2</t>
  </si>
  <si>
    <t>DVA</t>
  </si>
  <si>
    <t>Dents de Vampire</t>
  </si>
  <si>
    <t>SOU RUI URB</t>
  </si>
  <si>
    <t xml:space="preserve"> 1d2</t>
  </si>
  <si>
    <t>ELL</t>
  </si>
  <si>
    <t>Ellebore</t>
  </si>
  <si>
    <t>Pas déc</t>
  </si>
  <si>
    <t xml:space="preserve"> d6</t>
  </si>
  <si>
    <t>EME</t>
  </si>
  <si>
    <t>Émeraude</t>
  </si>
  <si>
    <t>ESA</t>
  </si>
  <si>
    <t>Escarboucle</t>
  </si>
  <si>
    <t>COL FOR</t>
  </si>
  <si>
    <t>EUP</t>
  </si>
  <si>
    <t>Euphorbiacée</t>
  </si>
  <si>
    <t>Août</t>
  </si>
  <si>
    <t>PLA COL</t>
  </si>
  <si>
    <t>FAE</t>
  </si>
  <si>
    <t>Faerrie</t>
  </si>
  <si>
    <t>FCA</t>
  </si>
  <si>
    <t>Foie de caméléon</t>
  </si>
  <si>
    <t>FEN</t>
  </si>
  <si>
    <t>Fenouil</t>
  </si>
  <si>
    <t xml:space="preserve"> 1D10</t>
  </si>
  <si>
    <t>FFO</t>
  </si>
  <si>
    <t>Fourrure Foutueur</t>
  </si>
  <si>
    <t>Adulte</t>
  </si>
  <si>
    <t>FIE</t>
  </si>
  <si>
    <t>Fiente</t>
  </si>
  <si>
    <t>URB PLA</t>
  </si>
  <si>
    <t>FOU</t>
  </si>
  <si>
    <t>Fougère</t>
  </si>
  <si>
    <t xml:space="preserve"> d3</t>
  </si>
  <si>
    <t>GAR</t>
  </si>
  <si>
    <t>Garnit</t>
  </si>
  <si>
    <t>SOU</t>
  </si>
  <si>
    <t>Granet</t>
  </si>
  <si>
    <t>GUI</t>
  </si>
  <si>
    <t>Gui</t>
  </si>
  <si>
    <t>HDA</t>
  </si>
  <si>
    <t>Herbe de Dharba</t>
  </si>
  <si>
    <t>AUT nuit</t>
  </si>
  <si>
    <t>HEL</t>
  </si>
  <si>
    <t>Héliotrope</t>
  </si>
  <si>
    <t xml:space="preserve">+basse marée </t>
  </si>
  <si>
    <t>HYP</t>
  </si>
  <si>
    <t>Hypercium</t>
  </si>
  <si>
    <t>ÉTÉ nuit</t>
  </si>
  <si>
    <t xml:space="preserve">COL </t>
  </si>
  <si>
    <t>JAC</t>
  </si>
  <si>
    <t>Jacinthe</t>
  </si>
  <si>
    <t>Coucher soleil</t>
  </si>
  <si>
    <t xml:space="preserve">OCE </t>
  </si>
  <si>
    <t>JAD</t>
  </si>
  <si>
    <t>Jade</t>
  </si>
  <si>
    <t>EAU CAV OCE MON</t>
  </si>
  <si>
    <t>JAE</t>
  </si>
  <si>
    <t>Jaspe</t>
  </si>
  <si>
    <t>humide</t>
  </si>
  <si>
    <t>EAU SOU</t>
  </si>
  <si>
    <t>JAI</t>
  </si>
  <si>
    <t>Jadine</t>
  </si>
  <si>
    <t>zénith</t>
  </si>
  <si>
    <t>JAS</t>
  </si>
  <si>
    <t>Jais</t>
  </si>
  <si>
    <t>JET</t>
  </si>
  <si>
    <t>Jet</t>
  </si>
  <si>
    <t>Mois 11-12</t>
  </si>
  <si>
    <t>Côte</t>
  </si>
  <si>
    <t>JOU</t>
  </si>
  <si>
    <t>Joubarbe</t>
  </si>
  <si>
    <t>Printemps PY</t>
  </si>
  <si>
    <t>COL STE</t>
  </si>
  <si>
    <t>JUS</t>
  </si>
  <si>
    <t>Jusquiame</t>
  </si>
  <si>
    <t>PRI AUT</t>
  </si>
  <si>
    <t>PLA COL fossé</t>
  </si>
  <si>
    <t>LAN</t>
  </si>
  <si>
    <t>Langue de rat</t>
  </si>
  <si>
    <t>LAU</t>
  </si>
  <si>
    <t>Laurier</t>
  </si>
  <si>
    <t>Printemps</t>
  </si>
  <si>
    <t>LBL</t>
  </si>
  <si>
    <t>Lotus blanc</t>
  </si>
  <si>
    <t>Hiver, jour</t>
  </si>
  <si>
    <t>MON EAU</t>
  </si>
  <si>
    <t>LIS</t>
  </si>
  <si>
    <t>Liseron</t>
  </si>
  <si>
    <t>LLA</t>
  </si>
  <si>
    <t>Lapis lazulite</t>
  </si>
  <si>
    <t>MON SOU</t>
  </si>
  <si>
    <t>LMA</t>
  </si>
  <si>
    <t>Lotus mauve</t>
  </si>
  <si>
    <t>Juin</t>
  </si>
  <si>
    <t>LUA</t>
  </si>
  <si>
    <t>Lunaire</t>
  </si>
  <si>
    <t>MON RUI</t>
  </si>
  <si>
    <t>LUN</t>
  </si>
  <si>
    <t>Luna</t>
  </si>
  <si>
    <t>+-1 h de l’aube</t>
  </si>
  <si>
    <t>MAN</t>
  </si>
  <si>
    <t>Mandragore</t>
  </si>
  <si>
    <t>terre sous un pendu</t>
  </si>
  <si>
    <t>MEP</t>
  </si>
  <si>
    <t>Méphis</t>
  </si>
  <si>
    <t>PRI cou soleil</t>
  </si>
  <si>
    <t>MER</t>
  </si>
  <si>
    <t>Mercure</t>
  </si>
  <si>
    <t>MEV</t>
  </si>
  <si>
    <t>Mervisma</t>
  </si>
  <si>
    <t xml:space="preserve"> 2d6</t>
  </si>
  <si>
    <t>OCN</t>
  </si>
  <si>
    <t>Os de chat noir</t>
  </si>
  <si>
    <t>OEI</t>
  </si>
  <si>
    <t>Œil de corbeau</t>
  </si>
  <si>
    <t>ONY</t>
  </si>
  <si>
    <t>Onyx</t>
  </si>
  <si>
    <t>- lieu humide</t>
  </si>
  <si>
    <t>MON crevasse</t>
  </si>
  <si>
    <t>OPA</t>
  </si>
  <si>
    <t>Opale</t>
  </si>
  <si>
    <t>Hiver</t>
  </si>
  <si>
    <t>PAR</t>
  </si>
  <si>
    <t>Plume d’aigle royal</t>
  </si>
  <si>
    <t>MON COL</t>
  </si>
  <si>
    <t>PAV</t>
  </si>
  <si>
    <t>Pavot</t>
  </si>
  <si>
    <t>PCE</t>
  </si>
  <si>
    <t>Pierre céleste</t>
  </si>
  <si>
    <t>PCO</t>
  </si>
  <si>
    <t>Plume de coq</t>
  </si>
  <si>
    <t>&gt;cbt</t>
  </si>
  <si>
    <t>PLA URB ferme</t>
  </si>
  <si>
    <t>PDS</t>
  </si>
  <si>
    <t>Pierre de serpent</t>
  </si>
  <si>
    <t>MON COL SOU</t>
  </si>
  <si>
    <t>PEL</t>
  </si>
  <si>
    <t>Pierre d’élément</t>
  </si>
  <si>
    <t>PER</t>
  </si>
  <si>
    <t>Perle</t>
  </si>
  <si>
    <t>Été AUT</t>
  </si>
  <si>
    <t>PES</t>
  </si>
  <si>
    <t>Pierre d’Esprit</t>
  </si>
  <si>
    <t>Peska</t>
  </si>
  <si>
    <t>Toute l’année</t>
  </si>
  <si>
    <t>Poussière d’étoile</t>
  </si>
  <si>
    <t>PY</t>
  </si>
  <si>
    <t>PFS</t>
  </si>
  <si>
    <t>Poison f  Scorpion</t>
  </si>
  <si>
    <t>Enceinte</t>
  </si>
  <si>
    <t>PHY</t>
  </si>
  <si>
    <t>Peau d’hyène</t>
  </si>
  <si>
    <t>Piéron</t>
  </si>
  <si>
    <t>COL SOU</t>
  </si>
  <si>
    <t>PLO</t>
  </si>
  <si>
    <t>Peau de loup</t>
  </si>
  <si>
    <t>PNO</t>
  </si>
  <si>
    <t>Pavot noir</t>
  </si>
  <si>
    <t>COL JUN MAR</t>
  </si>
  <si>
    <t>POU</t>
  </si>
  <si>
    <t>Pourpier</t>
  </si>
  <si>
    <t>PRA</t>
  </si>
  <si>
    <t>Poison de Ragnée</t>
  </si>
  <si>
    <t>PSA</t>
  </si>
  <si>
    <t>Pierre de sang</t>
  </si>
  <si>
    <t>PSE</t>
  </si>
  <si>
    <t>Peau de serpent</t>
  </si>
  <si>
    <t>PSF</t>
  </si>
  <si>
    <t>Poison de S de Feu</t>
  </si>
  <si>
    <t>QUI</t>
  </si>
  <si>
    <t>Quintefeuille</t>
  </si>
  <si>
    <t>COL CAV SOU PLA</t>
  </si>
  <si>
    <t>REG</t>
  </si>
  <si>
    <t>Regret</t>
  </si>
  <si>
    <t>EAU MAR JUN</t>
  </si>
  <si>
    <t>RET</t>
  </si>
  <si>
    <t>Rubis étoilé</t>
  </si>
  <si>
    <t>RKA</t>
  </si>
  <si>
    <t>Racine de Kadis</t>
  </si>
  <si>
    <t>Septembre</t>
  </si>
  <si>
    <t>RLU</t>
  </si>
  <si>
    <t>Rose de Lune</t>
  </si>
  <si>
    <t>PRI - nuit PY</t>
  </si>
  <si>
    <t>CAV SOU</t>
  </si>
  <si>
    <t>RNO</t>
  </si>
  <si>
    <t>Rubis noir</t>
  </si>
  <si>
    <t>RSE</t>
  </si>
  <si>
    <t>Racine de serpent</t>
  </si>
  <si>
    <t>JUN</t>
  </si>
  <si>
    <t>RSU</t>
  </si>
  <si>
    <t>Rameau de sureau</t>
  </si>
  <si>
    <t>RUB</t>
  </si>
  <si>
    <t>Rubis</t>
  </si>
  <si>
    <t>SOU MON</t>
  </si>
  <si>
    <t>SAL</t>
  </si>
  <si>
    <t>Salive</t>
  </si>
  <si>
    <t>SAP</t>
  </si>
  <si>
    <t>Saphir</t>
  </si>
  <si>
    <t>SCA</t>
  </si>
  <si>
    <t>Sang de crapaud</t>
  </si>
  <si>
    <t>MAR EAU</t>
  </si>
  <si>
    <t>SCN</t>
  </si>
  <si>
    <t>Sang de chat noir</t>
  </si>
  <si>
    <t>SDR</t>
  </si>
  <si>
    <t>Sang de dragon</t>
  </si>
  <si>
    <t xml:space="preserve"> 4D10</t>
  </si>
  <si>
    <t>SEL</t>
  </si>
  <si>
    <t>Sel</t>
  </si>
  <si>
    <t>HIB</t>
  </si>
  <si>
    <t>OCE DES STE</t>
  </si>
  <si>
    <t>SER</t>
  </si>
  <si>
    <t>Serpentine</t>
  </si>
  <si>
    <t>SHY</t>
  </si>
  <si>
    <t>Sang d’Hydre</t>
  </si>
  <si>
    <t>&gt;3 têtes</t>
  </si>
  <si>
    <t>SIL</t>
  </si>
  <si>
    <t>Silex</t>
  </si>
  <si>
    <t>COL MON SOU DES STE</t>
  </si>
  <si>
    <t>SKO</t>
  </si>
  <si>
    <t>Sang de Koth’Oth</t>
  </si>
  <si>
    <t>SLO</t>
  </si>
  <si>
    <t>Sang de loup</t>
  </si>
  <si>
    <t>SMA</t>
  </si>
  <si>
    <t>Smarach</t>
  </si>
  <si>
    <t>EAU COL OCE</t>
  </si>
  <si>
    <t>SMR</t>
  </si>
  <si>
    <t>Sang de M-Rouge</t>
  </si>
  <si>
    <t>SNO</t>
  </si>
  <si>
    <t>Saphir noir</t>
  </si>
  <si>
    <t>MON SOU crevasse</t>
  </si>
  <si>
    <t>SOR</t>
  </si>
  <si>
    <t>Sorbier</t>
  </si>
  <si>
    <t>PLA COL FOR</t>
  </si>
  <si>
    <t>TGO</t>
  </si>
  <si>
    <t>Tête de Gorgone</t>
  </si>
  <si>
    <t>THY</t>
  </si>
  <si>
    <t>Tête d’Hydre</t>
  </si>
  <si>
    <t>TOP</t>
  </si>
  <si>
    <t>Topaze</t>
  </si>
  <si>
    <t>TOU</t>
  </si>
  <si>
    <t>Tourmaline</t>
  </si>
  <si>
    <t>Sous terre</t>
  </si>
  <si>
    <t>TUR</t>
  </si>
  <si>
    <t>Turquoise</t>
  </si>
  <si>
    <t>VER</t>
  </si>
  <si>
    <t>Verveine</t>
  </si>
  <si>
    <t>FOR PLA</t>
  </si>
  <si>
    <t>YLO</t>
  </si>
  <si>
    <t>Yeux de loup</t>
  </si>
  <si>
    <t>FOR STE COL MON</t>
  </si>
  <si>
    <t>YVE</t>
  </si>
  <si>
    <t>Yveline</t>
  </si>
  <si>
    <t>aigle</t>
  </si>
  <si>
    <t>amas</t>
  </si>
  <si>
    <t>ancêtre</t>
  </si>
  <si>
    <t xml:space="preserve">ancien </t>
  </si>
  <si>
    <t>âne</t>
  </si>
  <si>
    <t>anesprit</t>
  </si>
  <si>
    <t>ange</t>
  </si>
  <si>
    <t>antilope</t>
  </si>
  <si>
    <t>boeuf</t>
  </si>
  <si>
    <t>buffle</t>
  </si>
  <si>
    <t>casfan</t>
  </si>
  <si>
    <t>catel</t>
  </si>
  <si>
    <t>chat</t>
  </si>
  <si>
    <t>cheval</t>
  </si>
  <si>
    <t>chèvre</t>
  </si>
  <si>
    <t>chien</t>
  </si>
  <si>
    <t>chimère</t>
  </si>
  <si>
    <t>cyclom</t>
  </si>
  <si>
    <t>cyclope</t>
  </si>
  <si>
    <t>daim</t>
  </si>
  <si>
    <t>dainesi</t>
  </si>
  <si>
    <t>dragon</t>
  </si>
  <si>
    <t>esprit</t>
  </si>
  <si>
    <t>griffon</t>
  </si>
  <si>
    <t>griffor</t>
  </si>
  <si>
    <t>grizzly</t>
  </si>
  <si>
    <t>hydre</t>
  </si>
  <si>
    <t>hyène</t>
  </si>
  <si>
    <t>kilerain</t>
  </si>
  <si>
    <t>Kot'Aran</t>
  </si>
  <si>
    <t>lamante</t>
  </si>
  <si>
    <t>lassure</t>
  </si>
  <si>
    <t>lemor</t>
  </si>
  <si>
    <t>léopard</t>
  </si>
  <si>
    <t>liche</t>
  </si>
  <si>
    <t>lion</t>
  </si>
  <si>
    <t>locral</t>
  </si>
  <si>
    <t>loup</t>
  </si>
  <si>
    <t>lutin</t>
  </si>
  <si>
    <t>lyrch</t>
  </si>
  <si>
    <t>mule</t>
  </si>
  <si>
    <t>nargias</t>
  </si>
  <si>
    <t>ogre</t>
  </si>
  <si>
    <t>ours</t>
  </si>
  <si>
    <t>pégase</t>
  </si>
  <si>
    <t>ragnée</t>
  </si>
  <si>
    <t>rarnoin</t>
  </si>
  <si>
    <t>salamandre-volcan-feulor</t>
  </si>
  <si>
    <t>serpent</t>
  </si>
  <si>
    <t>vamp</t>
  </si>
  <si>
    <t>varen</t>
  </si>
  <si>
    <t>volevar</t>
  </si>
  <si>
    <t>CC1</t>
  </si>
  <si>
    <t>description générale, couleur, race, dimensions, armes et armures, aura</t>
  </si>
  <si>
    <t>CC2</t>
  </si>
  <si>
    <t>sons et odeurs, mouvements, vitesse de frappe, nombre, alignement, divin, attitude</t>
  </si>
  <si>
    <t>CC3</t>
  </si>
  <si>
    <t>Nombre d’attaque, style, poisons utilisés, sorts offensifs</t>
  </si>
  <si>
    <t>immunité, faiblesses, sensibilité, capacités</t>
  </si>
  <si>
    <t>Sens, caractéristiques physiques, caractéristiques intellectuelles, talents, âge, genre, résidence, construction, fabrication, habitation, langue</t>
  </si>
  <si>
    <r>
      <t>T</t>
    </r>
    <r>
      <rPr>
        <sz val="10"/>
        <rFont val="Calibri"/>
        <family val="2"/>
      </rPr>
      <t>aille</t>
    </r>
  </si>
  <si>
    <r>
      <t>E</t>
    </r>
    <r>
      <rPr>
        <sz val="10"/>
        <rFont val="Calibri"/>
        <family val="2"/>
      </rPr>
      <t>stoc</t>
    </r>
  </si>
  <si>
    <r>
      <t>C</t>
    </r>
    <r>
      <rPr>
        <sz val="10"/>
        <rFont val="Calibri"/>
        <family val="2"/>
      </rPr>
      <t>oncussion</t>
    </r>
  </si>
  <si>
    <r>
      <t>R</t>
    </r>
    <r>
      <rPr>
        <sz val="10"/>
        <rFont val="Calibri"/>
        <family val="2"/>
      </rPr>
      <t>ésistance</t>
    </r>
  </si>
  <si>
    <r>
      <t>C</t>
    </r>
    <r>
      <rPr>
        <b/>
        <sz val="10"/>
        <rFont val="Calibri"/>
        <family val="2"/>
      </rPr>
      <t>r</t>
    </r>
    <r>
      <rPr>
        <sz val="10"/>
        <rFont val="Calibri"/>
        <family val="2"/>
      </rPr>
      <t>itique</t>
    </r>
  </si>
  <si>
    <r>
      <t>V</t>
    </r>
    <r>
      <rPr>
        <sz val="10"/>
        <rFont val="Calibri"/>
        <family val="2"/>
      </rPr>
      <t>itesse</t>
    </r>
  </si>
  <si>
    <t xml:space="preserve">Alcool </t>
  </si>
  <si>
    <t xml:space="preserve">Fatigue </t>
  </si>
  <si>
    <t xml:space="preserve">Maladie </t>
  </si>
  <si>
    <t xml:space="preserve">Faim </t>
  </si>
  <si>
    <t xml:space="preserve">EN </t>
  </si>
  <si>
    <t>Talent</t>
  </si>
  <si>
    <t>CPA</t>
  </si>
  <si>
    <t>CNS</t>
  </si>
  <si>
    <t>Baratin</t>
  </si>
  <si>
    <t>Élevage + race</t>
  </si>
  <si>
    <t>Équarrissage</t>
  </si>
  <si>
    <t>Gestion + structure</t>
  </si>
  <si>
    <t>Ingénierie</t>
  </si>
  <si>
    <t>Intrigue</t>
  </si>
  <si>
    <t>Langage des signes</t>
  </si>
  <si>
    <t>Maçonnerie</t>
  </si>
  <si>
    <t>Recherche</t>
  </si>
  <si>
    <t>Rhétorique</t>
  </si>
  <si>
    <t>Serviteur</t>
  </si>
  <si>
    <t>Survie</t>
  </si>
  <si>
    <t>*</t>
  </si>
  <si>
    <t xml:space="preserve">Langage + </t>
  </si>
  <si>
    <t xml:space="preserve">Lecture + </t>
  </si>
  <si>
    <t xml:space="preserve">Lecture lèvres + </t>
  </si>
  <si>
    <r>
      <t>1</t>
    </r>
    <r>
      <rPr>
        <sz val="8"/>
        <rFont val="Verdana"/>
        <family val="2"/>
      </rPr>
      <t xml:space="preserve"> Combat</t>
    </r>
  </si>
  <si>
    <r>
      <t>2</t>
    </r>
    <r>
      <rPr>
        <sz val="8"/>
        <rFont val="Verdana"/>
        <family val="2"/>
      </rPr>
      <t xml:space="preserve"> Voyage</t>
    </r>
  </si>
  <si>
    <r>
      <t>3</t>
    </r>
    <r>
      <rPr>
        <sz val="8"/>
        <rFont val="Verdana"/>
        <family val="2"/>
      </rPr>
      <t xml:space="preserve"> Dialogue</t>
    </r>
  </si>
  <si>
    <r>
      <t xml:space="preserve">4 </t>
    </r>
    <r>
      <rPr>
        <sz val="8"/>
        <rFont val="Verdana"/>
        <family val="2"/>
      </rPr>
      <t>Magie</t>
    </r>
  </si>
  <si>
    <t>Baratinage(Langue)</t>
  </si>
  <si>
    <t>B</t>
  </si>
  <si>
    <t>sombre</t>
  </si>
  <si>
    <t>Langue + DONARAN</t>
  </si>
  <si>
    <t>Lang. Signes DONARAN</t>
  </si>
  <si>
    <t>Lecture MODERNE</t>
  </si>
  <si>
    <t>Rhétorique DONARAN</t>
  </si>
  <si>
    <t>Sur Soi</t>
  </si>
  <si>
    <t>Colline</t>
  </si>
  <si>
    <t>Ville</t>
  </si>
  <si>
    <t>Forêt</t>
  </si>
  <si>
    <t>héros</t>
  </si>
  <si>
    <t>Carrière</t>
  </si>
  <si>
    <t>BM/métier</t>
  </si>
  <si>
    <t>-MSP</t>
  </si>
  <si>
    <t>-P</t>
  </si>
  <si>
    <t>toutes</t>
  </si>
  <si>
    <t>retenue, viser</t>
  </si>
  <si>
    <t>style de coup</t>
  </si>
  <si>
    <t>moulinet</t>
  </si>
  <si>
    <t>viser partie</t>
  </si>
  <si>
    <t>&gt;1 cible/attaque</t>
  </si>
  <si>
    <t>à pied</t>
  </si>
  <si>
    <t>monture</t>
  </si>
  <si>
    <t>bouclier +VD</t>
  </si>
  <si>
    <t>mode défensif</t>
  </si>
  <si>
    <t>retenir coup</t>
  </si>
  <si>
    <t>arme défensive</t>
  </si>
  <si>
    <t>de nuit</t>
  </si>
  <si>
    <t>tir/projectile</t>
  </si>
  <si>
    <t>plusieurs attaque</t>
  </si>
  <si>
    <t>magie</t>
  </si>
  <si>
    <t>poursuite</t>
  </si>
  <si>
    <t>bonus piéton</t>
  </si>
  <si>
    <t>bonus cavalier</t>
  </si>
  <si>
    <t>changer action</t>
  </si>
  <si>
    <t>changer d'arme</t>
  </si>
  <si>
    <t>&gt;1 attaque/phase</t>
  </si>
  <si>
    <t>TOTAL POIDS=</t>
  </si>
  <si>
    <t>TOTAL ENC=</t>
  </si>
  <si>
    <t xml:space="preserve">Equipement </t>
  </si>
  <si>
    <t>Nbr</t>
  </si>
  <si>
    <t>Enc</t>
  </si>
  <si>
    <t>Valeur</t>
  </si>
  <si>
    <t>Anc</t>
  </si>
  <si>
    <t>Ori</t>
  </si>
  <si>
    <t>Qua</t>
  </si>
  <si>
    <t>Tai</t>
  </si>
  <si>
    <t>For</t>
  </si>
  <si>
    <t>Eta/R</t>
  </si>
  <si>
    <t>T-Pds</t>
  </si>
  <si>
    <t>T-Enc</t>
  </si>
  <si>
    <t>Contenant n°1</t>
  </si>
  <si>
    <t>ENC possible</t>
  </si>
  <si>
    <t>ENC réel</t>
  </si>
  <si>
    <t>Contenant n°2</t>
  </si>
  <si>
    <t>Contenant n°3</t>
  </si>
  <si>
    <t>Contenant n°4</t>
  </si>
  <si>
    <t>PdN</t>
  </si>
  <si>
    <t>date fin</t>
  </si>
  <si>
    <t>Combat 2 armes</t>
  </si>
  <si>
    <t>Vit</t>
  </si>
  <si>
    <t>Crit</t>
  </si>
  <si>
    <t>vitesse A/B</t>
  </si>
  <si>
    <t>N1/N2</t>
  </si>
  <si>
    <t>Bou</t>
  </si>
  <si>
    <t>Aigre moine</t>
  </si>
  <si>
    <t>Bo</t>
  </si>
  <si>
    <t>N1</t>
  </si>
  <si>
    <t>N2</t>
  </si>
  <si>
    <t>Métier</t>
  </si>
  <si>
    <t>tot poids</t>
  </si>
  <si>
    <t>Tot mod</t>
  </si>
  <si>
    <t>armure1</t>
  </si>
  <si>
    <t>armure2</t>
  </si>
  <si>
    <t>armure3</t>
  </si>
  <si>
    <t>défense10</t>
  </si>
  <si>
    <t>défense20</t>
  </si>
  <si>
    <t>défense30</t>
  </si>
  <si>
    <t>charge10</t>
  </si>
  <si>
    <t>charge30</t>
  </si>
  <si>
    <t xml:space="preserve">de jour </t>
  </si>
  <si>
    <t>embuscade10</t>
  </si>
  <si>
    <t>embuscade20</t>
  </si>
  <si>
    <t>esquive10</t>
  </si>
  <si>
    <t>esquive20</t>
  </si>
  <si>
    <t>esquive30</t>
  </si>
  <si>
    <t>esquive40</t>
  </si>
  <si>
    <t>fuite10</t>
  </si>
  <si>
    <t>obéissance10</t>
  </si>
  <si>
    <t>obéissance20</t>
  </si>
  <si>
    <t>réaction20</t>
  </si>
  <si>
    <t>vitesse20</t>
  </si>
  <si>
    <t>vitesse10</t>
  </si>
  <si>
    <t>attaque 10</t>
  </si>
  <si>
    <t>attaque 20</t>
  </si>
  <si>
    <t>attaque 30</t>
  </si>
  <si>
    <t>attaque 50</t>
  </si>
  <si>
    <t>BPE</t>
  </si>
  <si>
    <t>Élevage + chevaux</t>
  </si>
  <si>
    <t>Cheval</t>
  </si>
  <si>
    <t>Encombré</t>
  </si>
  <si>
    <t>Coup</t>
  </si>
  <si>
    <t>Armes</t>
  </si>
  <si>
    <t>cm</t>
  </si>
  <si>
    <t>VitA</t>
  </si>
  <si>
    <t>VitB</t>
  </si>
  <si>
    <t>Cri</t>
  </si>
  <si>
    <t>Rbas</t>
  </si>
  <si>
    <t>VO mod</t>
  </si>
  <si>
    <t>VD mod</t>
  </si>
  <si>
    <t>R-</t>
  </si>
  <si>
    <t>CC</t>
  </si>
  <si>
    <t>capricieux</t>
  </si>
  <si>
    <t>ébène</t>
  </si>
  <si>
    <t>moustache</t>
  </si>
  <si>
    <t>toison</t>
  </si>
  <si>
    <t>mauvaise</t>
  </si>
  <si>
    <t>brun</t>
  </si>
  <si>
    <t>plat</t>
  </si>
  <si>
    <t>agressif</t>
  </si>
  <si>
    <t>Drogan</t>
  </si>
  <si>
    <t>dague parade</t>
  </si>
  <si>
    <t>rondache</t>
  </si>
  <si>
    <t>sac à dos</t>
  </si>
  <si>
    <t>source</t>
  </si>
  <si>
    <t>quelle</t>
  </si>
  <si>
    <t>brun foncé</t>
  </si>
  <si>
    <t>noisette</t>
  </si>
  <si>
    <t>courts</t>
  </si>
  <si>
    <t>imberbe</t>
  </si>
  <si>
    <t>tr bonne</t>
  </si>
  <si>
    <t>rebouteux</t>
  </si>
  <si>
    <t>savant</t>
  </si>
  <si>
    <t>Kéréon</t>
  </si>
  <si>
    <t>Fama'R</t>
  </si>
  <si>
    <t>6c</t>
  </si>
  <si>
    <t>4c</t>
  </si>
  <si>
    <t>2c</t>
  </si>
  <si>
    <t>Chaya</t>
  </si>
  <si>
    <t>médiocre</t>
  </si>
  <si>
    <t xml:space="preserve">Langue + </t>
  </si>
  <si>
    <t>Lang. Signes +</t>
  </si>
  <si>
    <t>Langue non-hu +</t>
  </si>
  <si>
    <t>Gestion +</t>
  </si>
  <si>
    <t xml:space="preserve">Lect lèvres + </t>
  </si>
  <si>
    <t>Diplomatie +</t>
  </si>
  <si>
    <t>Baratinage +</t>
  </si>
  <si>
    <t>Calligraphie +</t>
  </si>
  <si>
    <t>Recherche +</t>
  </si>
  <si>
    <t>Rhétorique +</t>
  </si>
  <si>
    <t>1/1</t>
  </si>
  <si>
    <t>2/3</t>
  </si>
  <si>
    <t>3/5</t>
  </si>
  <si>
    <t>4/10</t>
  </si>
  <si>
    <t>bon</t>
  </si>
  <si>
    <t>Souffle/Malus</t>
  </si>
  <si>
    <t>Cœur de Feu</t>
  </si>
  <si>
    <t>5/2/979</t>
  </si>
  <si>
    <t xml:space="preserve">brun </t>
  </si>
  <si>
    <t>fine</t>
  </si>
  <si>
    <t>barbichette</t>
  </si>
  <si>
    <t>Jem</t>
  </si>
  <si>
    <t>enfant recueilli</t>
  </si>
  <si>
    <t>longs</t>
  </si>
  <si>
    <t>frisé</t>
  </si>
  <si>
    <t>âge+3 !</t>
  </si>
  <si>
    <t>allergie puce (forte)</t>
  </si>
  <si>
    <t>EE/EI</t>
  </si>
  <si>
    <t>Gav'Reel</t>
  </si>
  <si>
    <t>sorcier</t>
  </si>
  <si>
    <t>religieux très "pur"</t>
  </si>
  <si>
    <t>commerce</t>
  </si>
  <si>
    <t xml:space="preserve">mâitre </t>
  </si>
  <si>
    <t>résidente</t>
  </si>
  <si>
    <t>inconnue/chassée</t>
  </si>
  <si>
    <t>4 inconnus avec mère</t>
  </si>
  <si>
    <t>équipage</t>
  </si>
  <si>
    <t>ancienne</t>
  </si>
  <si>
    <t>ignoré par père</t>
  </si>
  <si>
    <t>Résistance au temps NE20</t>
  </si>
  <si>
    <t>chassé du temple</t>
  </si>
  <si>
    <t>yeux magique : ferme 1 œil, voit invisible</t>
  </si>
  <si>
    <t>… mais plus visible, 5% aveugle D10 h</t>
  </si>
  <si>
    <t>malédiction EI : Moral -3 contre religieux</t>
  </si>
  <si>
    <t>proche des anciens : marteau dvalinn</t>
  </si>
  <si>
    <t>Sorcier renégat : EI/EE</t>
  </si>
  <si>
    <t>excellence</t>
  </si>
  <si>
    <t>A -  Connaissance : CNS-1 pour TG appris du livre</t>
  </si>
  <si>
    <t>Mésange</t>
  </si>
  <si>
    <t>[A] -  Pouvoir : CI+15 sur NS supérieurs</t>
  </si>
  <si>
    <t>mer</t>
  </si>
  <si>
    <t>maître équipage</t>
  </si>
  <si>
    <t>A -  Planification : Tranport+5</t>
  </si>
  <si>
    <t>perle</t>
  </si>
  <si>
    <t>[A] -  Petits voyages : Survie+5 pendant voyage &lt;10km/j</t>
  </si>
  <si>
    <t>marteau Ta-10% Pds+25% T+1 C+1 Rx5 Cr+10 VO+3 VD+5 V-1</t>
  </si>
  <si>
    <t>cuir compagnie</t>
  </si>
  <si>
    <t>ThVBJP</t>
  </si>
  <si>
    <t>25</t>
  </si>
  <si>
    <t>2</t>
  </si>
  <si>
    <t>1</t>
  </si>
  <si>
    <t>7</t>
  </si>
  <si>
    <t>marteau DOR</t>
  </si>
  <si>
    <t>54cm/4kg</t>
  </si>
  <si>
    <t>4</t>
  </si>
  <si>
    <t>11</t>
  </si>
  <si>
    <t>3c</t>
  </si>
  <si>
    <t>armure compagnie</t>
  </si>
  <si>
    <t>mitaine</t>
  </si>
  <si>
    <t>marteau dvalinn DOR</t>
  </si>
  <si>
    <t>bourse</t>
  </si>
  <si>
    <t>BESACE 5L</t>
  </si>
  <si>
    <t>bol</t>
  </si>
  <si>
    <t>couteau</t>
  </si>
  <si>
    <t>gourde</t>
  </si>
  <si>
    <t>rebuts pour sort (pierre, cuir, bois, fer)</t>
  </si>
  <si>
    <t>poussière d'ancien maudit</t>
  </si>
  <si>
    <t>influence EO</t>
  </si>
  <si>
    <t>permet d'appeler esprit vengeur</t>
  </si>
  <si>
    <t>l'Ombrageux</t>
  </si>
  <si>
    <t>12/1/978</t>
  </si>
  <si>
    <t>or</t>
  </si>
  <si>
    <t>bouc</t>
  </si>
  <si>
    <t>Raoul</t>
  </si>
  <si>
    <t>bas de nuque</t>
  </si>
  <si>
    <t>peu pileux</t>
  </si>
  <si>
    <t>introverti</t>
  </si>
  <si>
    <t>EI</t>
  </si>
  <si>
    <t>Dargos</t>
  </si>
  <si>
    <t>tueur</t>
  </si>
  <si>
    <t>arracheur dent</t>
  </si>
  <si>
    <t>ménestrel mort</t>
  </si>
  <si>
    <t>vivante</t>
  </si>
  <si>
    <t>3 au loin</t>
  </si>
  <si>
    <t>étrangère</t>
  </si>
  <si>
    <t>impopulaire</t>
  </si>
  <si>
    <t>ami fidèle compagnie = second du chef</t>
  </si>
  <si>
    <t>béni des mains</t>
  </si>
  <si>
    <t>loyal à la compagnie</t>
  </si>
  <si>
    <t>sanguin : gagne pouvoir créature (sang)</t>
  </si>
  <si>
    <t>brillance</t>
  </si>
  <si>
    <t>assassin</t>
  </si>
  <si>
    <t>A -  Calcul : E(rap)+15 en combat</t>
  </si>
  <si>
    <t>écureuil</t>
  </si>
  <si>
    <t>[A] -  Embuscade : relance Réaction 1x/jour</t>
  </si>
  <si>
    <t>lumière</t>
  </si>
  <si>
    <t>arracheur de dent</t>
  </si>
  <si>
    <t>A -  Squelette : Médecine+10</t>
  </si>
  <si>
    <t>diamant</t>
  </si>
  <si>
    <t>coquille cuir bou</t>
  </si>
  <si>
    <t>76</t>
  </si>
  <si>
    <t>dague miséricorde</t>
  </si>
  <si>
    <t>35cm/0,4k</t>
  </si>
  <si>
    <t xml:space="preserve">dague  </t>
  </si>
  <si>
    <t>10e/t</t>
  </si>
  <si>
    <t>5</t>
  </si>
  <si>
    <t>10</t>
  </si>
  <si>
    <t>15</t>
  </si>
  <si>
    <t>dague de PARADE</t>
  </si>
  <si>
    <t>30cm/0,8k</t>
  </si>
  <si>
    <t>dague</t>
  </si>
  <si>
    <t>6t/e</t>
  </si>
  <si>
    <t>3</t>
  </si>
  <si>
    <t>6</t>
  </si>
  <si>
    <t>9</t>
  </si>
  <si>
    <t>arbalète légère</t>
  </si>
  <si>
    <t>50cm/2,k</t>
  </si>
  <si>
    <t>10e</t>
  </si>
  <si>
    <t>miséricorde</t>
  </si>
  <si>
    <t>arbalète à main</t>
  </si>
  <si>
    <t>ceinture</t>
  </si>
  <si>
    <t>stylet + étui</t>
  </si>
  <si>
    <t>poison mortel 10EN/10ph</t>
  </si>
  <si>
    <t>dague de lancer</t>
  </si>
  <si>
    <t>coiffe cuir enchantée</t>
  </si>
  <si>
    <t>récent</t>
  </si>
  <si>
    <t>région</t>
  </si>
  <si>
    <t>q40</t>
  </si>
  <si>
    <t>originale</t>
  </si>
  <si>
    <t>contre froid/chaud/usure</t>
  </si>
  <si>
    <t>une classe de test en plus</t>
  </si>
  <si>
    <t>médaillon DARGOS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</si>
  <si>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</si>
  <si>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coquille</t>
  </si>
  <si>
    <t>topaze</t>
  </si>
  <si>
    <t>en collier</t>
  </si>
  <si>
    <t>gant de cuir</t>
  </si>
  <si>
    <t>besace</t>
  </si>
  <si>
    <t>bandage</t>
  </si>
  <si>
    <t>attèle</t>
  </si>
  <si>
    <t>baume</t>
  </si>
  <si>
    <t>tisane contre froid</t>
  </si>
  <si>
    <t>lanterne</t>
  </si>
  <si>
    <t>croc ours +20%</t>
  </si>
  <si>
    <t>&gt;&gt; chariot</t>
  </si>
  <si>
    <t xml:space="preserve">couteaux équarrissage </t>
  </si>
  <si>
    <t>loin</t>
  </si>
  <si>
    <t>sous caldan</t>
  </si>
  <si>
    <t>carreaux arbalète</t>
  </si>
  <si>
    <t>matériel de médecine</t>
  </si>
  <si>
    <t>collier de guerre de chien</t>
  </si>
  <si>
    <t>de Carosse</t>
  </si>
  <si>
    <t>yeux de loup</t>
  </si>
  <si>
    <t>peaux de loup</t>
  </si>
  <si>
    <t>sang de loup</t>
  </si>
  <si>
    <t>corne minotaure</t>
  </si>
  <si>
    <t>sabot minotaure</t>
  </si>
  <si>
    <t>dent minotaure</t>
  </si>
  <si>
    <t>anneaux mino</t>
  </si>
  <si>
    <t>poing ferré mino</t>
  </si>
  <si>
    <t>CABANOU</t>
  </si>
  <si>
    <t>BESACE</t>
  </si>
  <si>
    <t>le Taureau</t>
  </si>
  <si>
    <t>16/3/975</t>
  </si>
  <si>
    <t>châtain</t>
  </si>
  <si>
    <t>très large</t>
  </si>
  <si>
    <t>bonne</t>
  </si>
  <si>
    <t>Arnaud</t>
  </si>
  <si>
    <t>bas nuque</t>
  </si>
  <si>
    <t>duvet</t>
  </si>
  <si>
    <t>violent</t>
  </si>
  <si>
    <t>violent Vx3</t>
  </si>
  <si>
    <t>très mauvais</t>
  </si>
  <si>
    <t>cynophobe Vx2</t>
  </si>
  <si>
    <t>dargos</t>
  </si>
  <si>
    <t>guerre</t>
  </si>
  <si>
    <t>chasse</t>
  </si>
  <si>
    <t>fauconnier +</t>
  </si>
  <si>
    <t>éclaireur</t>
  </si>
  <si>
    <t>itinérante</t>
  </si>
  <si>
    <t>foyer +</t>
  </si>
  <si>
    <t>1+ 2-3-4 partis</t>
  </si>
  <si>
    <t>centrale</t>
  </si>
  <si>
    <t>-1 souffle /Tour</t>
  </si>
  <si>
    <t>aidé par son père</t>
  </si>
  <si>
    <t>TG coût+5%</t>
  </si>
  <si>
    <t>trou oreille droite</t>
  </si>
  <si>
    <t>balance</t>
  </si>
  <si>
    <t>chasseur</t>
  </si>
  <si>
    <t>A -  Ciblage : malus visée-20%</t>
  </si>
  <si>
    <t>[A] -  Meute : Moral+2 si plus de 4 en combat</t>
  </si>
  <si>
    <t>A -  Vision : Vue+5</t>
  </si>
  <si>
    <t>plomb</t>
  </si>
  <si>
    <t>Th V B M</t>
  </si>
  <si>
    <t>botte cuir léger</t>
  </si>
  <si>
    <t>P</t>
  </si>
  <si>
    <t>calot</t>
  </si>
  <si>
    <t>T</t>
  </si>
  <si>
    <t>chausses cuir</t>
  </si>
  <si>
    <t>J</t>
  </si>
  <si>
    <t>rondache Q++</t>
  </si>
  <si>
    <t>75/1,7</t>
  </si>
  <si>
    <t xml:space="preserve">épée  </t>
  </si>
  <si>
    <t xml:space="preserve">lance </t>
  </si>
  <si>
    <t>250c/3,5k</t>
  </si>
  <si>
    <t>le fendeur</t>
  </si>
  <si>
    <t>75/1,4</t>
  </si>
  <si>
    <t>cimeterre</t>
  </si>
  <si>
    <t>7e</t>
  </si>
  <si>
    <t>13</t>
  </si>
  <si>
    <t>21</t>
  </si>
  <si>
    <t>5t</t>
  </si>
  <si>
    <t>arc 7e</t>
  </si>
  <si>
    <t>50c/2,5k</t>
  </si>
  <si>
    <t>8e</t>
  </si>
  <si>
    <t>8</t>
  </si>
  <si>
    <t>12</t>
  </si>
  <si>
    <t>maille compagnie</t>
  </si>
  <si>
    <t>épée compagnie</t>
  </si>
  <si>
    <t>rondache compagnie améliorée</t>
  </si>
  <si>
    <t>q++</t>
  </si>
  <si>
    <t>malus VO=0 R-6</t>
  </si>
  <si>
    <t>fourreau</t>
  </si>
  <si>
    <t>calot de cuir</t>
  </si>
  <si>
    <t>cimeterre "le fendeur" + fourreau des LECHIEN</t>
  </si>
  <si>
    <t xml:space="preserve">spécial </t>
  </si>
  <si>
    <t>zen'dali</t>
  </si>
  <si>
    <t>rare</t>
  </si>
  <si>
    <t xml:space="preserve">E- - </t>
  </si>
  <si>
    <t>très récent</t>
  </si>
  <si>
    <t>locale</t>
  </si>
  <si>
    <t>déf</t>
  </si>
  <si>
    <t>gourde 3l</t>
  </si>
  <si>
    <t>arc composite</t>
  </si>
  <si>
    <t>lacets</t>
  </si>
  <si>
    <t>nourriture</t>
  </si>
  <si>
    <t>flèches</t>
  </si>
  <si>
    <t>lance</t>
  </si>
  <si>
    <t>selle</t>
  </si>
  <si>
    <t>amadou &amp; silex &amp; chiffon</t>
  </si>
  <si>
    <t>bandages</t>
  </si>
  <si>
    <t>baumes anti brûlure</t>
  </si>
  <si>
    <t>beaux vêtements (braies, tunique, chapeau)</t>
  </si>
  <si>
    <t>bougies</t>
  </si>
  <si>
    <t>bure de moine</t>
  </si>
  <si>
    <t>carreau</t>
  </si>
  <si>
    <t>chaudron &amp; crémailière</t>
  </si>
  <si>
    <t>chausses de laine épaisse</t>
  </si>
  <si>
    <t>clous</t>
  </si>
  <si>
    <t>clous escalade</t>
  </si>
  <si>
    <t>collets à petit giviers</t>
  </si>
  <si>
    <t>corde escalade 10m</t>
  </si>
  <si>
    <t>corde lien 5m</t>
  </si>
  <si>
    <t>couverture</t>
  </si>
  <si>
    <t>entraves</t>
  </si>
  <si>
    <t>grand sac à dos 50L</t>
  </si>
  <si>
    <t>grappin</t>
  </si>
  <si>
    <t>hache à bois</t>
  </si>
  <si>
    <t>huile lampe</t>
  </si>
  <si>
    <t>lampe à huile</t>
  </si>
  <si>
    <t>matériel écriture</t>
  </si>
  <si>
    <t>outre</t>
  </si>
  <si>
    <t>parchemins</t>
  </si>
  <si>
    <t>parfum lavande</t>
  </si>
  <si>
    <t>pelle</t>
  </si>
  <si>
    <t>petit marteau</t>
  </si>
  <si>
    <t>pièges à loup</t>
  </si>
  <si>
    <t>pierres à affûter</t>
  </si>
  <si>
    <t>épées à troquer</t>
  </si>
  <si>
    <t>pots de conservation - terre cuite</t>
  </si>
  <si>
    <t>sac à lanière 10L</t>
  </si>
  <si>
    <t>sacs à anse 5L</t>
  </si>
  <si>
    <t>seaux</t>
  </si>
  <si>
    <t>serpe</t>
  </si>
  <si>
    <t>scie</t>
  </si>
  <si>
    <t>tente 2 personne</t>
  </si>
  <si>
    <t>tisane soins</t>
  </si>
  <si>
    <t>tisane froid</t>
  </si>
  <si>
    <t>torches</t>
  </si>
  <si>
    <t>vêtements laine chauds</t>
  </si>
  <si>
    <t>vin de plante (hypocras)</t>
  </si>
  <si>
    <t>bourse poison</t>
  </si>
  <si>
    <t>assez récent</t>
  </si>
  <si>
    <t>régionale</t>
  </si>
  <si>
    <t>orig</t>
  </si>
  <si>
    <t>ancien+50</t>
  </si>
  <si>
    <t>grot</t>
  </si>
  <si>
    <t>quarreaux</t>
  </si>
  <si>
    <t>étrangère +30</t>
  </si>
  <si>
    <t>ceinture cuir</t>
  </si>
  <si>
    <t>bottes</t>
  </si>
  <si>
    <t>spécial +100</t>
  </si>
  <si>
    <t>lacets cuir</t>
  </si>
  <si>
    <t>besace à dos en cuir</t>
  </si>
  <si>
    <t>TG</t>
  </si>
  <si>
    <t>cape cuir</t>
  </si>
  <si>
    <t>capes noires</t>
  </si>
  <si>
    <t>tunique laine</t>
  </si>
  <si>
    <t>KROUSK</t>
  </si>
  <si>
    <t>14/8/978</t>
  </si>
  <si>
    <t>noir</t>
  </si>
  <si>
    <t>pâle</t>
  </si>
  <si>
    <t>Kar</t>
  </si>
  <si>
    <t>hors mariage (métisse)</t>
  </si>
  <si>
    <t>crépus</t>
  </si>
  <si>
    <t>vindicative</t>
  </si>
  <si>
    <t>AVARICE</t>
  </si>
  <si>
    <t>voleuse</t>
  </si>
  <si>
    <t>mercernaire mort à 55</t>
  </si>
  <si>
    <t>5ième sur 6 (1 mort)</t>
  </si>
  <si>
    <t>éloignée</t>
  </si>
  <si>
    <t>morte à 57 ans pendant traversée</t>
  </si>
  <si>
    <t>crastara</t>
  </si>
  <si>
    <t>puissant ennemi à tes trousses</t>
  </si>
  <si>
    <t>cosmopolite : CPA TG-10%</t>
  </si>
  <si>
    <t>clef d'une prison où se trouve meilleur ami</t>
  </si>
  <si>
    <t>grandeur EI</t>
  </si>
  <si>
    <t>A -  Opportunité : I(rai)+10</t>
  </si>
  <si>
    <t>[A] -  Solitaire : bonus TG+10 si action solo</t>
  </si>
  <si>
    <t>reflet</t>
  </si>
  <si>
    <t>pleine yael</t>
  </si>
  <si>
    <t>mat crochetage</t>
  </si>
  <si>
    <t>cassette bois massif rare</t>
  </si>
  <si>
    <t>q+</t>
  </si>
  <si>
    <t>flasque sang KO</t>
  </si>
  <si>
    <t>collet petit animal</t>
  </si>
  <si>
    <t>matériel grimage</t>
  </si>
  <si>
    <t>bague  améthyte x 2 + turquoise</t>
  </si>
  <si>
    <t>anneaux argent</t>
  </si>
  <si>
    <t>RARST(voir détail dans liste trésor)</t>
  </si>
  <si>
    <t>collier cuivre avec 8 perles --&gt; J</t>
  </si>
  <si>
    <t xml:space="preserve">lien race humain </t>
  </si>
  <si>
    <t>grotes</t>
  </si>
  <si>
    <t>arc court</t>
  </si>
  <si>
    <t>fronde</t>
  </si>
  <si>
    <t>armure cuir compagnie</t>
  </si>
  <si>
    <t>épée</t>
  </si>
  <si>
    <t>cape de cuir</t>
  </si>
  <si>
    <t>mitaines de laine</t>
  </si>
  <si>
    <t>casque de cuir</t>
  </si>
  <si>
    <t>TOM</t>
  </si>
  <si>
    <t>mat grimage</t>
  </si>
  <si>
    <t>plume</t>
  </si>
  <si>
    <t>parchemin</t>
  </si>
  <si>
    <t>pierre de fronde</t>
  </si>
  <si>
    <t>cape de fourrure</t>
  </si>
  <si>
    <t>titre propriété cabanon Haut Vol</t>
  </si>
  <si>
    <t>médaillon EI - lumière divine 6/4</t>
  </si>
  <si>
    <t>1-1000ak</t>
  </si>
  <si>
    <t>domonar/Goled</t>
  </si>
  <si>
    <t>défaut</t>
  </si>
  <si>
    <t>e+</t>
  </si>
  <si>
    <t>TOM-besace</t>
  </si>
  <si>
    <t>dague miséricorde &amp; fourreau</t>
  </si>
  <si>
    <t>E+2 R+3 V-1 T-1</t>
  </si>
  <si>
    <t>dague de parade</t>
  </si>
  <si>
    <t>R+5 V-1</t>
  </si>
  <si>
    <t>dague personnelle</t>
  </si>
  <si>
    <t>mitaine ocre en tissu épais</t>
  </si>
  <si>
    <t>carquois</t>
  </si>
  <si>
    <t>Tom</t>
  </si>
  <si>
    <t>parade</t>
  </si>
  <si>
    <t>30cm/0,5k</t>
  </si>
  <si>
    <t>dague de plat</t>
  </si>
  <si>
    <t>25cm/0,4k</t>
  </si>
  <si>
    <t>arbalète</t>
  </si>
  <si>
    <t>50cm 2,5k</t>
  </si>
  <si>
    <t>+17</t>
  </si>
  <si>
    <t>6e/t</t>
  </si>
  <si>
    <t>4te</t>
  </si>
  <si>
    <t>épée longue</t>
  </si>
  <si>
    <t>reçu par chapelle royale</t>
  </si>
  <si>
    <t xml:space="preserve">onyx préparée </t>
  </si>
  <si>
    <t>A1</t>
  </si>
  <si>
    <t>O2</t>
  </si>
  <si>
    <t>regen x 2 (bonus sort EO, coma si perdu)</t>
  </si>
  <si>
    <t>Recherche +économie</t>
  </si>
  <si>
    <t>réserve</t>
  </si>
  <si>
    <t>collier Gapsur chef KO</t>
  </si>
  <si>
    <t>3PdN/j</t>
  </si>
  <si>
    <t>tot 15/j</t>
  </si>
  <si>
    <t>Tom encombrement</t>
  </si>
  <si>
    <t>10-20</t>
  </si>
  <si>
    <t>3302-6350</t>
  </si>
  <si>
    <t>21-29</t>
  </si>
  <si>
    <t>6351-9525</t>
  </si>
  <si>
    <t>31-39</t>
  </si>
  <si>
    <t>9526-12700</t>
  </si>
  <si>
    <t>Amulette de Gav'Reel</t>
  </si>
  <si>
    <t>9/7</t>
  </si>
  <si>
    <t>rma</t>
  </si>
  <si>
    <t>pdm</t>
  </si>
  <si>
    <t>reg</t>
  </si>
  <si>
    <t>forme</t>
  </si>
  <si>
    <t>nem/ne</t>
  </si>
  <si>
    <t>défaut, longueurs différentes</t>
  </si>
  <si>
    <t>taille</t>
  </si>
  <si>
    <t>grande</t>
  </si>
  <si>
    <t>qualité</t>
  </si>
  <si>
    <t>origine</t>
  </si>
  <si>
    <t>trouvée dans un temple EI</t>
  </si>
  <si>
    <t>description</t>
  </si>
  <si>
    <t>serpent d'or aux yeux étoilés (gemmes)</t>
  </si>
  <si>
    <t>propriété de base</t>
  </si>
  <si>
    <t>propriété 1</t>
  </si>
  <si>
    <t>propriété 2</t>
  </si>
  <si>
    <t>rma+2</t>
  </si>
  <si>
    <t xml:space="preserve">détection piège </t>
  </si>
  <si>
    <t>1x/h, pas les magiques, lueurs dans vue, les 7 les + proches</t>
  </si>
  <si>
    <t>sort DS2, distance 130m, durée 9 t, coût 16 mana</t>
  </si>
  <si>
    <t>communication</t>
  </si>
  <si>
    <t>perception émotion cible si rate V(res)x1, 1x/t</t>
  </si>
  <si>
    <t>sort DS3, durée 10t, distance 700m, rma active, 17 mana</t>
  </si>
  <si>
    <t>8/8</t>
  </si>
  <si>
    <t>communication divine</t>
  </si>
  <si>
    <t>tous les mammifères en vue, permament, 1x/t, 9x/j</t>
  </si>
  <si>
    <t>Fée de Shuni des ruines de DOR en KODOS</t>
  </si>
  <si>
    <t>comme pouvoir inné, lié à l'alliance avec Shuni</t>
  </si>
  <si>
    <t>POUVOIR</t>
  </si>
  <si>
    <t>RELIQUE</t>
  </si>
  <si>
    <t>Reliques/Pouvoir/PN</t>
  </si>
  <si>
    <t>PN</t>
  </si>
  <si>
    <t>Onyx préparée</t>
  </si>
  <si>
    <t>si po</t>
  </si>
  <si>
    <t>si portée, si perdue alors coma 1D10h, Regen x2, bonus+5 sorts EO (-1EN par sort lancé)</t>
  </si>
  <si>
    <t>petit défaut V-30</t>
  </si>
  <si>
    <t>état</t>
  </si>
  <si>
    <t>E++</t>
  </si>
  <si>
    <t>achetée et préparée, récente</t>
  </si>
  <si>
    <t>coiffe du Renard Blanc</t>
  </si>
  <si>
    <t>coiffe de cuir ourlée de fourrure de renard</t>
  </si>
  <si>
    <t>8/4</t>
  </si>
  <si>
    <t>originale à cause des 4 yeux à l'arrière</t>
  </si>
  <si>
    <t>issue du Monde Ancien</t>
  </si>
  <si>
    <t>moyen</t>
  </si>
  <si>
    <t>chaud et froid</t>
  </si>
  <si>
    <t>une classe de test gagnée pour tous les tests de froid, chaud, usure</t>
  </si>
  <si>
    <t>bague de Dar'Gos</t>
  </si>
  <si>
    <t>Jade enchantée</t>
  </si>
  <si>
    <t>collier de jade enchantée</t>
  </si>
  <si>
    <t>collier d'argent</t>
  </si>
  <si>
    <t>trouvée</t>
  </si>
  <si>
    <t>collier portée en vue: passage entre monde effets/8, f+10, en+10, immunité 50% sort maladie/corruption</t>
  </si>
  <si>
    <t>plongée dans l'eau + gobelete argent Q+ pendant 10min : potion soigne maladie (8/8) si bu dans la minute</t>
  </si>
  <si>
    <t>chariot</t>
  </si>
  <si>
    <t xml:space="preserve">Bague améthyste préparée x 2 </t>
  </si>
  <si>
    <t>anneaux d'argent</t>
  </si>
  <si>
    <t>Bague turquoise</t>
  </si>
  <si>
    <t>coffre de RARST</t>
  </si>
  <si>
    <t>VIT+1</t>
  </si>
  <si>
    <t xml:space="preserve">+10 esca nage trans </t>
  </si>
  <si>
    <t>COLLIER</t>
  </si>
  <si>
    <t>rendu</t>
  </si>
  <si>
    <t>amulette de Gavreel</t>
  </si>
  <si>
    <t>Pouvoir de la fée Shuni --&gt; annulé</t>
  </si>
  <si>
    <t>Médaillon de Liam'Star</t>
  </si>
  <si>
    <t>10/10</t>
  </si>
  <si>
    <t>très petit</t>
  </si>
  <si>
    <t xml:space="preserve">trouvée dans un temple ATROR sur squelette </t>
  </si>
  <si>
    <t>Protection Temple</t>
  </si>
  <si>
    <t>Repousse Ennemi</t>
  </si>
  <si>
    <t>rma+3</t>
  </si>
  <si>
    <t>étoile 8 branches, 2 par deux avec Livre fermé gracé dedans, bronze, lourd, aligné EI</t>
  </si>
  <si>
    <t>force le propriété à défendre le Temple et la Maille, Korinte et ses Trésors</t>
  </si>
  <si>
    <t>impose Foi(cible)/10 Malus généraux, perte 10 EN, 10 Mana, 10 PdF</t>
  </si>
  <si>
    <t>bronze mat</t>
  </si>
  <si>
    <t>permanent, chaque jour, test Foi EI, si raté --&gt; Foi EI+1</t>
  </si>
  <si>
    <t>Acroba 70/6</t>
  </si>
  <si>
    <t>Agricul 10/3</t>
  </si>
  <si>
    <t>Alchi 70/7</t>
  </si>
  <si>
    <t>Archer 40/6</t>
  </si>
  <si>
    <t>Armure 50/7</t>
  </si>
  <si>
    <t>Assass 90/9</t>
  </si>
  <si>
    <t>Astrolo 70/9</t>
  </si>
  <si>
    <t>Baratin 10/4</t>
  </si>
  <si>
    <t>Brass 20/4</t>
  </si>
  <si>
    <t>Callig + 40/6</t>
  </si>
  <si>
    <t>cartogr 80/9</t>
  </si>
  <si>
    <t>Cavale 80/7</t>
  </si>
  <si>
    <t>Chant 30/6</t>
  </si>
  <si>
    <t>Charpen 20/7</t>
  </si>
  <si>
    <t>Chasse 50/6</t>
  </si>
  <si>
    <t>Coméd 30/5</t>
  </si>
  <si>
    <t>Commer 40/6</t>
  </si>
  <si>
    <t>Con nav 40/7</t>
  </si>
  <si>
    <t>Constru 30/7</t>
  </si>
  <si>
    <t>Convoy 30/4</t>
  </si>
  <si>
    <t>Corrupt 10/5</t>
  </si>
  <si>
    <t>Coupe 40/6</t>
  </si>
  <si>
    <t>Coutu 20/5</t>
  </si>
  <si>
    <t>Créati 40/7</t>
  </si>
  <si>
    <t>Crimina 80/8</t>
  </si>
  <si>
    <t>Cueill 10/3</t>
  </si>
  <si>
    <t>Cuir 30/5</t>
  </si>
  <si>
    <t>Cuisine 20/5</t>
  </si>
  <si>
    <t>Danse 30/6</t>
  </si>
  <si>
    <t>Diploma 70/7</t>
  </si>
  <si>
    <t>Dissimu 10/5</t>
  </si>
  <si>
    <t>Ébénis 40/7</t>
  </si>
  <si>
    <t>Éleva+ 20/4</t>
  </si>
  <si>
    <t>Équarri 40/7</t>
  </si>
  <si>
    <t>Escala 10/6</t>
  </si>
  <si>
    <t>Forge 50/7</t>
  </si>
  <si>
    <t>Gesti +60/4</t>
  </si>
  <si>
    <t>Héraldi 50/7</t>
  </si>
  <si>
    <t>Herbori 50/7</t>
  </si>
  <si>
    <t>Ingéni 50/8</t>
  </si>
  <si>
    <t>Intrigue 40/6</t>
  </si>
  <si>
    <t>Jeu 40/6</t>
  </si>
  <si>
    <t>Joaill 60/9</t>
  </si>
  <si>
    <t>Lang Div+50/9</t>
  </si>
  <si>
    <t>L. n-hum+30/8</t>
  </si>
  <si>
    <t>L. signes 10/3</t>
  </si>
  <si>
    <t>Lang+10/2</t>
  </si>
  <si>
    <t>Lectur+40/5</t>
  </si>
  <si>
    <t>Lect lèv+20/4</t>
  </si>
  <si>
    <t>Maçon 20/5</t>
  </si>
  <si>
    <t>Magie 90/9</t>
  </si>
  <si>
    <t>Maquil 20/6</t>
  </si>
  <si>
    <t>Marine 10/6</t>
  </si>
  <si>
    <t>Médeci 70/6</t>
  </si>
  <si>
    <t>Mendic 10/2</t>
  </si>
  <si>
    <t>Mine 30/4</t>
  </si>
  <si>
    <t>Minér 70/7</t>
  </si>
  <si>
    <t>Musi+30/6</t>
  </si>
  <si>
    <t>Nag 10/4</t>
  </si>
  <si>
    <t>Navi 70/9</t>
  </si>
  <si>
    <t>Pêch 30/2</t>
  </si>
  <si>
    <t>Pièg 10/4</t>
  </si>
  <si>
    <t>Piét 50/2</t>
  </si>
  <si>
    <t>Pist 10/2</t>
  </si>
  <si>
    <t>Pois 40/6</t>
  </si>
  <si>
    <t>Pote 10/4</t>
  </si>
  <si>
    <t>Rech 90/8</t>
  </si>
  <si>
    <t>Reli 60/5</t>
  </si>
  <si>
    <t>Résil 50/8</t>
  </si>
  <si>
    <t>Rhét 20/5</t>
  </si>
  <si>
    <t>Scul 50/4</t>
  </si>
  <si>
    <t>Serv 10/3</t>
  </si>
  <si>
    <t>Sexe 20/4</t>
  </si>
  <si>
    <t>Strat 90/9</t>
  </si>
  <si>
    <t>Tort 30/5</t>
  </si>
  <si>
    <t>Tra 10/2</t>
  </si>
  <si>
    <t>Traq 20/5</t>
  </si>
  <si>
    <t>Usure 30/6</t>
  </si>
  <si>
    <t>Vol 60/7</t>
  </si>
  <si>
    <t>Arbal 40/4</t>
  </si>
  <si>
    <t>Arc 20/6</t>
  </si>
  <si>
    <t>Armu Nx10/*</t>
  </si>
  <si>
    <t>Art cbt 60/8</t>
  </si>
  <si>
    <t>Atta 20/2</t>
  </si>
  <si>
    <t>Bouc 20/5</t>
  </si>
  <si>
    <t>Char 10/2</t>
  </si>
  <si>
    <t>Cbt ch 40/6</t>
  </si>
  <si>
    <t>Cbt 2 ar 20/7</t>
  </si>
  <si>
    <t>Dague 20/4</t>
  </si>
  <si>
    <t>Défen 20/2</t>
  </si>
  <si>
    <t>Dive 40/7</t>
  </si>
  <si>
    <t>Embu 20/5</t>
  </si>
  <si>
    <t>Épée 30/6</t>
  </si>
  <si>
    <t>Esqu 10/4</t>
  </si>
  <si>
    <t>Fron 20/3</t>
  </si>
  <si>
    <t>Fuit 10/3</t>
  </si>
  <si>
    <t>Hach 30/6</t>
  </si>
  <si>
    <t>Lanc 40/7</t>
  </si>
  <si>
    <t>Mass 30/7</t>
  </si>
  <si>
    <t>Mêlé 10/5</t>
  </si>
  <si>
    <t>Obéi 10/3</t>
  </si>
  <si>
    <t>Piqu 10/4</t>
  </si>
  <si>
    <t>Réac 20/5</t>
  </si>
  <si>
    <t>Rési 10/4</t>
  </si>
  <si>
    <t>Sièg 20/7</t>
  </si>
  <si>
    <t>Vite 10/5</t>
  </si>
  <si>
    <t>Mont</t>
  </si>
  <si>
    <t>Marais</t>
  </si>
  <si>
    <t>C.eau</t>
  </si>
  <si>
    <t>Plain</t>
  </si>
  <si>
    <t>Sout</t>
  </si>
  <si>
    <t>ama x5</t>
  </si>
  <si>
    <t>vo x2 M x4</t>
  </si>
  <si>
    <t>vd x2 vo x3</t>
  </si>
  <si>
    <t>vo x2</t>
  </si>
  <si>
    <t>si porté sur soi, à utiliser</t>
  </si>
  <si>
    <t>si porté sur soi, permanent</t>
  </si>
  <si>
    <t>émet une gêne sur NE cibles à la fois, choisies, alignées EO/KO/EA, sort offensif, 20 mana</t>
  </si>
  <si>
    <t>viande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</si>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</sst>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+0\ ;\-0\ "/>
    <numFmt numFmtId="165" formatCode="#"/>
    <numFmt numFmtId="166" formatCode="0.0"/>
  </numFmts>
  <fonts count="28" x14ac:knownFonts="1">
    <font>
      <sz val="10"/>
      <name val="Arial"/>
    </font>
    <font>
      <b/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sz val="10"/>
      <name val="Tahoma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Arial"/>
      <family val="2"/>
    </font>
    <font>
      <sz val="10"/>
      <name val="Calibri"/>
      <family val="2"/>
    </font>
    <font>
      <sz val="10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 tint="0.79998168889431442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Arial"/>
      <family val="2"/>
    </font>
    <font>
      <b/>
      <sz val="12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FAFEC6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FFAB8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8">
    <xf numFmtId="0" fontId="0" fillId="0" borderId="0" xfId="0"/>
    <xf numFmtId="0" fontId="6" fillId="0" borderId="0" xfId="0" applyFont="1"/>
    <xf numFmtId="0" fontId="7" fillId="0" borderId="1" xfId="0" applyFont="1" applyBorder="1"/>
    <xf numFmtId="0" fontId="6" fillId="0" borderId="4" xfId="0" applyFont="1" applyBorder="1"/>
    <xf numFmtId="0" fontId="6" fillId="0" borderId="20" xfId="0" applyFont="1" applyBorder="1"/>
    <xf numFmtId="0" fontId="0" fillId="0" borderId="0" xfId="0" applyAlignment="1">
      <alignment horizontal="center"/>
    </xf>
    <xf numFmtId="0" fontId="6" fillId="0" borderId="29" xfId="0" applyFont="1" applyBorder="1"/>
    <xf numFmtId="0" fontId="10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left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2" borderId="25" xfId="0" applyFont="1" applyFill="1" applyBorder="1" applyAlignment="1">
      <alignment horizontal="left" vertical="center" wrapText="1"/>
    </xf>
    <xf numFmtId="0" fontId="11" fillId="12" borderId="25" xfId="0" applyFont="1" applyFill="1" applyBorder="1" applyAlignment="1">
      <alignment horizontal="center" vertical="center" wrapText="1"/>
    </xf>
    <xf numFmtId="0" fontId="11" fillId="13" borderId="25" xfId="0" applyFont="1" applyFill="1" applyBorder="1" applyAlignment="1">
      <alignment horizontal="left" vertical="center" wrapText="1"/>
    </xf>
    <xf numFmtId="0" fontId="11" fillId="13" borderId="25" xfId="0" applyFont="1" applyFill="1" applyBorder="1" applyAlignment="1">
      <alignment horizontal="center" vertical="center" wrapText="1"/>
    </xf>
    <xf numFmtId="0" fontId="11" fillId="14" borderId="25" xfId="0" applyFont="1" applyFill="1" applyBorder="1" applyAlignment="1">
      <alignment horizontal="left" vertical="center" wrapText="1"/>
    </xf>
    <xf numFmtId="0" fontId="11" fillId="14" borderId="25" xfId="0" applyFont="1" applyFill="1" applyBorder="1" applyAlignment="1">
      <alignment horizontal="center" vertical="center" wrapText="1"/>
    </xf>
    <xf numFmtId="0" fontId="11" fillId="15" borderId="25" xfId="0" applyFont="1" applyFill="1" applyBorder="1" applyAlignment="1">
      <alignment horizontal="left" vertical="center" wrapText="1"/>
    </xf>
    <xf numFmtId="0" fontId="11" fillId="15" borderId="25" xfId="0" applyFont="1" applyFill="1" applyBorder="1" applyAlignment="1">
      <alignment horizontal="center" vertical="center" wrapText="1"/>
    </xf>
    <xf numFmtId="0" fontId="11" fillId="16" borderId="25" xfId="0" applyFont="1" applyFill="1" applyBorder="1" applyAlignment="1">
      <alignment horizontal="left" vertical="center" wrapText="1"/>
    </xf>
    <xf numFmtId="0" fontId="11" fillId="16" borderId="25" xfId="0" applyFont="1" applyFill="1" applyBorder="1" applyAlignment="1">
      <alignment horizontal="center" vertical="center" wrapText="1"/>
    </xf>
    <xf numFmtId="0" fontId="0" fillId="0" borderId="25" xfId="0" applyBorder="1"/>
    <xf numFmtId="0" fontId="12" fillId="0" borderId="25" xfId="0" applyFont="1" applyBorder="1" applyAlignment="1">
      <alignment horizontal="justify" vertical="center" wrapText="1"/>
    </xf>
    <xf numFmtId="0" fontId="12" fillId="17" borderId="25" xfId="0" applyFont="1" applyFill="1" applyBorder="1" applyAlignment="1">
      <alignment horizontal="center" vertical="center" wrapText="1"/>
    </xf>
    <xf numFmtId="0" fontId="12" fillId="18" borderId="25" xfId="0" applyFont="1" applyFill="1" applyBorder="1" applyAlignment="1">
      <alignment horizontal="center" vertical="center" wrapText="1"/>
    </xf>
    <xf numFmtId="0" fontId="12" fillId="19" borderId="2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20" borderId="25" xfId="0" applyFont="1" applyFill="1" applyBorder="1" applyAlignment="1">
      <alignment horizontal="center" vertical="center" wrapText="1"/>
    </xf>
    <xf numFmtId="0" fontId="12" fillId="21" borderId="25" xfId="0" applyFont="1" applyFill="1" applyBorder="1" applyAlignment="1">
      <alignment horizontal="center" vertical="center" wrapText="1"/>
    </xf>
    <xf numFmtId="0" fontId="12" fillId="22" borderId="25" xfId="0" applyFont="1" applyFill="1" applyBorder="1" applyAlignment="1">
      <alignment horizontal="center" vertical="center" wrapText="1"/>
    </xf>
    <xf numFmtId="11" fontId="12" fillId="0" borderId="25" xfId="0" applyNumberFormat="1" applyFont="1" applyBorder="1" applyAlignment="1">
      <alignment horizontal="justify" vertical="center" wrapText="1"/>
    </xf>
    <xf numFmtId="11" fontId="0" fillId="0" borderId="0" xfId="0" applyNumberFormat="1"/>
    <xf numFmtId="0" fontId="13" fillId="0" borderId="25" xfId="0" applyFont="1" applyBorder="1" applyAlignment="1">
      <alignment horizontal="justify" vertical="center" wrapText="1"/>
    </xf>
    <xf numFmtId="0" fontId="13" fillId="17" borderId="25" xfId="0" applyFont="1" applyFill="1" applyBorder="1" applyAlignment="1">
      <alignment horizontal="center" vertical="center" wrapText="1"/>
    </xf>
    <xf numFmtId="0" fontId="13" fillId="18" borderId="25" xfId="0" applyFont="1" applyFill="1" applyBorder="1" applyAlignment="1">
      <alignment horizontal="center" vertical="center" wrapText="1"/>
    </xf>
    <xf numFmtId="0" fontId="13" fillId="19" borderId="25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20" borderId="25" xfId="0" applyFont="1" applyFill="1" applyBorder="1" applyAlignment="1">
      <alignment horizontal="center" vertical="center" wrapText="1"/>
    </xf>
    <xf numFmtId="0" fontId="13" fillId="21" borderId="25" xfId="0" applyFont="1" applyFill="1" applyBorder="1" applyAlignment="1">
      <alignment horizontal="center" vertical="center" wrapText="1"/>
    </xf>
    <xf numFmtId="0" fontId="13" fillId="22" borderId="25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right" vertical="center" wrapText="1"/>
    </xf>
    <xf numFmtId="0" fontId="4" fillId="0" borderId="0" xfId="0" applyFont="1"/>
    <xf numFmtId="0" fontId="11" fillId="14" borderId="27" xfId="0" applyFont="1" applyFill="1" applyBorder="1" applyAlignment="1">
      <alignment horizontal="left" vertical="center" wrapText="1"/>
    </xf>
    <xf numFmtId="0" fontId="11" fillId="14" borderId="2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left" vertical="center" wrapText="1"/>
    </xf>
    <xf numFmtId="0" fontId="4" fillId="30" borderId="25" xfId="0" applyFont="1" applyFill="1" applyBorder="1" applyAlignment="1">
      <alignment horizontal="center" vertical="center" wrapText="1"/>
    </xf>
    <xf numFmtId="0" fontId="4" fillId="30" borderId="25" xfId="0" applyFont="1" applyFill="1" applyBorder="1" applyAlignment="1">
      <alignment horizontal="left" vertical="center" wrapText="1"/>
    </xf>
    <xf numFmtId="0" fontId="4" fillId="30" borderId="0" xfId="0" applyFont="1" applyFill="1"/>
    <xf numFmtId="0" fontId="0" fillId="30" borderId="0" xfId="0" applyFill="1"/>
    <xf numFmtId="0" fontId="4" fillId="30" borderId="18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30" borderId="0" xfId="0" applyFill="1" applyAlignment="1">
      <alignment horizontal="center"/>
    </xf>
    <xf numFmtId="0" fontId="1" fillId="30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6" fillId="0" borderId="0" xfId="0" applyFont="1"/>
    <xf numFmtId="0" fontId="8" fillId="0" borderId="22" xfId="0" applyFont="1" applyBorder="1" applyProtection="1">
      <protection locked="0"/>
    </xf>
    <xf numFmtId="0" fontId="8" fillId="0" borderId="30" xfId="0" applyFont="1" applyBorder="1" applyProtection="1">
      <protection locked="0"/>
    </xf>
    <xf numFmtId="0" fontId="8" fillId="0" borderId="29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7" fillId="0" borderId="31" xfId="0" applyFont="1" applyBorder="1" applyProtection="1"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2" fillId="0" borderId="31" xfId="0" applyFont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7" borderId="20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6" fillId="7" borderId="20" xfId="0" quotePrefix="1" applyFont="1" applyFill="1" applyBorder="1" applyAlignment="1" applyProtection="1">
      <alignment horizontal="center"/>
      <protection locked="0"/>
    </xf>
    <xf numFmtId="0" fontId="8" fillId="0" borderId="31" xfId="0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33" xfId="0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6" fillId="0" borderId="31" xfId="0" applyFont="1" applyBorder="1" applyProtection="1"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2" fillId="2" borderId="32" xfId="0" applyFont="1" applyFill="1" applyBorder="1" applyProtection="1">
      <protection locked="0"/>
    </xf>
    <xf numFmtId="0" fontId="2" fillId="2" borderId="33" xfId="0" applyFont="1" applyFill="1" applyBorder="1" applyProtection="1">
      <protection locked="0"/>
    </xf>
    <xf numFmtId="0" fontId="2" fillId="2" borderId="31" xfId="0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6" fillId="2" borderId="16" xfId="0" applyFont="1" applyFill="1" applyBorder="1" applyAlignment="1" applyProtection="1">
      <alignment horizontal="left"/>
      <protection locked="0"/>
    </xf>
    <xf numFmtId="0" fontId="2" fillId="0" borderId="30" xfId="0" applyFont="1" applyBorder="1" applyProtection="1">
      <protection locked="0"/>
    </xf>
    <xf numFmtId="0" fontId="2" fillId="2" borderId="30" xfId="0" applyFont="1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2" borderId="32" xfId="0" applyFont="1" applyFill="1" applyBorder="1" applyAlignment="1" applyProtection="1">
      <alignment horizontal="left"/>
      <protection locked="0"/>
    </xf>
    <xf numFmtId="0" fontId="6" fillId="2" borderId="23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31" xfId="0" applyFont="1" applyFill="1" applyBorder="1" applyProtection="1"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3" borderId="29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2" fillId="0" borderId="32" xfId="0" applyFont="1" applyFill="1" applyBorder="1" applyProtection="1">
      <protection locked="0"/>
    </xf>
    <xf numFmtId="0" fontId="0" fillId="2" borderId="33" xfId="0" applyFill="1" applyBorder="1" applyAlignment="1" applyProtection="1">
      <alignment horizontal="left"/>
      <protection locked="0"/>
    </xf>
    <xf numFmtId="0" fontId="0" fillId="3" borderId="24" xfId="0" applyFill="1" applyBorder="1" applyProtection="1">
      <protection locked="0"/>
    </xf>
    <xf numFmtId="0" fontId="2" fillId="10" borderId="4" xfId="0" applyFont="1" applyFill="1" applyBorder="1" applyProtection="1">
      <protection locked="0"/>
    </xf>
    <xf numFmtId="0" fontId="0" fillId="10" borderId="4" xfId="0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6" fillId="2" borderId="4" xfId="0" quotePrefix="1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6" fillId="0" borderId="42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34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6" fillId="2" borderId="6" xfId="0" applyFont="1" applyFill="1" applyBorder="1" applyProtection="1">
      <protection locked="0"/>
    </xf>
    <xf numFmtId="49" fontId="6" fillId="2" borderId="43" xfId="0" applyNumberFormat="1" applyFont="1" applyFill="1" applyBorder="1" applyAlignment="1" applyProtection="1">
      <alignment horizontal="center"/>
      <protection locked="0"/>
    </xf>
    <xf numFmtId="49" fontId="6" fillId="2" borderId="6" xfId="0" quotePrefix="1" applyNumberFormat="1" applyFont="1" applyFill="1" applyBorder="1" applyAlignment="1" applyProtection="1">
      <alignment horizontal="center"/>
      <protection locked="0"/>
    </xf>
    <xf numFmtId="49" fontId="6" fillId="2" borderId="14" xfId="0" applyNumberFormat="1" applyFont="1" applyFill="1" applyBorder="1" applyAlignment="1" applyProtection="1">
      <alignment horizontal="center"/>
      <protection locked="0"/>
    </xf>
    <xf numFmtId="49" fontId="6" fillId="2" borderId="25" xfId="0" applyNumberFormat="1" applyFont="1" applyFill="1" applyBorder="1" applyAlignment="1" applyProtection="1">
      <alignment horizontal="center"/>
      <protection locked="0"/>
    </xf>
    <xf numFmtId="49" fontId="6" fillId="2" borderId="3" xfId="0" applyNumberFormat="1" applyFont="1" applyFill="1" applyBorder="1" applyAlignment="1" applyProtection="1">
      <alignment horizontal="center"/>
      <protection locked="0"/>
    </xf>
    <xf numFmtId="49" fontId="6" fillId="2" borderId="36" xfId="0" applyNumberFormat="1" applyFont="1" applyFill="1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 applyProtection="1">
      <alignment horizontal="center"/>
      <protection locked="0"/>
    </xf>
    <xf numFmtId="0" fontId="6" fillId="2" borderId="32" xfId="0" quotePrefix="1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49" fontId="6" fillId="2" borderId="44" xfId="0" applyNumberFormat="1" applyFont="1" applyFill="1" applyBorder="1" applyAlignment="1" applyProtection="1">
      <alignment horizontal="center"/>
      <protection locked="0"/>
    </xf>
    <xf numFmtId="49" fontId="6" fillId="2" borderId="26" xfId="0" applyNumberFormat="1" applyFont="1" applyFill="1" applyBorder="1" applyAlignment="1" applyProtection="1">
      <alignment horizontal="center"/>
      <protection locked="0"/>
    </xf>
    <xf numFmtId="49" fontId="6" fillId="2" borderId="27" xfId="0" applyNumberFormat="1" applyFont="1" applyFill="1" applyBorder="1" applyAlignment="1" applyProtection="1">
      <alignment horizontal="center"/>
      <protection locked="0"/>
    </xf>
    <xf numFmtId="49" fontId="6" fillId="2" borderId="10" xfId="0" applyNumberFormat="1" applyFont="1" applyFill="1" applyBorder="1" applyAlignment="1" applyProtection="1">
      <alignment horizontal="center"/>
      <protection locked="0"/>
    </xf>
    <xf numFmtId="49" fontId="6" fillId="2" borderId="37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>
      <protection locked="0"/>
    </xf>
    <xf numFmtId="49" fontId="6" fillId="2" borderId="2" xfId="0" quotePrefix="1" applyNumberFormat="1" applyFont="1" applyFill="1" applyBorder="1" applyAlignment="1" applyProtection="1">
      <alignment horizontal="center"/>
      <protection locked="0"/>
    </xf>
    <xf numFmtId="49" fontId="6" fillId="2" borderId="15" xfId="0" applyNumberFormat="1" applyFont="1" applyFill="1" applyBorder="1" applyAlignment="1" applyProtection="1">
      <alignment horizontal="center"/>
      <protection locked="0"/>
    </xf>
    <xf numFmtId="49" fontId="6" fillId="2" borderId="28" xfId="0" applyNumberFormat="1" applyFont="1" applyFill="1" applyBorder="1" applyAlignment="1" applyProtection="1">
      <alignment horizontal="center"/>
      <protection locked="0"/>
    </xf>
    <xf numFmtId="49" fontId="6" fillId="2" borderId="8" xfId="0" applyNumberFormat="1" applyFont="1" applyFill="1" applyBorder="1" applyAlignment="1" applyProtection="1">
      <alignment horizontal="center"/>
      <protection locked="0"/>
    </xf>
    <xf numFmtId="49" fontId="6" fillId="2" borderId="3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 applyProtection="1">
      <protection locked="0"/>
    </xf>
    <xf numFmtId="0" fontId="6" fillId="0" borderId="0" xfId="0" applyFont="1" applyProtection="1">
      <protection locked="0"/>
    </xf>
    <xf numFmtId="0" fontId="6" fillId="0" borderId="30" xfId="0" applyFont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3" borderId="20" xfId="0" applyFill="1" applyBorder="1" applyProtection="1">
      <protection locked="0"/>
    </xf>
    <xf numFmtId="0" fontId="7" fillId="5" borderId="31" xfId="0" applyFont="1" applyFill="1" applyBorder="1" applyProtection="1">
      <protection locked="0"/>
    </xf>
    <xf numFmtId="0" fontId="7" fillId="5" borderId="29" xfId="0" applyFont="1" applyFill="1" applyBorder="1" applyProtection="1">
      <protection locked="0"/>
    </xf>
    <xf numFmtId="0" fontId="7" fillId="5" borderId="22" xfId="0" applyFont="1" applyFill="1" applyBorder="1" applyAlignment="1" applyProtection="1">
      <alignment horizontal="center"/>
      <protection locked="0"/>
    </xf>
    <xf numFmtId="0" fontId="7" fillId="5" borderId="22" xfId="0" applyFont="1" applyFill="1" applyBorder="1" applyAlignment="1" applyProtection="1">
      <alignment horizontal="left"/>
      <protection locked="0"/>
    </xf>
    <xf numFmtId="0" fontId="7" fillId="5" borderId="31" xfId="0" applyFont="1" applyFill="1" applyBorder="1" applyAlignment="1" applyProtection="1">
      <alignment horizontal="left"/>
      <protection locked="0"/>
    </xf>
    <xf numFmtId="0" fontId="7" fillId="5" borderId="29" xfId="0" applyFont="1" applyFill="1" applyBorder="1" applyAlignment="1" applyProtection="1">
      <alignment horizontal="left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7" borderId="22" xfId="0" applyFont="1" applyFill="1" applyBorder="1" applyAlignment="1" applyProtection="1">
      <alignment horizontal="center"/>
      <protection locked="0"/>
    </xf>
    <xf numFmtId="0" fontId="7" fillId="5" borderId="29" xfId="0" applyFont="1" applyFill="1" applyBorder="1" applyAlignment="1" applyProtection="1">
      <alignment horizontal="center"/>
      <protection locked="0"/>
    </xf>
    <xf numFmtId="0" fontId="7" fillId="5" borderId="4" xfId="0" applyFont="1" applyFill="1" applyBorder="1" applyProtection="1">
      <protection locked="0"/>
    </xf>
    <xf numFmtId="0" fontId="7" fillId="5" borderId="20" xfId="0" applyFont="1" applyFill="1" applyBorder="1" applyProtection="1">
      <protection locked="0"/>
    </xf>
    <xf numFmtId="0" fontId="7" fillId="5" borderId="16" xfId="0" applyFont="1" applyFill="1" applyBorder="1" applyAlignment="1" applyProtection="1">
      <alignment horizontal="center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49" fontId="6" fillId="5" borderId="4" xfId="0" applyNumberFormat="1" applyFont="1" applyFill="1" applyBorder="1" applyAlignment="1" applyProtection="1">
      <alignment horizontal="left"/>
      <protection locked="0"/>
    </xf>
    <xf numFmtId="0" fontId="7" fillId="5" borderId="20" xfId="0" applyFont="1" applyFill="1" applyBorder="1" applyAlignment="1" applyProtection="1">
      <alignment horizontal="left"/>
      <protection locked="0"/>
    </xf>
    <xf numFmtId="0" fontId="6" fillId="5" borderId="16" xfId="0" applyFont="1" applyFill="1" applyBorder="1" applyAlignment="1" applyProtection="1">
      <alignment horizontal="center"/>
      <protection locked="0"/>
    </xf>
    <xf numFmtId="0" fontId="6" fillId="6" borderId="32" xfId="0" applyFont="1" applyFill="1" applyBorder="1" applyAlignment="1" applyProtection="1">
      <alignment horizontal="center"/>
      <protection locked="0"/>
    </xf>
    <xf numFmtId="0" fontId="6" fillId="7" borderId="23" xfId="0" applyFont="1" applyFill="1" applyBorder="1" applyAlignment="1" applyProtection="1">
      <alignment horizontal="center"/>
      <protection locked="0"/>
    </xf>
    <xf numFmtId="0" fontId="7" fillId="5" borderId="20" xfId="0" applyFont="1" applyFill="1" applyBorder="1" applyAlignment="1" applyProtection="1">
      <alignment horizontal="center"/>
      <protection locked="0"/>
    </xf>
    <xf numFmtId="0" fontId="6" fillId="2" borderId="32" xfId="0" applyFont="1" applyFill="1" applyBorder="1" applyProtection="1">
      <protection locked="0"/>
    </xf>
    <xf numFmtId="49" fontId="6" fillId="2" borderId="31" xfId="0" applyNumberFormat="1" applyFont="1" applyFill="1" applyBorder="1" applyAlignment="1" applyProtection="1">
      <alignment horizontal="left"/>
      <protection locked="0"/>
    </xf>
    <xf numFmtId="49" fontId="6" fillId="0" borderId="29" xfId="0" applyNumberFormat="1" applyFont="1" applyFill="1" applyBorder="1" applyProtection="1">
      <protection locked="0"/>
    </xf>
    <xf numFmtId="49" fontId="6" fillId="2" borderId="22" xfId="0" applyNumberFormat="1" applyFont="1" applyFill="1" applyBorder="1" applyAlignment="1" applyProtection="1">
      <alignment horizontal="center"/>
      <protection locked="0"/>
    </xf>
    <xf numFmtId="49" fontId="18" fillId="0" borderId="22" xfId="0" applyNumberFormat="1" applyFont="1" applyFill="1" applyBorder="1" applyAlignment="1" applyProtection="1">
      <alignment horizontal="center"/>
      <protection locked="0"/>
    </xf>
    <xf numFmtId="49" fontId="19" fillId="2" borderId="22" xfId="0" applyNumberFormat="1" applyFont="1" applyFill="1" applyBorder="1" applyAlignment="1" applyProtection="1">
      <alignment horizontal="center"/>
      <protection locked="0"/>
    </xf>
    <xf numFmtId="49" fontId="20" fillId="7" borderId="22" xfId="0" applyNumberFormat="1" applyFont="1" applyFill="1" applyBorder="1" applyAlignment="1" applyProtection="1">
      <alignment horizontal="center"/>
      <protection locked="0"/>
    </xf>
    <xf numFmtId="0" fontId="6" fillId="5" borderId="29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49" fontId="6" fillId="2" borderId="4" xfId="0" applyNumberFormat="1" applyFont="1" applyFill="1" applyBorder="1" applyAlignment="1" applyProtection="1">
      <alignment horizontal="left"/>
      <protection locked="0"/>
    </xf>
    <xf numFmtId="49" fontId="6" fillId="0" borderId="20" xfId="0" applyNumberFormat="1" applyFont="1" applyFill="1" applyBorder="1" applyProtection="1">
      <protection locked="0"/>
    </xf>
    <xf numFmtId="49" fontId="6" fillId="5" borderId="16" xfId="0" quotePrefix="1" applyNumberFormat="1" applyFont="1" applyFill="1" applyBorder="1" applyAlignment="1" applyProtection="1">
      <alignment horizontal="right"/>
      <protection locked="0"/>
    </xf>
    <xf numFmtId="49" fontId="6" fillId="2" borderId="16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6" fillId="0" borderId="16" xfId="0" applyFont="1" applyBorder="1" applyAlignment="1" applyProtection="1">
      <alignment horizontal="left"/>
      <protection locked="0"/>
    </xf>
    <xf numFmtId="49" fontId="6" fillId="5" borderId="20" xfId="0" applyNumberFormat="1" applyFont="1" applyFill="1" applyBorder="1" applyProtection="1">
      <protection locked="0"/>
    </xf>
    <xf numFmtId="49" fontId="6" fillId="9" borderId="16" xfId="0" applyNumberFormat="1" applyFont="1" applyFill="1" applyBorder="1" applyAlignment="1" applyProtection="1">
      <alignment horizontal="right"/>
      <protection locked="0"/>
    </xf>
    <xf numFmtId="0" fontId="6" fillId="5" borderId="20" xfId="0" applyFont="1" applyFill="1" applyBorder="1" applyAlignment="1" applyProtection="1">
      <alignment horizontal="center"/>
      <protection locked="0"/>
    </xf>
    <xf numFmtId="2" fontId="6" fillId="5" borderId="39" xfId="0" applyNumberFormat="1" applyFont="1" applyFill="1" applyBorder="1" applyAlignment="1" applyProtection="1">
      <alignment horizontal="left"/>
      <protection locked="0"/>
    </xf>
    <xf numFmtId="49" fontId="6" fillId="5" borderId="40" xfId="0" applyNumberFormat="1" applyFont="1" applyFill="1" applyBorder="1" applyProtection="1">
      <protection locked="0"/>
    </xf>
    <xf numFmtId="49" fontId="6" fillId="5" borderId="41" xfId="0" quotePrefix="1" applyNumberFormat="1" applyFont="1" applyFill="1" applyBorder="1" applyAlignment="1" applyProtection="1">
      <alignment horizontal="right"/>
      <protection locked="0"/>
    </xf>
    <xf numFmtId="49" fontId="7" fillId="0" borderId="41" xfId="0" applyNumberFormat="1" applyFont="1" applyFill="1" applyBorder="1" applyAlignment="1" applyProtection="1">
      <alignment horizontal="left"/>
      <protection locked="0"/>
    </xf>
    <xf numFmtId="1" fontId="7" fillId="0" borderId="39" xfId="0" applyNumberFormat="1" applyFont="1" applyFill="1" applyBorder="1" applyAlignment="1" applyProtection="1">
      <alignment horizontal="left"/>
      <protection locked="0"/>
    </xf>
    <xf numFmtId="1" fontId="6" fillId="0" borderId="40" xfId="0" applyNumberFormat="1" applyFont="1" applyFill="1" applyBorder="1" applyAlignment="1" applyProtection="1">
      <alignment horizontal="center"/>
      <protection locked="0"/>
    </xf>
    <xf numFmtId="49" fontId="20" fillId="7" borderId="16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left"/>
      <protection locked="0"/>
    </xf>
    <xf numFmtId="0" fontId="6" fillId="4" borderId="4" xfId="0" applyFont="1" applyFill="1" applyBorder="1" applyProtection="1"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6" fillId="4" borderId="20" xfId="0" applyFont="1" applyFill="1" applyBorder="1" applyAlignment="1" applyProtection="1">
      <alignment horizontal="center"/>
      <protection locked="0"/>
    </xf>
    <xf numFmtId="49" fontId="7" fillId="0" borderId="41" xfId="0" applyNumberFormat="1" applyFont="1" applyFill="1" applyBorder="1" applyAlignment="1" applyProtection="1">
      <alignment horizontal="center"/>
      <protection locked="0"/>
    </xf>
    <xf numFmtId="1" fontId="7" fillId="0" borderId="39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9" fillId="0" borderId="32" xfId="0" applyFont="1" applyBorder="1" applyProtection="1">
      <protection locked="0"/>
    </xf>
    <xf numFmtId="49" fontId="6" fillId="8" borderId="20" xfId="0" applyNumberFormat="1" applyFont="1" applyFill="1" applyBorder="1" applyAlignment="1" applyProtection="1">
      <alignment horizontal="right"/>
      <protection locked="0"/>
    </xf>
    <xf numFmtId="49" fontId="6" fillId="7" borderId="16" xfId="0" applyNumberFormat="1" applyFont="1" applyFill="1" applyBorder="1" applyAlignment="1" applyProtection="1">
      <alignment horizontal="center"/>
      <protection locked="0"/>
    </xf>
    <xf numFmtId="0" fontId="6" fillId="5" borderId="39" xfId="0" applyNumberFormat="1" applyFont="1" applyFill="1" applyBorder="1" applyAlignment="1" applyProtection="1">
      <alignment horizontal="left"/>
      <protection locked="0"/>
    </xf>
    <xf numFmtId="49" fontId="6" fillId="5" borderId="24" xfId="0" applyNumberFormat="1" applyFont="1" applyFill="1" applyBorder="1" applyProtection="1">
      <protection locked="0"/>
    </xf>
    <xf numFmtId="0" fontId="9" fillId="10" borderId="4" xfId="0" applyFont="1" applyFill="1" applyBorder="1" applyProtection="1">
      <protection locked="0"/>
    </xf>
    <xf numFmtId="0" fontId="9" fillId="10" borderId="0" xfId="0" applyFont="1" applyFill="1" applyBorder="1" applyAlignment="1" applyProtection="1">
      <alignment horizontal="center"/>
      <protection locked="0"/>
    </xf>
    <xf numFmtId="0" fontId="9" fillId="10" borderId="20" xfId="0" applyFont="1" applyFill="1" applyBorder="1" applyAlignment="1" applyProtection="1">
      <alignment horizontal="center"/>
      <protection locked="0"/>
    </xf>
    <xf numFmtId="0" fontId="9" fillId="10" borderId="31" xfId="0" applyFont="1" applyFill="1" applyBorder="1" applyProtection="1">
      <protection locked="0"/>
    </xf>
    <xf numFmtId="0" fontId="9" fillId="10" borderId="30" xfId="0" applyFont="1" applyFill="1" applyBorder="1" applyAlignment="1" applyProtection="1">
      <alignment horizontal="center"/>
      <protection locked="0"/>
    </xf>
    <xf numFmtId="0" fontId="9" fillId="10" borderId="29" xfId="0" applyFont="1" applyFill="1" applyBorder="1" applyAlignment="1" applyProtection="1">
      <alignment horizontal="center"/>
      <protection locked="0"/>
    </xf>
    <xf numFmtId="0" fontId="9" fillId="10" borderId="32" xfId="0" applyFont="1" applyFill="1" applyBorder="1" applyProtection="1">
      <protection locked="0"/>
    </xf>
    <xf numFmtId="0" fontId="9" fillId="10" borderId="33" xfId="0" applyFont="1" applyFill="1" applyBorder="1" applyAlignment="1" applyProtection="1">
      <alignment horizontal="center"/>
      <protection locked="0"/>
    </xf>
    <xf numFmtId="0" fontId="9" fillId="10" borderId="24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10" borderId="0" xfId="0" applyFill="1" applyAlignment="1" applyProtection="1">
      <alignment horizontal="center"/>
      <protection locked="0"/>
    </xf>
    <xf numFmtId="1" fontId="0" fillId="23" borderId="0" xfId="0" applyNumberFormat="1" applyFill="1" applyAlignment="1" applyProtection="1">
      <alignment horizontal="center"/>
    </xf>
    <xf numFmtId="0" fontId="7" fillId="24" borderId="30" xfId="0" applyFont="1" applyFill="1" applyBorder="1" applyAlignment="1" applyProtection="1">
      <alignment horizontal="center"/>
    </xf>
    <xf numFmtId="0" fontId="6" fillId="24" borderId="0" xfId="0" applyFont="1" applyFill="1" applyBorder="1" applyAlignment="1" applyProtection="1">
      <alignment horizontal="center"/>
    </xf>
    <xf numFmtId="0" fontId="15" fillId="0" borderId="25" xfId="0" applyFont="1" applyBorder="1" applyAlignment="1">
      <alignment horizontal="justify" vertical="center" wrapText="1"/>
    </xf>
    <xf numFmtId="0" fontId="15" fillId="0" borderId="25" xfId="0" applyFont="1" applyBorder="1" applyAlignment="1">
      <alignment horizontal="center" vertical="center" wrapText="1"/>
    </xf>
    <xf numFmtId="0" fontId="14" fillId="25" borderId="25" xfId="0" applyFont="1" applyFill="1" applyBorder="1" applyAlignment="1">
      <alignment horizontal="justify" vertical="center" wrapText="1"/>
    </xf>
    <xf numFmtId="0" fontId="14" fillId="25" borderId="25" xfId="0" applyFont="1" applyFill="1" applyBorder="1" applyAlignment="1">
      <alignment horizontal="center" vertical="center" wrapText="1"/>
    </xf>
    <xf numFmtId="0" fontId="14" fillId="16" borderId="25" xfId="0" applyFont="1" applyFill="1" applyBorder="1" applyAlignment="1">
      <alignment horizontal="justify" vertical="center" wrapText="1"/>
    </xf>
    <xf numFmtId="0" fontId="14" fillId="16" borderId="25" xfId="0" applyFont="1" applyFill="1" applyBorder="1" applyAlignment="1">
      <alignment horizontal="center" vertical="center" wrapText="1"/>
    </xf>
    <xf numFmtId="0" fontId="14" fillId="19" borderId="25" xfId="0" applyFont="1" applyFill="1" applyBorder="1" applyAlignment="1">
      <alignment horizontal="justify" vertical="center" wrapText="1"/>
    </xf>
    <xf numFmtId="0" fontId="14" fillId="19" borderId="25" xfId="0" applyFont="1" applyFill="1" applyBorder="1" applyAlignment="1">
      <alignment horizontal="center" vertical="center" wrapText="1"/>
    </xf>
    <xf numFmtId="0" fontId="14" fillId="20" borderId="25" xfId="0" applyFont="1" applyFill="1" applyBorder="1" applyAlignment="1">
      <alignment horizontal="justify" vertical="center" wrapText="1"/>
    </xf>
    <xf numFmtId="0" fontId="14" fillId="20" borderId="25" xfId="0" applyFont="1" applyFill="1" applyBorder="1" applyAlignment="1">
      <alignment horizontal="center" vertical="center" wrapText="1"/>
    </xf>
    <xf numFmtId="0" fontId="14" fillId="26" borderId="25" xfId="0" applyFont="1" applyFill="1" applyBorder="1" applyAlignment="1">
      <alignment horizontal="justify" vertical="center" wrapText="1"/>
    </xf>
    <xf numFmtId="0" fontId="14" fillId="26" borderId="25" xfId="0" applyFont="1" applyFill="1" applyBorder="1" applyAlignment="1">
      <alignment horizontal="center" vertical="center" wrapText="1"/>
    </xf>
    <xf numFmtId="0" fontId="14" fillId="27" borderId="25" xfId="0" applyFont="1" applyFill="1" applyBorder="1" applyAlignment="1">
      <alignment horizontal="justify" vertical="center" wrapText="1"/>
    </xf>
    <xf numFmtId="0" fontId="14" fillId="27" borderId="25" xfId="0" applyFont="1" applyFill="1" applyBorder="1" applyAlignment="1">
      <alignment horizontal="center" vertical="center" wrapText="1"/>
    </xf>
    <xf numFmtId="0" fontId="14" fillId="28" borderId="25" xfId="0" applyFont="1" applyFill="1" applyBorder="1" applyAlignment="1">
      <alignment horizontal="justify" vertical="center" wrapText="1"/>
    </xf>
    <xf numFmtId="0" fontId="14" fillId="28" borderId="25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justify" vertical="center" wrapText="1"/>
    </xf>
    <xf numFmtId="0" fontId="14" fillId="18" borderId="25" xfId="0" applyFont="1" applyFill="1" applyBorder="1" applyAlignment="1">
      <alignment horizontal="center" vertical="center" wrapText="1"/>
    </xf>
    <xf numFmtId="0" fontId="14" fillId="29" borderId="25" xfId="0" applyFont="1" applyFill="1" applyBorder="1" applyAlignment="1">
      <alignment horizontal="justify" vertical="center" wrapText="1"/>
    </xf>
    <xf numFmtId="0" fontId="14" fillId="29" borderId="2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25" xfId="0" applyFont="1" applyBorder="1" applyAlignment="1">
      <alignment horizontal="justify" vertical="center" wrapText="1"/>
    </xf>
    <xf numFmtId="0" fontId="4" fillId="0" borderId="25" xfId="0" applyFont="1" applyBorder="1"/>
    <xf numFmtId="0" fontId="4" fillId="0" borderId="0" xfId="0" applyFont="1" applyAlignment="1">
      <alignment wrapText="1"/>
    </xf>
    <xf numFmtId="0" fontId="4" fillId="31" borderId="25" xfId="0" applyFont="1" applyFill="1" applyBorder="1" applyAlignment="1">
      <alignment horizontal="justify" vertical="center" wrapText="1"/>
    </xf>
    <xf numFmtId="0" fontId="4" fillId="31" borderId="25" xfId="0" applyFont="1" applyFill="1" applyBorder="1" applyAlignment="1">
      <alignment horizontal="center" vertical="center" wrapText="1"/>
    </xf>
    <xf numFmtId="0" fontId="4" fillId="31" borderId="0" xfId="0" applyFont="1" applyFill="1"/>
    <xf numFmtId="0" fontId="4" fillId="7" borderId="0" xfId="0" applyFont="1" applyFill="1" applyAlignment="1">
      <alignment wrapText="1"/>
    </xf>
    <xf numFmtId="0" fontId="1" fillId="0" borderId="17" xfId="0" applyFont="1" applyBorder="1" applyAlignment="1">
      <alignment horizontal="justify" vertical="center" wrapText="1"/>
    </xf>
    <xf numFmtId="0" fontId="1" fillId="31" borderId="17" xfId="0" applyFont="1" applyFill="1" applyBorder="1" applyAlignment="1">
      <alignment horizontal="justify" vertical="center" wrapText="1"/>
    </xf>
    <xf numFmtId="0" fontId="4" fillId="7" borderId="0" xfId="0" applyFont="1" applyFill="1" applyAlignment="1"/>
    <xf numFmtId="0" fontId="2" fillId="2" borderId="16" xfId="0" applyFont="1" applyFill="1" applyBorder="1"/>
    <xf numFmtId="0" fontId="0" fillId="2" borderId="23" xfId="0" applyFill="1" applyBorder="1"/>
    <xf numFmtId="0" fontId="0" fillId="2" borderId="33" xfId="0" applyFill="1" applyBorder="1"/>
    <xf numFmtId="0" fontId="0" fillId="2" borderId="24" xfId="0" applyFill="1" applyBorder="1"/>
    <xf numFmtId="0" fontId="2" fillId="2" borderId="23" xfId="0" applyFont="1" applyFill="1" applyBorder="1"/>
    <xf numFmtId="0" fontId="2" fillId="2" borderId="17" xfId="0" applyFont="1" applyFill="1" applyBorder="1" applyAlignment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32" xfId="0" applyFont="1" applyFill="1" applyBorder="1"/>
    <xf numFmtId="0" fontId="2" fillId="2" borderId="30" xfId="0" applyFont="1" applyFill="1" applyBorder="1"/>
    <xf numFmtId="49" fontId="21" fillId="2" borderId="31" xfId="0" applyNumberFormat="1" applyFont="1" applyFill="1" applyBorder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center"/>
    </xf>
    <xf numFmtId="0" fontId="9" fillId="2" borderId="4" xfId="0" applyFont="1" applyFill="1" applyBorder="1" applyProtection="1">
      <protection locked="0"/>
    </xf>
    <xf numFmtId="0" fontId="9" fillId="2" borderId="32" xfId="0" applyFont="1" applyFill="1" applyBorder="1" applyProtection="1">
      <protection locked="0"/>
    </xf>
    <xf numFmtId="0" fontId="9" fillId="2" borderId="31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9" fillId="2" borderId="30" xfId="0" applyFont="1" applyFill="1" applyBorder="1" applyProtection="1">
      <protection locked="0"/>
    </xf>
    <xf numFmtId="0" fontId="9" fillId="2" borderId="33" xfId="0" applyFont="1" applyFill="1" applyBorder="1" applyProtection="1">
      <protection locked="0"/>
    </xf>
    <xf numFmtId="0" fontId="9" fillId="0" borderId="0" xfId="1" applyFont="1" applyAlignment="1">
      <alignment horizontal="center"/>
    </xf>
    <xf numFmtId="0" fontId="9" fillId="2" borderId="21" xfId="0" applyFont="1" applyFill="1" applyBorder="1" applyProtection="1">
      <protection locked="0"/>
    </xf>
    <xf numFmtId="0" fontId="9" fillId="2" borderId="14" xfId="0" applyFont="1" applyFill="1" applyBorder="1" applyProtection="1">
      <protection locked="0"/>
    </xf>
    <xf numFmtId="0" fontId="9" fillId="2" borderId="15" xfId="0" applyFont="1" applyFill="1" applyBorder="1" applyProtection="1">
      <protection locked="0"/>
    </xf>
    <xf numFmtId="0" fontId="9" fillId="2" borderId="14" xfId="0" quotePrefix="1" applyFont="1" applyFill="1" applyBorder="1" applyProtection="1">
      <protection locked="0"/>
    </xf>
    <xf numFmtId="0" fontId="0" fillId="0" borderId="25" xfId="0" applyBorder="1" applyAlignment="1">
      <alignment horizontal="left"/>
    </xf>
    <xf numFmtId="0" fontId="0" fillId="30" borderId="0" xfId="0" applyFill="1" applyAlignment="1">
      <alignment horizontal="left"/>
    </xf>
    <xf numFmtId="0" fontId="0" fillId="0" borderId="0" xfId="0" applyAlignment="1">
      <alignment horizontal="left"/>
    </xf>
    <xf numFmtId="0" fontId="8" fillId="0" borderId="52" xfId="0" applyFont="1" applyBorder="1" applyAlignment="1">
      <alignment horizontal="center"/>
    </xf>
    <xf numFmtId="1" fontId="7" fillId="2" borderId="20" xfId="0" applyNumberFormat="1" applyFont="1" applyFill="1" applyBorder="1" applyAlignment="1">
      <alignment horizontal="center"/>
    </xf>
    <xf numFmtId="0" fontId="4" fillId="10" borderId="0" xfId="0" applyFont="1" applyFill="1" applyAlignment="1">
      <alignment wrapText="1"/>
    </xf>
    <xf numFmtId="0" fontId="4" fillId="33" borderId="48" xfId="0" applyFont="1" applyFill="1" applyBorder="1" applyAlignment="1">
      <alignment wrapText="1"/>
    </xf>
    <xf numFmtId="0" fontId="4" fillId="33" borderId="48" xfId="0" applyFont="1" applyFill="1" applyBorder="1" applyAlignment="1">
      <alignment horizontal="left" vertical="center" wrapText="1"/>
    </xf>
    <xf numFmtId="0" fontId="4" fillId="33" borderId="49" xfId="0" applyFont="1" applyFill="1" applyBorder="1" applyAlignment="1">
      <alignment wrapText="1"/>
    </xf>
    <xf numFmtId="0" fontId="6" fillId="2" borderId="0" xfId="0" applyFont="1" applyFill="1" applyBorder="1" applyProtection="1">
      <protection locked="0"/>
    </xf>
    <xf numFmtId="0" fontId="9" fillId="0" borderId="30" xfId="0" quotePrefix="1" applyFont="1" applyBorder="1"/>
    <xf numFmtId="0" fontId="9" fillId="0" borderId="0" xfId="0" quotePrefix="1" applyFont="1" applyBorder="1"/>
    <xf numFmtId="0" fontId="9" fillId="0" borderId="33" xfId="0" applyFont="1" applyBorder="1"/>
    <xf numFmtId="0" fontId="9" fillId="0" borderId="30" xfId="0" applyFont="1" applyBorder="1"/>
    <xf numFmtId="0" fontId="9" fillId="0" borderId="0" xfId="0" applyFont="1" applyBorder="1"/>
    <xf numFmtId="0" fontId="9" fillId="0" borderId="46" xfId="0" applyFont="1" applyBorder="1"/>
    <xf numFmtId="0" fontId="6" fillId="0" borderId="3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11" fillId="10" borderId="25" xfId="0" applyFont="1" applyFill="1" applyBorder="1" applyAlignment="1">
      <alignment horizontal="left" vertical="center" wrapText="1"/>
    </xf>
    <xf numFmtId="0" fontId="11" fillId="10" borderId="2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16" fillId="2" borderId="17" xfId="0" applyFont="1" applyFill="1" applyBorder="1"/>
    <xf numFmtId="1" fontId="5" fillId="2" borderId="18" xfId="0" applyNumberFormat="1" applyFont="1" applyFill="1" applyBorder="1"/>
    <xf numFmtId="0" fontId="22" fillId="0" borderId="31" xfId="0" applyFont="1" applyBorder="1"/>
    <xf numFmtId="0" fontId="22" fillId="0" borderId="30" xfId="0" applyFont="1" applyBorder="1"/>
    <xf numFmtId="0" fontId="22" fillId="2" borderId="30" xfId="0" applyFont="1" applyFill="1" applyBorder="1"/>
    <xf numFmtId="0" fontId="22" fillId="0" borderId="19" xfId="0" applyFont="1" applyBorder="1"/>
    <xf numFmtId="0" fontId="23" fillId="0" borderId="0" xfId="0" applyFont="1"/>
    <xf numFmtId="0" fontId="22" fillId="0" borderId="32" xfId="0" applyFont="1" applyBorder="1"/>
    <xf numFmtId="0" fontId="22" fillId="0" borderId="33" xfId="0" applyFont="1" applyBorder="1"/>
    <xf numFmtId="0" fontId="22" fillId="0" borderId="24" xfId="0" applyFont="1" applyBorder="1"/>
    <xf numFmtId="0" fontId="21" fillId="0" borderId="31" xfId="0" applyFont="1" applyBorder="1"/>
    <xf numFmtId="0" fontId="21" fillId="0" borderId="30" xfId="0" applyFont="1" applyBorder="1"/>
    <xf numFmtId="0" fontId="21" fillId="0" borderId="29" xfId="0" applyFont="1" applyBorder="1"/>
    <xf numFmtId="0" fontId="21" fillId="31" borderId="4" xfId="0" applyFont="1" applyFill="1" applyBorder="1"/>
    <xf numFmtId="0" fontId="21" fillId="31" borderId="0" xfId="0" applyFont="1" applyFill="1" applyBorder="1"/>
    <xf numFmtId="0" fontId="21" fillId="31" borderId="20" xfId="0" applyFont="1" applyFill="1" applyBorder="1"/>
    <xf numFmtId="0" fontId="21" fillId="0" borderId="4" xfId="0" applyFont="1" applyBorder="1"/>
    <xf numFmtId="0" fontId="21" fillId="0" borderId="0" xfId="0" applyFont="1" applyBorder="1"/>
    <xf numFmtId="0" fontId="21" fillId="0" borderId="20" xfId="0" applyFont="1" applyBorder="1"/>
    <xf numFmtId="0" fontId="21" fillId="31" borderId="32" xfId="0" applyFont="1" applyFill="1" applyBorder="1"/>
    <xf numFmtId="0" fontId="21" fillId="31" borderId="33" xfId="0" applyFont="1" applyFill="1" applyBorder="1"/>
    <xf numFmtId="0" fontId="21" fillId="31" borderId="24" xfId="0" applyFont="1" applyFill="1" applyBorder="1"/>
    <xf numFmtId="0" fontId="21" fillId="0" borderId="0" xfId="0" applyFont="1"/>
    <xf numFmtId="0" fontId="22" fillId="30" borderId="30" xfId="0" applyFont="1" applyFill="1" applyBorder="1"/>
    <xf numFmtId="0" fontId="22" fillId="0" borderId="30" xfId="0" applyFont="1" applyBorder="1" applyAlignment="1">
      <alignment horizontal="right"/>
    </xf>
    <xf numFmtId="1" fontId="22" fillId="30" borderId="30" xfId="0" applyNumberFormat="1" applyFont="1" applyFill="1" applyBorder="1"/>
    <xf numFmtId="166" fontId="22" fillId="0" borderId="19" xfId="0" applyNumberFormat="1" applyFont="1" applyBorder="1"/>
    <xf numFmtId="0" fontId="21" fillId="0" borderId="0" xfId="0" quotePrefix="1" applyFont="1" applyBorder="1"/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10" borderId="18" xfId="0" applyFont="1" applyFill="1" applyBorder="1" applyAlignment="1">
      <alignment horizontal="center"/>
    </xf>
    <xf numFmtId="0" fontId="16" fillId="0" borderId="0" xfId="1" applyFont="1"/>
    <xf numFmtId="0" fontId="5" fillId="0" borderId="0" xfId="1" applyFont="1" applyAlignment="1">
      <alignment horizontal="right"/>
    </xf>
    <xf numFmtId="0" fontId="16" fillId="2" borderId="17" xfId="1" applyFont="1" applyFill="1" applyBorder="1"/>
    <xf numFmtId="0" fontId="5" fillId="2" borderId="18" xfId="1" applyFont="1" applyFill="1" applyBorder="1"/>
    <xf numFmtId="0" fontId="22" fillId="0" borderId="31" xfId="1" applyFont="1" applyBorder="1"/>
    <xf numFmtId="0" fontId="22" fillId="0" borderId="30" xfId="1" applyFont="1" applyBorder="1"/>
    <xf numFmtId="0" fontId="22" fillId="2" borderId="30" xfId="1" applyFont="1" applyFill="1" applyBorder="1"/>
    <xf numFmtId="0" fontId="22" fillId="0" borderId="19" xfId="1" applyFont="1" applyBorder="1"/>
    <xf numFmtId="0" fontId="23" fillId="0" borderId="0" xfId="1" applyFont="1"/>
    <xf numFmtId="0" fontId="22" fillId="0" borderId="32" xfId="1" applyFont="1" applyBorder="1"/>
    <xf numFmtId="0" fontId="22" fillId="0" borderId="33" xfId="1" applyFont="1" applyBorder="1"/>
    <xf numFmtId="0" fontId="22" fillId="0" borderId="24" xfId="1" applyFont="1" applyBorder="1"/>
    <xf numFmtId="0" fontId="21" fillId="0" borderId="31" xfId="1" applyFont="1" applyBorder="1"/>
    <xf numFmtId="0" fontId="21" fillId="0" borderId="30" xfId="1" applyFont="1" applyBorder="1"/>
    <xf numFmtId="0" fontId="21" fillId="0" borderId="29" xfId="1" applyFont="1" applyBorder="1"/>
    <xf numFmtId="0" fontId="21" fillId="31" borderId="4" xfId="1" applyFont="1" applyFill="1" applyBorder="1"/>
    <xf numFmtId="0" fontId="21" fillId="31" borderId="0" xfId="1" applyFont="1" applyFill="1" applyBorder="1"/>
    <xf numFmtId="0" fontId="21" fillId="31" borderId="20" xfId="1" applyFont="1" applyFill="1" applyBorder="1"/>
    <xf numFmtId="0" fontId="21" fillId="0" borderId="4" xfId="1" applyFont="1" applyBorder="1"/>
    <xf numFmtId="0" fontId="21" fillId="0" borderId="0" xfId="1" applyFont="1" applyBorder="1"/>
    <xf numFmtId="0" fontId="21" fillId="0" borderId="20" xfId="1" applyFont="1" applyBorder="1"/>
    <xf numFmtId="0" fontId="21" fillId="31" borderId="32" xfId="1" applyFont="1" applyFill="1" applyBorder="1"/>
    <xf numFmtId="0" fontId="21" fillId="31" borderId="33" xfId="1" applyFont="1" applyFill="1" applyBorder="1"/>
    <xf numFmtId="0" fontId="21" fillId="31" borderId="24" xfId="1" applyFont="1" applyFill="1" applyBorder="1"/>
    <xf numFmtId="0" fontId="21" fillId="0" borderId="0" xfId="1" applyFont="1"/>
    <xf numFmtId="0" fontId="22" fillId="30" borderId="30" xfId="1" applyFont="1" applyFill="1" applyBorder="1"/>
    <xf numFmtId="0" fontId="22" fillId="0" borderId="30" xfId="1" applyFont="1" applyBorder="1" applyAlignment="1">
      <alignment horizontal="right"/>
    </xf>
    <xf numFmtId="0" fontId="21" fillId="0" borderId="0" xfId="1" quotePrefix="1" applyFont="1" applyBorder="1"/>
    <xf numFmtId="3" fontId="6" fillId="31" borderId="20" xfId="0" applyNumberFormat="1" applyFont="1" applyFill="1" applyBorder="1" applyAlignment="1">
      <alignment horizontal="center"/>
    </xf>
    <xf numFmtId="3" fontId="6" fillId="30" borderId="20" xfId="0" applyNumberFormat="1" applyFont="1" applyFill="1" applyBorder="1" applyAlignment="1">
      <alignment horizontal="center"/>
    </xf>
    <xf numFmtId="3" fontId="6" fillId="24" borderId="20" xfId="0" applyNumberFormat="1" applyFont="1" applyFill="1" applyBorder="1" applyAlignment="1">
      <alignment horizontal="center"/>
    </xf>
    <xf numFmtId="0" fontId="21" fillId="31" borderId="0" xfId="1" quotePrefix="1" applyFont="1" applyFill="1" applyBorder="1"/>
    <xf numFmtId="0" fontId="9" fillId="0" borderId="0" xfId="1" applyFont="1"/>
    <xf numFmtId="0" fontId="8" fillId="0" borderId="1" xfId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6" fillId="0" borderId="24" xfId="1" applyFont="1" applyBorder="1" applyAlignment="1">
      <alignment horizontal="right"/>
    </xf>
    <xf numFmtId="0" fontId="8" fillId="0" borderId="1" xfId="1" applyFont="1" applyFill="1" applyBorder="1" applyAlignment="1">
      <alignment vertical="top"/>
    </xf>
    <xf numFmtId="0" fontId="7" fillId="0" borderId="1" xfId="1" applyNumberFormat="1" applyFont="1" applyFill="1" applyBorder="1" applyAlignment="1">
      <alignment horizontal="left" vertical="top"/>
    </xf>
    <xf numFmtId="0" fontId="7" fillId="0" borderId="11" xfId="1" applyNumberFormat="1" applyFont="1" applyFill="1" applyBorder="1" applyAlignment="1">
      <alignment horizontal="right"/>
    </xf>
    <xf numFmtId="0" fontId="7" fillId="0" borderId="0" xfId="1" applyFont="1"/>
    <xf numFmtId="0" fontId="21" fillId="0" borderId="29" xfId="1" applyFont="1" applyBorder="1" applyAlignment="1">
      <alignment horizontal="right"/>
    </xf>
    <xf numFmtId="0" fontId="21" fillId="0" borderId="20" xfId="1" applyFont="1" applyBorder="1" applyAlignment="1">
      <alignment horizontal="right"/>
    </xf>
    <xf numFmtId="0" fontId="21" fillId="0" borderId="24" xfId="1" applyFont="1" applyBorder="1" applyAlignment="1">
      <alignment horizontal="right"/>
    </xf>
    <xf numFmtId="0" fontId="21" fillId="0" borderId="31" xfId="1" applyFont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1" fillId="0" borderId="32" xfId="1" applyFont="1" applyBorder="1" applyAlignment="1">
      <alignment horizontal="left"/>
    </xf>
    <xf numFmtId="1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0" fontId="21" fillId="0" borderId="17" xfId="1" applyFont="1" applyBorder="1"/>
    <xf numFmtId="0" fontId="21" fillId="0" borderId="46" xfId="1" applyFont="1" applyBorder="1" applyAlignment="1">
      <alignment horizontal="left"/>
    </xf>
    <xf numFmtId="0" fontId="21" fillId="0" borderId="46" xfId="1" applyFont="1" applyBorder="1" applyAlignment="1">
      <alignment horizontal="right"/>
    </xf>
    <xf numFmtId="0" fontId="21" fillId="0" borderId="18" xfId="1" applyFont="1" applyBorder="1" applyAlignment="1">
      <alignment horizontal="right"/>
    </xf>
    <xf numFmtId="0" fontId="6" fillId="0" borderId="20" xfId="1" applyFont="1" applyBorder="1" applyAlignment="1">
      <alignment horizontal="left"/>
    </xf>
    <xf numFmtId="0" fontId="21" fillId="0" borderId="20" xfId="1" applyFont="1" applyBorder="1" applyAlignment="1">
      <alignment horizontal="left"/>
    </xf>
    <xf numFmtId="0" fontId="21" fillId="0" borderId="17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7" fillId="0" borderId="50" xfId="0" applyFont="1" applyBorder="1" applyAlignment="1" applyProtection="1">
      <alignment horizontal="center"/>
      <protection locked="0"/>
    </xf>
    <xf numFmtId="0" fontId="7" fillId="7" borderId="29" xfId="0" applyFont="1" applyFill="1" applyBorder="1" applyAlignment="1" applyProtection="1">
      <alignment horizontal="center"/>
      <protection locked="0"/>
    </xf>
    <xf numFmtId="49" fontId="20" fillId="7" borderId="29" xfId="0" applyNumberFormat="1" applyFont="1" applyFill="1" applyBorder="1" applyAlignment="1" applyProtection="1">
      <alignment horizontal="center"/>
      <protection locked="0"/>
    </xf>
    <xf numFmtId="1" fontId="6" fillId="0" borderId="20" xfId="0" applyNumberFormat="1" applyFont="1" applyFill="1" applyBorder="1" applyAlignment="1" applyProtection="1">
      <alignment horizontal="center"/>
      <protection locked="0"/>
    </xf>
    <xf numFmtId="49" fontId="20" fillId="7" borderId="20" xfId="0" applyNumberFormat="1" applyFont="1" applyFill="1" applyBorder="1" applyAlignment="1" applyProtection="1">
      <alignment horizontal="center"/>
      <protection locked="0"/>
    </xf>
    <xf numFmtId="49" fontId="6" fillId="7" borderId="20" xfId="0" applyNumberFormat="1" applyFont="1" applyFill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center"/>
      <protection locked="0"/>
    </xf>
    <xf numFmtId="0" fontId="6" fillId="5" borderId="31" xfId="0" applyFont="1" applyFill="1" applyBorder="1" applyAlignment="1" applyProtection="1">
      <alignment horizontal="right"/>
      <protection locked="0"/>
    </xf>
    <xf numFmtId="0" fontId="6" fillId="5" borderId="4" xfId="0" applyFont="1" applyFill="1" applyBorder="1" applyAlignment="1" applyProtection="1">
      <alignment horizontal="right"/>
      <protection locked="0"/>
    </xf>
    <xf numFmtId="0" fontId="6" fillId="5" borderId="39" xfId="0" applyFont="1" applyFill="1" applyBorder="1" applyAlignment="1" applyProtection="1">
      <alignment horizontal="right"/>
      <protection locked="0"/>
    </xf>
    <xf numFmtId="1" fontId="6" fillId="30" borderId="40" xfId="0" quotePrefix="1" applyNumberFormat="1" applyFont="1" applyFill="1" applyBorder="1" applyAlignment="1" applyProtection="1">
      <alignment horizontal="center"/>
      <protection locked="0"/>
    </xf>
    <xf numFmtId="1" fontId="2" fillId="30" borderId="19" xfId="0" applyNumberFormat="1" applyFont="1" applyFill="1" applyBorder="1" applyProtection="1">
      <protection locked="0"/>
    </xf>
    <xf numFmtId="1" fontId="6" fillId="30" borderId="19" xfId="0" applyNumberFormat="1" applyFont="1" applyFill="1" applyBorder="1" applyAlignment="1" applyProtection="1">
      <alignment horizontal="center"/>
      <protection locked="0"/>
    </xf>
    <xf numFmtId="0" fontId="6" fillId="30" borderId="19" xfId="0" applyNumberFormat="1" applyFont="1" applyFill="1" applyBorder="1" applyAlignment="1" applyProtection="1">
      <alignment horizontal="center"/>
      <protection locked="0"/>
    </xf>
    <xf numFmtId="164" fontId="6" fillId="30" borderId="23" xfId="0" quotePrefix="1" applyNumberFormat="1" applyFont="1" applyFill="1" applyBorder="1" applyAlignment="1" applyProtection="1">
      <alignment horizontal="center"/>
      <protection locked="0"/>
    </xf>
    <xf numFmtId="1" fontId="6" fillId="30" borderId="40" xfId="0" applyNumberFormat="1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14" fillId="25" borderId="7" xfId="0" applyFont="1" applyFill="1" applyBorder="1" applyAlignment="1">
      <alignment horizontal="center" vertical="center" wrapText="1"/>
    </xf>
    <xf numFmtId="0" fontId="14" fillId="16" borderId="7" xfId="0" applyFont="1" applyFill="1" applyBorder="1" applyAlignment="1">
      <alignment horizontal="center" vertical="center" wrapText="1"/>
    </xf>
    <xf numFmtId="0" fontId="14" fillId="27" borderId="7" xfId="0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/>
    </xf>
    <xf numFmtId="0" fontId="14" fillId="20" borderId="7" xfId="0" applyFont="1" applyFill="1" applyBorder="1" applyAlignment="1">
      <alignment horizontal="center" vertical="center" wrapText="1"/>
    </xf>
    <xf numFmtId="0" fontId="14" fillId="26" borderId="7" xfId="0" applyFont="1" applyFill="1" applyBorder="1" applyAlignment="1">
      <alignment horizontal="center" vertical="center" wrapText="1"/>
    </xf>
    <xf numFmtId="0" fontId="14" fillId="28" borderId="7" xfId="0" applyFont="1" applyFill="1" applyBorder="1" applyAlignment="1">
      <alignment horizontal="center" vertical="center" wrapText="1"/>
    </xf>
    <xf numFmtId="0" fontId="14" fillId="29" borderId="7" xfId="0" applyFont="1" applyFill="1" applyBorder="1" applyAlignment="1">
      <alignment horizontal="center" vertical="center" wrapText="1"/>
    </xf>
    <xf numFmtId="0" fontId="14" fillId="18" borderId="7" xfId="0" applyFont="1" applyFill="1" applyBorder="1" applyAlignment="1">
      <alignment horizontal="center" vertical="center" wrapText="1"/>
    </xf>
    <xf numFmtId="0" fontId="6" fillId="2" borderId="31" xfId="0" applyFont="1" applyFill="1" applyBorder="1" applyProtection="1">
      <protection locked="0"/>
    </xf>
    <xf numFmtId="0" fontId="6" fillId="2" borderId="30" xfId="0" applyFont="1" applyFill="1" applyBorder="1" applyProtection="1">
      <protection locked="0"/>
    </xf>
    <xf numFmtId="1" fontId="6" fillId="10" borderId="17" xfId="0" applyNumberFormat="1" applyFont="1" applyFill="1" applyBorder="1" applyAlignment="1" applyProtection="1">
      <alignment horizontal="left"/>
      <protection locked="0"/>
    </xf>
    <xf numFmtId="1" fontId="6" fillId="10" borderId="46" xfId="0" applyNumberFormat="1" applyFont="1" applyFill="1" applyBorder="1" applyAlignment="1" applyProtection="1">
      <alignment horizontal="left"/>
      <protection locked="0"/>
    </xf>
    <xf numFmtId="0" fontId="6" fillId="0" borderId="32" xfId="0" applyFont="1" applyBorder="1" applyProtection="1">
      <protection locked="0"/>
    </xf>
    <xf numFmtId="0" fontId="6" fillId="2" borderId="33" xfId="0" applyFont="1" applyFill="1" applyBorder="1" applyProtection="1">
      <protection locked="0"/>
    </xf>
    <xf numFmtId="3" fontId="6" fillId="31" borderId="4" xfId="0" applyNumberFormat="1" applyFont="1" applyFill="1" applyBorder="1" applyAlignment="1" applyProtection="1">
      <alignment horizontal="center"/>
      <protection locked="0"/>
    </xf>
    <xf numFmtId="3" fontId="6" fillId="30" borderId="4" xfId="0" applyNumberFormat="1" applyFont="1" applyFill="1" applyBorder="1" applyAlignment="1" applyProtection="1">
      <alignment horizontal="center"/>
      <protection locked="0"/>
    </xf>
    <xf numFmtId="3" fontId="6" fillId="24" borderId="4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6" fillId="2" borderId="25" xfId="0" applyNumberFormat="1" applyFont="1" applyFill="1" applyBorder="1" applyAlignment="1" applyProtection="1">
      <alignment horizontal="center"/>
      <protection locked="0"/>
    </xf>
    <xf numFmtId="1" fontId="6" fillId="2" borderId="7" xfId="0" applyNumberFormat="1" applyFont="1" applyFill="1" applyBorder="1" applyAlignment="1" applyProtection="1">
      <alignment horizontal="center"/>
      <protection locked="0"/>
    </xf>
    <xf numFmtId="1" fontId="6" fillId="2" borderId="54" xfId="0" applyNumberFormat="1" applyFont="1" applyFill="1" applyBorder="1" applyAlignment="1" applyProtection="1">
      <alignment horizontal="center"/>
      <protection locked="0"/>
    </xf>
    <xf numFmtId="1" fontId="6" fillId="2" borderId="28" xfId="0" applyNumberFormat="1" applyFont="1" applyFill="1" applyBorder="1" applyAlignment="1" applyProtection="1">
      <alignment horizontal="center"/>
      <protection locked="0"/>
    </xf>
    <xf numFmtId="1" fontId="6" fillId="2" borderId="51" xfId="0" applyNumberFormat="1" applyFont="1" applyFill="1" applyBorder="1" applyAlignment="1" applyProtection="1">
      <alignment horizontal="center"/>
      <protection locked="0"/>
    </xf>
    <xf numFmtId="166" fontId="6" fillId="2" borderId="12" xfId="0" quotePrefix="1" applyNumberFormat="1" applyFont="1" applyFill="1" applyBorder="1" applyAlignment="1" applyProtection="1">
      <alignment horizontal="center"/>
      <protection locked="0"/>
    </xf>
    <xf numFmtId="166" fontId="6" fillId="2" borderId="13" xfId="0" quotePrefix="1" applyNumberFormat="1" applyFont="1" applyFill="1" applyBorder="1" applyAlignment="1" applyProtection="1">
      <alignment horizontal="center"/>
      <protection locked="0"/>
    </xf>
    <xf numFmtId="166" fontId="6" fillId="2" borderId="45" xfId="0" quotePrefix="1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right"/>
      <protection locked="0"/>
    </xf>
    <xf numFmtId="164" fontId="6" fillId="2" borderId="16" xfId="0" quotePrefix="1" applyNumberFormat="1" applyFont="1" applyFill="1" applyBorder="1" applyAlignment="1" applyProtection="1">
      <alignment horizontal="left"/>
      <protection locked="0"/>
    </xf>
    <xf numFmtId="164" fontId="6" fillId="2" borderId="16" xfId="0" applyNumberFormat="1" applyFont="1" applyFill="1" applyBorder="1" applyAlignment="1" applyProtection="1">
      <alignment horizontal="left"/>
      <protection locked="0"/>
    </xf>
    <xf numFmtId="164" fontId="6" fillId="2" borderId="29" xfId="0" applyNumberFormat="1" applyFont="1" applyFill="1" applyBorder="1" applyAlignment="1" applyProtection="1">
      <alignment horizontal="left"/>
      <protection locked="0"/>
    </xf>
    <xf numFmtId="164" fontId="6" fillId="2" borderId="20" xfId="0" applyNumberFormat="1" applyFont="1" applyFill="1" applyBorder="1" applyAlignment="1" applyProtection="1">
      <alignment horizontal="left"/>
      <protection locked="0"/>
    </xf>
    <xf numFmtId="164" fontId="6" fillId="2" borderId="40" xfId="0" applyNumberFormat="1" applyFont="1" applyFill="1" applyBorder="1" applyAlignment="1" applyProtection="1">
      <alignment horizontal="left"/>
      <protection locked="0"/>
    </xf>
    <xf numFmtId="164" fontId="18" fillId="2" borderId="22" xfId="0" quotePrefix="1" applyNumberFormat="1" applyFont="1" applyFill="1" applyBorder="1" applyAlignment="1" applyProtection="1">
      <alignment horizontal="left"/>
      <protection locked="0"/>
    </xf>
    <xf numFmtId="164" fontId="6" fillId="2" borderId="23" xfId="0" applyNumberFormat="1" applyFont="1" applyFill="1" applyBorder="1" applyAlignment="1" applyProtection="1">
      <alignment horizontal="left"/>
      <protection locked="0"/>
    </xf>
    <xf numFmtId="166" fontId="17" fillId="30" borderId="18" xfId="0" applyNumberFormat="1" applyFont="1" applyFill="1" applyBorder="1" applyAlignment="1" applyProtection="1">
      <alignment horizontal="center"/>
      <protection locked="0"/>
    </xf>
    <xf numFmtId="165" fontId="6" fillId="30" borderId="30" xfId="1" applyNumberFormat="1" applyFont="1" applyFill="1" applyBorder="1" applyAlignment="1">
      <alignment horizontal="center"/>
    </xf>
    <xf numFmtId="165" fontId="6" fillId="30" borderId="29" xfId="1" applyNumberFormat="1" applyFont="1" applyFill="1" applyBorder="1" applyAlignment="1">
      <alignment horizontal="center"/>
    </xf>
    <xf numFmtId="165" fontId="6" fillId="30" borderId="0" xfId="1" applyNumberFormat="1" applyFont="1" applyFill="1" applyBorder="1" applyAlignment="1">
      <alignment horizontal="center"/>
    </xf>
    <xf numFmtId="165" fontId="6" fillId="30" borderId="20" xfId="1" applyNumberFormat="1" applyFont="1" applyFill="1" applyBorder="1" applyAlignment="1">
      <alignment horizontal="center"/>
    </xf>
    <xf numFmtId="165" fontId="6" fillId="30" borderId="33" xfId="1" applyNumberFormat="1" applyFont="1" applyFill="1" applyBorder="1" applyAlignment="1">
      <alignment horizontal="center"/>
    </xf>
    <xf numFmtId="165" fontId="6" fillId="30" borderId="24" xfId="1" applyNumberFormat="1" applyFont="1" applyFill="1" applyBorder="1" applyAlignment="1">
      <alignment horizontal="center"/>
    </xf>
    <xf numFmtId="165" fontId="9" fillId="30" borderId="35" xfId="1" applyNumberFormat="1" applyFont="1" applyFill="1" applyBorder="1" applyAlignment="1">
      <alignment horizontal="center"/>
    </xf>
    <xf numFmtId="165" fontId="9" fillId="30" borderId="25" xfId="1" applyNumberFormat="1" applyFont="1" applyFill="1" applyBorder="1" applyAlignment="1">
      <alignment horizontal="center"/>
    </xf>
    <xf numFmtId="165" fontId="9" fillId="30" borderId="28" xfId="1" applyNumberFormat="1" applyFont="1" applyFill="1" applyBorder="1" applyAlignment="1">
      <alignment horizontal="center"/>
    </xf>
    <xf numFmtId="165" fontId="9" fillId="30" borderId="30" xfId="1" applyNumberFormat="1" applyFont="1" applyFill="1" applyBorder="1" applyAlignment="1">
      <alignment horizontal="center"/>
    </xf>
    <xf numFmtId="165" fontId="9" fillId="30" borderId="0" xfId="1" applyNumberFormat="1" applyFont="1" applyFill="1" applyBorder="1" applyAlignment="1">
      <alignment horizontal="center"/>
    </xf>
    <xf numFmtId="165" fontId="9" fillId="30" borderId="33" xfId="1" applyNumberFormat="1" applyFont="1" applyFill="1" applyBorder="1" applyAlignment="1">
      <alignment horizontal="center"/>
    </xf>
    <xf numFmtId="165" fontId="9" fillId="30" borderId="9" xfId="1" applyNumberFormat="1" applyFont="1" applyFill="1" applyBorder="1" applyAlignment="1">
      <alignment horizontal="center"/>
    </xf>
    <xf numFmtId="165" fontId="9" fillId="30" borderId="3" xfId="1" applyNumberFormat="1" applyFont="1" applyFill="1" applyBorder="1" applyAlignment="1">
      <alignment horizontal="center"/>
    </xf>
    <xf numFmtId="165" fontId="9" fillId="30" borderId="8" xfId="1" applyNumberFormat="1" applyFont="1" applyFill="1" applyBorder="1" applyAlignment="1">
      <alignment horizontal="center"/>
    </xf>
    <xf numFmtId="165" fontId="9" fillId="30" borderId="29" xfId="1" applyNumberFormat="1" applyFont="1" applyFill="1" applyBorder="1" applyAlignment="1">
      <alignment horizontal="center"/>
    </xf>
    <xf numFmtId="165" fontId="9" fillId="30" borderId="20" xfId="1" applyNumberFormat="1" applyFont="1" applyFill="1" applyBorder="1" applyAlignment="1">
      <alignment horizontal="center"/>
    </xf>
    <xf numFmtId="165" fontId="9" fillId="30" borderId="24" xfId="1" applyNumberFormat="1" applyFont="1" applyFill="1" applyBorder="1" applyAlignment="1">
      <alignment horizontal="center"/>
    </xf>
    <xf numFmtId="1" fontId="9" fillId="30" borderId="19" xfId="0" applyNumberFormat="1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1" fontId="9" fillId="30" borderId="9" xfId="0" applyNumberFormat="1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0" borderId="16" xfId="0" applyBorder="1" applyProtection="1">
      <protection locked="0"/>
    </xf>
    <xf numFmtId="0" fontId="0" fillId="0" borderId="23" xfId="0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9" fillId="0" borderId="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34" borderId="25" xfId="0" applyFont="1" applyFill="1" applyBorder="1" applyAlignment="1">
      <alignment horizontal="justify" vertical="center" wrapText="1"/>
    </xf>
    <xf numFmtId="0" fontId="14" fillId="34" borderId="25" xfId="0" applyFont="1" applyFill="1" applyBorder="1" applyAlignment="1">
      <alignment horizontal="center" vertical="center" wrapText="1"/>
    </xf>
    <xf numFmtId="0" fontId="14" fillId="34" borderId="7" xfId="0" applyFont="1" applyFill="1" applyBorder="1" applyAlignment="1">
      <alignment horizontal="center" vertical="center" wrapText="1"/>
    </xf>
    <xf numFmtId="1" fontId="5" fillId="2" borderId="18" xfId="1" applyNumberFormat="1" applyFont="1" applyFill="1" applyBorder="1"/>
    <xf numFmtId="1" fontId="6" fillId="30" borderId="19" xfId="0" quotePrefix="1" applyNumberFormat="1" applyFont="1" applyFill="1" applyBorder="1" applyAlignment="1" applyProtection="1">
      <alignment horizontal="center"/>
      <protection locked="0"/>
    </xf>
    <xf numFmtId="1" fontId="6" fillId="30" borderId="29" xfId="0" quotePrefix="1" applyNumberFormat="1" applyFont="1" applyFill="1" applyBorder="1" applyAlignment="1" applyProtection="1">
      <alignment horizontal="center"/>
      <protection locked="0"/>
    </xf>
    <xf numFmtId="1" fontId="6" fillId="35" borderId="22" xfId="0" applyNumberFormat="1" applyFont="1" applyFill="1" applyBorder="1" applyAlignment="1" applyProtection="1">
      <alignment horizontal="left"/>
      <protection locked="0"/>
    </xf>
    <xf numFmtId="1" fontId="6" fillId="35" borderId="31" xfId="0" applyNumberFormat="1" applyFont="1" applyFill="1" applyBorder="1" applyAlignment="1" applyProtection="1">
      <alignment horizontal="left"/>
      <protection locked="0"/>
    </xf>
    <xf numFmtId="1" fontId="6" fillId="35" borderId="29" xfId="0" applyNumberFormat="1" applyFont="1" applyFill="1" applyBorder="1" applyAlignment="1" applyProtection="1">
      <alignment horizontal="center"/>
      <protection locked="0"/>
    </xf>
    <xf numFmtId="49" fontId="6" fillId="2" borderId="29" xfId="0" applyNumberFormat="1" applyFont="1" applyFill="1" applyBorder="1"/>
    <xf numFmtId="49" fontId="6" fillId="2" borderId="20" xfId="0" applyNumberFormat="1" applyFont="1" applyFill="1" applyBorder="1"/>
    <xf numFmtId="49" fontId="6" fillId="2" borderId="24" xfId="0" applyNumberFormat="1" applyFont="1" applyFill="1" applyBorder="1"/>
    <xf numFmtId="0" fontId="7" fillId="24" borderId="30" xfId="0" applyFont="1" applyFill="1" applyBorder="1" applyAlignment="1" applyProtection="1">
      <alignment horizontal="center"/>
      <protection locked="0"/>
    </xf>
    <xf numFmtId="0" fontId="6" fillId="24" borderId="0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center"/>
    </xf>
    <xf numFmtId="1" fontId="6" fillId="24" borderId="0" xfId="0" applyNumberFormat="1" applyFont="1" applyFill="1" applyBorder="1" applyAlignment="1" applyProtection="1">
      <alignment horizontal="center"/>
    </xf>
    <xf numFmtId="1" fontId="6" fillId="4" borderId="0" xfId="0" applyNumberFormat="1" applyFont="1" applyFill="1" applyBorder="1" applyAlignment="1" applyProtection="1">
      <alignment horizontal="center"/>
    </xf>
    <xf numFmtId="0" fontId="16" fillId="2" borderId="4" xfId="0" applyFont="1" applyFill="1" applyBorder="1" applyProtection="1">
      <protection locked="0"/>
    </xf>
    <xf numFmtId="0" fontId="2" fillId="2" borderId="47" xfId="0" applyFont="1" applyFill="1" applyBorder="1"/>
    <xf numFmtId="0" fontId="2" fillId="0" borderId="0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2" borderId="32" xfId="0" quotePrefix="1" applyFont="1" applyFill="1" applyBorder="1" applyProtection="1">
      <protection locked="0"/>
    </xf>
    <xf numFmtId="1" fontId="2" fillId="10" borderId="22" xfId="0" applyNumberFormat="1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2" borderId="33" xfId="0" applyFont="1" applyFill="1" applyBorder="1" applyAlignment="1" applyProtection="1">
      <alignment horizontal="center"/>
      <protection locked="0"/>
    </xf>
    <xf numFmtId="1" fontId="6" fillId="24" borderId="33" xfId="0" applyNumberFormat="1" applyFont="1" applyFill="1" applyBorder="1" applyAlignment="1" applyProtection="1">
      <alignment horizontal="center"/>
    </xf>
    <xf numFmtId="0" fontId="6" fillId="24" borderId="33" xfId="0" applyFont="1" applyFill="1" applyBorder="1" applyAlignment="1" applyProtection="1">
      <alignment horizontal="center"/>
    </xf>
    <xf numFmtId="0" fontId="6" fillId="7" borderId="24" xfId="0" applyFont="1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 applyProtection="1">
      <alignment horizontal="center"/>
      <protection locked="0"/>
    </xf>
    <xf numFmtId="1" fontId="6" fillId="24" borderId="30" xfId="0" applyNumberFormat="1" applyFont="1" applyFill="1" applyBorder="1" applyAlignment="1" applyProtection="1">
      <alignment horizontal="center"/>
    </xf>
    <xf numFmtId="0" fontId="6" fillId="24" borderId="30" xfId="0" applyFont="1" applyFill="1" applyBorder="1" applyAlignment="1" applyProtection="1">
      <alignment horizontal="center"/>
    </xf>
    <xf numFmtId="0" fontId="6" fillId="7" borderId="29" xfId="0" applyFont="1" applyFill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0" fillId="0" borderId="18" xfId="0" applyBorder="1" applyProtection="1">
      <protection locked="0"/>
    </xf>
    <xf numFmtId="0" fontId="21" fillId="0" borderId="32" xfId="0" applyFont="1" applyBorder="1"/>
    <xf numFmtId="0" fontId="21" fillId="0" borderId="17" xfId="0" applyFont="1" applyBorder="1"/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21" fillId="0" borderId="31" xfId="1" applyNumberFormat="1" applyFont="1" applyBorder="1" applyAlignment="1">
      <alignment horizontal="left"/>
    </xf>
    <xf numFmtId="0" fontId="21" fillId="0" borderId="29" xfId="1" applyNumberFormat="1" applyFont="1" applyBorder="1" applyAlignment="1">
      <alignment horizontal="right"/>
    </xf>
    <xf numFmtId="0" fontId="21" fillId="0" borderId="4" xfId="1" applyNumberFormat="1" applyFont="1" applyBorder="1" applyAlignment="1">
      <alignment horizontal="left"/>
    </xf>
    <xf numFmtId="0" fontId="21" fillId="0" borderId="20" xfId="1" applyNumberFormat="1" applyFont="1" applyBorder="1" applyAlignment="1">
      <alignment horizontal="right"/>
    </xf>
    <xf numFmtId="0" fontId="21" fillId="0" borderId="32" xfId="1" applyNumberFormat="1" applyFont="1" applyBorder="1" applyAlignment="1">
      <alignment horizontal="left"/>
    </xf>
    <xf numFmtId="0" fontId="21" fillId="0" borderId="24" xfId="1" applyNumberFormat="1" applyFont="1" applyBorder="1" applyAlignment="1">
      <alignment horizontal="right"/>
    </xf>
    <xf numFmtId="0" fontId="7" fillId="0" borderId="58" xfId="1" applyNumberFormat="1" applyFont="1" applyFill="1" applyBorder="1" applyAlignment="1">
      <alignment horizontal="left" vertical="top"/>
    </xf>
    <xf numFmtId="0" fontId="7" fillId="0" borderId="59" xfId="1" applyNumberFormat="1" applyFont="1" applyFill="1" applyBorder="1" applyAlignment="1">
      <alignment horizontal="right"/>
    </xf>
    <xf numFmtId="0" fontId="21" fillId="0" borderId="32" xfId="1" applyFont="1" applyBorder="1"/>
    <xf numFmtId="0" fontId="21" fillId="0" borderId="31" xfId="1" applyFont="1" applyFill="1" applyBorder="1"/>
    <xf numFmtId="0" fontId="21" fillId="0" borderId="4" xfId="1" applyFont="1" applyFill="1" applyBorder="1"/>
    <xf numFmtId="0" fontId="21" fillId="0" borderId="32" xfId="1" applyFont="1" applyFill="1" applyBorder="1"/>
    <xf numFmtId="0" fontId="7" fillId="0" borderId="42" xfId="1" applyNumberFormat="1" applyFont="1" applyFill="1" applyBorder="1" applyAlignment="1">
      <alignment horizontal="left" vertical="top"/>
    </xf>
    <xf numFmtId="0" fontId="21" fillId="0" borderId="30" xfId="1" applyNumberFormat="1" applyFont="1" applyBorder="1" applyAlignment="1">
      <alignment horizontal="left"/>
    </xf>
    <xf numFmtId="0" fontId="21" fillId="0" borderId="0" xfId="1" applyNumberFormat="1" applyFont="1" applyBorder="1" applyAlignment="1">
      <alignment horizontal="left"/>
    </xf>
    <xf numFmtId="0" fontId="21" fillId="0" borderId="33" xfId="1" applyNumberFormat="1" applyFont="1" applyBorder="1" applyAlignment="1">
      <alignment horizontal="left"/>
    </xf>
    <xf numFmtId="0" fontId="21" fillId="0" borderId="30" xfId="1" applyFont="1" applyBorder="1" applyAlignment="1">
      <alignment horizontal="left"/>
    </xf>
    <xf numFmtId="0" fontId="21" fillId="0" borderId="0" xfId="1" applyFont="1" applyBorder="1" applyAlignment="1">
      <alignment horizontal="left"/>
    </xf>
    <xf numFmtId="0" fontId="21" fillId="0" borderId="33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6" fillId="0" borderId="3" xfId="1" applyFont="1" applyBorder="1" applyAlignment="1">
      <alignment horizontal="right"/>
    </xf>
    <xf numFmtId="0" fontId="7" fillId="0" borderId="32" xfId="1" applyNumberFormat="1" applyFont="1" applyFill="1" applyBorder="1" applyAlignment="1">
      <alignment horizontal="left" vertical="top"/>
    </xf>
    <xf numFmtId="0" fontId="7" fillId="0" borderId="24" xfId="1" applyNumberFormat="1" applyFont="1" applyFill="1" applyBorder="1" applyAlignment="1">
      <alignment horizontal="right"/>
    </xf>
    <xf numFmtId="0" fontId="9" fillId="0" borderId="17" xfId="1" applyFont="1" applyBorder="1"/>
    <xf numFmtId="0" fontId="9" fillId="0" borderId="17" xfId="1" applyFont="1" applyBorder="1" applyAlignment="1">
      <alignment horizontal="left"/>
    </xf>
    <xf numFmtId="0" fontId="9" fillId="0" borderId="18" xfId="1" applyFont="1" applyBorder="1" applyAlignment="1">
      <alignment horizontal="right"/>
    </xf>
    <xf numFmtId="0" fontId="9" fillId="0" borderId="46" xfId="1" applyFont="1" applyBorder="1" applyAlignment="1">
      <alignment horizontal="left"/>
    </xf>
    <xf numFmtId="0" fontId="9" fillId="0" borderId="46" xfId="1" applyFont="1" applyBorder="1" applyAlignment="1">
      <alignment horizontal="right"/>
    </xf>
    <xf numFmtId="0" fontId="9" fillId="0" borderId="32" xfId="1" applyFont="1" applyBorder="1"/>
    <xf numFmtId="0" fontId="9" fillId="0" borderId="32" xfId="1" applyFont="1" applyBorder="1" applyAlignment="1">
      <alignment horizontal="left"/>
    </xf>
    <xf numFmtId="0" fontId="9" fillId="0" borderId="24" xfId="1" applyFont="1" applyBorder="1" applyAlignment="1">
      <alignment horizontal="right"/>
    </xf>
    <xf numFmtId="0" fontId="9" fillId="0" borderId="33" xfId="1" applyFont="1" applyBorder="1" applyAlignment="1">
      <alignment horizontal="left"/>
    </xf>
    <xf numFmtId="1" fontId="9" fillId="30" borderId="46" xfId="0" applyNumberFormat="1" applyFont="1" applyFill="1" applyBorder="1" applyAlignment="1" applyProtection="1">
      <alignment horizontal="center"/>
    </xf>
    <xf numFmtId="1" fontId="9" fillId="30" borderId="46" xfId="1" applyNumberFormat="1" applyFont="1" applyFill="1" applyBorder="1" applyAlignment="1">
      <alignment horizontal="center"/>
    </xf>
    <xf numFmtId="1" fontId="9" fillId="30" borderId="18" xfId="1" applyNumberFormat="1" applyFont="1" applyFill="1" applyBorder="1" applyAlignment="1">
      <alignment horizontal="center"/>
    </xf>
    <xf numFmtId="0" fontId="9" fillId="0" borderId="17" xfId="0" applyFont="1" applyBorder="1" applyProtection="1">
      <protection locked="0"/>
    </xf>
    <xf numFmtId="0" fontId="9" fillId="10" borderId="17" xfId="0" applyFont="1" applyFill="1" applyBorder="1" applyProtection="1">
      <protection locked="0"/>
    </xf>
    <xf numFmtId="0" fontId="9" fillId="0" borderId="17" xfId="0" applyFont="1" applyFill="1" applyBorder="1" applyProtection="1">
      <protection locked="0"/>
    </xf>
    <xf numFmtId="165" fontId="6" fillId="30" borderId="31" xfId="1" applyNumberFormat="1" applyFont="1" applyFill="1" applyBorder="1" applyAlignment="1">
      <alignment horizontal="center"/>
    </xf>
    <xf numFmtId="165" fontId="6" fillId="30" borderId="4" xfId="1" applyNumberFormat="1" applyFont="1" applyFill="1" applyBorder="1" applyAlignment="1">
      <alignment horizontal="center"/>
    </xf>
    <xf numFmtId="165" fontId="6" fillId="30" borderId="32" xfId="1" applyNumberFormat="1" applyFont="1" applyFill="1" applyBorder="1" applyAlignment="1">
      <alignment horizontal="center"/>
    </xf>
    <xf numFmtId="165" fontId="9" fillId="30" borderId="31" xfId="1" applyNumberFormat="1" applyFont="1" applyFill="1" applyBorder="1" applyAlignment="1">
      <alignment horizontal="center"/>
    </xf>
    <xf numFmtId="165" fontId="9" fillId="30" borderId="4" xfId="1" applyNumberFormat="1" applyFont="1" applyFill="1" applyBorder="1" applyAlignment="1">
      <alignment horizontal="center"/>
    </xf>
    <xf numFmtId="165" fontId="9" fillId="30" borderId="32" xfId="1" applyNumberFormat="1" applyFont="1" applyFill="1" applyBorder="1" applyAlignment="1">
      <alignment horizontal="center"/>
    </xf>
    <xf numFmtId="0" fontId="7" fillId="2" borderId="4" xfId="0" applyFont="1" applyFill="1" applyBorder="1" applyProtection="1">
      <protection locked="0"/>
    </xf>
    <xf numFmtId="0" fontId="7" fillId="2" borderId="31" xfId="0" applyFont="1" applyFill="1" applyBorder="1" applyProtection="1">
      <protection locked="0"/>
    </xf>
    <xf numFmtId="0" fontId="7" fillId="2" borderId="4" xfId="0" quotePrefix="1" applyFont="1" applyFill="1" applyBorder="1" applyProtection="1">
      <protection locked="0"/>
    </xf>
    <xf numFmtId="0" fontId="7" fillId="2" borderId="32" xfId="0" quotePrefix="1" applyFont="1" applyFill="1" applyBorder="1" applyProtection="1">
      <protection locked="0"/>
    </xf>
    <xf numFmtId="0" fontId="1" fillId="10" borderId="0" xfId="0" applyFont="1" applyFill="1" applyAlignment="1">
      <alignment wrapText="1"/>
    </xf>
    <xf numFmtId="0" fontId="15" fillId="0" borderId="21" xfId="0" applyFont="1" applyBorder="1" applyAlignment="1">
      <alignment horizontal="center" vertical="center" wrapText="1"/>
    </xf>
    <xf numFmtId="0" fontId="14" fillId="25" borderId="14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center" vertical="center" wrapText="1"/>
    </xf>
    <xf numFmtId="0" fontId="14" fillId="34" borderId="14" xfId="0" applyFont="1" applyFill="1" applyBorder="1" applyAlignment="1">
      <alignment horizontal="center" vertical="center" wrapText="1"/>
    </xf>
    <xf numFmtId="0" fontId="14" fillId="27" borderId="14" xfId="0" applyFont="1" applyFill="1" applyBorder="1" applyAlignment="1">
      <alignment horizontal="center" vertical="center" wrapText="1"/>
    </xf>
    <xf numFmtId="0" fontId="14" fillId="19" borderId="14" xfId="0" applyFont="1" applyFill="1" applyBorder="1" applyAlignment="1">
      <alignment horizontal="center" vertical="center" wrapText="1"/>
    </xf>
    <xf numFmtId="0" fontId="14" fillId="20" borderId="14" xfId="0" applyFont="1" applyFill="1" applyBorder="1" applyAlignment="1">
      <alignment horizontal="center" vertical="center" wrapText="1"/>
    </xf>
    <xf numFmtId="0" fontId="14" fillId="26" borderId="14" xfId="0" applyFont="1" applyFill="1" applyBorder="1" applyAlignment="1">
      <alignment horizontal="center" vertical="center" wrapText="1"/>
    </xf>
    <xf numFmtId="0" fontId="14" fillId="28" borderId="14" xfId="0" applyFont="1" applyFill="1" applyBorder="1" applyAlignment="1">
      <alignment horizontal="center" vertical="center" wrapText="1"/>
    </xf>
    <xf numFmtId="0" fontId="14" fillId="29" borderId="14" xfId="0" applyFont="1" applyFill="1" applyBorder="1" applyAlignment="1">
      <alignment horizontal="center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25" borderId="1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25" borderId="3" xfId="0" applyFont="1" applyFill="1" applyBorder="1" applyAlignment="1">
      <alignment horizontal="center" vertical="center" wrapText="1"/>
    </xf>
    <xf numFmtId="0" fontId="14" fillId="16" borderId="3" xfId="0" applyFont="1" applyFill="1" applyBorder="1" applyAlignment="1">
      <alignment horizontal="center" vertical="center" wrapText="1"/>
    </xf>
    <xf numFmtId="0" fontId="14" fillId="34" borderId="3" xfId="0" applyFont="1" applyFill="1" applyBorder="1" applyAlignment="1">
      <alignment horizontal="center" vertical="center" wrapText="1"/>
    </xf>
    <xf numFmtId="0" fontId="14" fillId="27" borderId="3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 vertical="center" wrapText="1"/>
    </xf>
    <xf numFmtId="0" fontId="14" fillId="20" borderId="3" xfId="0" applyFont="1" applyFill="1" applyBorder="1" applyAlignment="1">
      <alignment horizontal="center" vertical="center" wrapText="1"/>
    </xf>
    <xf numFmtId="0" fontId="14" fillId="26" borderId="3" xfId="0" applyFont="1" applyFill="1" applyBorder="1" applyAlignment="1">
      <alignment horizontal="center" vertical="center" wrapText="1"/>
    </xf>
    <xf numFmtId="0" fontId="14" fillId="28" borderId="3" xfId="0" applyFont="1" applyFill="1" applyBorder="1" applyAlignment="1">
      <alignment horizontal="center" vertical="center" wrapText="1"/>
    </xf>
    <xf numFmtId="0" fontId="14" fillId="29" borderId="3" xfId="0" applyFont="1" applyFill="1" applyBorder="1" applyAlignment="1">
      <alignment horizontal="center" vertical="center" wrapText="1"/>
    </xf>
    <xf numFmtId="0" fontId="14" fillId="18" borderId="3" xfId="0" applyFont="1" applyFill="1" applyBorder="1" applyAlignment="1">
      <alignment horizontal="center" vertical="center" wrapText="1"/>
    </xf>
    <xf numFmtId="0" fontId="14" fillId="25" borderId="28" xfId="0" applyFont="1" applyFill="1" applyBorder="1" applyAlignment="1">
      <alignment horizontal="center" vertical="center" wrapText="1"/>
    </xf>
    <xf numFmtId="0" fontId="14" fillId="25" borderId="8" xfId="0" applyFont="1" applyFill="1" applyBorder="1" applyAlignment="1">
      <alignment horizontal="center" vertical="center" wrapText="1"/>
    </xf>
    <xf numFmtId="0" fontId="6" fillId="2" borderId="29" xfId="0" applyFont="1" applyFill="1" applyBorder="1"/>
    <xf numFmtId="0" fontId="6" fillId="2" borderId="20" xfId="0" applyFont="1" applyFill="1" applyBorder="1"/>
    <xf numFmtId="16" fontId="6" fillId="2" borderId="20" xfId="0" applyNumberFormat="1" applyFont="1" applyFill="1" applyBorder="1"/>
    <xf numFmtId="2" fontId="6" fillId="2" borderId="12" xfId="0" quotePrefix="1" applyNumberFormat="1" applyFont="1" applyFill="1" applyBorder="1" applyAlignment="1" applyProtection="1">
      <alignment horizontal="center"/>
      <protection locked="0"/>
    </xf>
    <xf numFmtId="0" fontId="16" fillId="0" borderId="0" xfId="0" applyFont="1" applyBorder="1"/>
    <xf numFmtId="0" fontId="16" fillId="0" borderId="0" xfId="0" quotePrefix="1" applyFont="1" applyBorder="1"/>
    <xf numFmtId="0" fontId="8" fillId="31" borderId="4" xfId="1" applyFont="1" applyFill="1" applyBorder="1"/>
    <xf numFmtId="0" fontId="21" fillId="2" borderId="4" xfId="0" applyFont="1" applyFill="1" applyBorder="1"/>
    <xf numFmtId="0" fontId="21" fillId="2" borderId="0" xfId="0" applyFont="1" applyFill="1" applyBorder="1"/>
    <xf numFmtId="0" fontId="21" fillId="2" borderId="32" xfId="0" applyFont="1" applyFill="1" applyBorder="1"/>
    <xf numFmtId="0" fontId="21" fillId="2" borderId="33" xfId="0" applyFont="1" applyFill="1" applyBorder="1"/>
    <xf numFmtId="0" fontId="21" fillId="2" borderId="4" xfId="1" applyFont="1" applyFill="1" applyBorder="1"/>
    <xf numFmtId="0" fontId="21" fillId="2" borderId="32" xfId="1" applyFont="1" applyFill="1" applyBorder="1"/>
    <xf numFmtId="0" fontId="21" fillId="10" borderId="4" xfId="1" applyFont="1" applyFill="1" applyBorder="1"/>
    <xf numFmtId="0" fontId="21" fillId="10" borderId="31" xfId="1" applyFont="1" applyFill="1" applyBorder="1"/>
    <xf numFmtId="0" fontId="21" fillId="31" borderId="33" xfId="1" quotePrefix="1" applyFont="1" applyFill="1" applyBorder="1"/>
    <xf numFmtId="0" fontId="21" fillId="0" borderId="30" xfId="1" quotePrefix="1" applyFont="1" applyBorder="1"/>
    <xf numFmtId="0" fontId="6" fillId="31" borderId="0" xfId="0" applyFont="1" applyFill="1" applyBorder="1"/>
    <xf numFmtId="0" fontId="6" fillId="0" borderId="25" xfId="0" applyFont="1" applyBorder="1"/>
    <xf numFmtId="0" fontId="6" fillId="31" borderId="25" xfId="0" applyFont="1" applyFill="1" applyBorder="1"/>
    <xf numFmtId="1" fontId="6" fillId="31" borderId="25" xfId="0" applyNumberFormat="1" applyFont="1" applyFill="1" applyBorder="1" applyAlignment="1">
      <alignment horizontal="left"/>
    </xf>
    <xf numFmtId="1" fontId="6" fillId="0" borderId="25" xfId="0" applyNumberFormat="1" applyFont="1" applyBorder="1" applyAlignment="1">
      <alignment horizontal="left"/>
    </xf>
    <xf numFmtId="0" fontId="6" fillId="31" borderId="25" xfId="0" applyFont="1" applyFill="1" applyBorder="1" applyAlignment="1">
      <alignment horizontal="left"/>
    </xf>
    <xf numFmtId="0" fontId="6" fillId="10" borderId="25" xfId="0" applyFont="1" applyFill="1" applyBorder="1"/>
    <xf numFmtId="1" fontId="6" fillId="10" borderId="25" xfId="0" applyNumberFormat="1" applyFont="1" applyFill="1" applyBorder="1" applyAlignment="1">
      <alignment horizontal="left"/>
    </xf>
    <xf numFmtId="0" fontId="6" fillId="10" borderId="0" xfId="0" applyFont="1" applyFill="1" applyBorder="1"/>
    <xf numFmtId="0" fontId="6" fillId="0" borderId="25" xfId="0" applyFont="1" applyBorder="1" applyAlignment="1">
      <alignment horizontal="left"/>
    </xf>
    <xf numFmtId="0" fontId="6" fillId="10" borderId="25" xfId="0" applyFont="1" applyFill="1" applyBorder="1" applyAlignment="1">
      <alignment horizontal="left"/>
    </xf>
    <xf numFmtId="1" fontId="6" fillId="10" borderId="0" xfId="0" applyNumberFormat="1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2" borderId="25" xfId="0" applyNumberFormat="1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6" fillId="0" borderId="0" xfId="0" applyNumberFormat="1" applyFont="1"/>
    <xf numFmtId="0" fontId="6" fillId="2" borderId="0" xfId="0" applyFont="1" applyFill="1" applyAlignment="1">
      <alignment horizontal="center"/>
    </xf>
    <xf numFmtId="0" fontId="2" fillId="2" borderId="4" xfId="0" quotePrefix="1" applyFont="1" applyFill="1" applyBorder="1" applyProtection="1">
      <protection locked="0"/>
    </xf>
    <xf numFmtId="0" fontId="1" fillId="30" borderId="0" xfId="0" applyFont="1" applyFill="1"/>
    <xf numFmtId="0" fontId="2" fillId="2" borderId="32" xfId="0" quotePrefix="1" applyFont="1" applyFill="1" applyBorder="1"/>
    <xf numFmtId="49" fontId="9" fillId="2" borderId="31" xfId="0" applyNumberFormat="1" applyFont="1" applyFill="1" applyBorder="1" applyAlignment="1">
      <alignment horizontal="left"/>
    </xf>
    <xf numFmtId="0" fontId="2" fillId="0" borderId="0" xfId="0" applyFont="1"/>
    <xf numFmtId="0" fontId="3" fillId="30" borderId="0" xfId="0" applyFont="1" applyFill="1"/>
    <xf numFmtId="0" fontId="8" fillId="2" borderId="4" xfId="1" applyFont="1" applyFill="1" applyBorder="1"/>
    <xf numFmtId="0" fontId="4" fillId="31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6" fillId="2" borderId="19" xfId="0" applyFont="1" applyFill="1" applyBorder="1" applyAlignment="1" applyProtection="1">
      <alignment horizontal="center"/>
      <protection locked="0"/>
    </xf>
    <xf numFmtId="0" fontId="6" fillId="31" borderId="53" xfId="0" quotePrefix="1" applyFont="1" applyFill="1" applyBorder="1" applyAlignment="1">
      <alignment horizontal="center"/>
    </xf>
    <xf numFmtId="0" fontId="6" fillId="30" borderId="14" xfId="0" quotePrefix="1" applyFont="1" applyFill="1" applyBorder="1" applyAlignment="1">
      <alignment horizontal="center"/>
    </xf>
    <xf numFmtId="0" fontId="6" fillId="24" borderId="14" xfId="0" quotePrefix="1" applyFont="1" applyFill="1" applyBorder="1" applyAlignment="1">
      <alignment horizontal="center"/>
    </xf>
    <xf numFmtId="0" fontId="6" fillId="32" borderId="15" xfId="0" quotePrefix="1" applyFont="1" applyFill="1" applyBorder="1" applyAlignment="1">
      <alignment horizontal="center"/>
    </xf>
    <xf numFmtId="0" fontId="7" fillId="0" borderId="0" xfId="0" applyFont="1"/>
    <xf numFmtId="0" fontId="7" fillId="2" borderId="19" xfId="0" applyFont="1" applyFill="1" applyBorder="1"/>
    <xf numFmtId="14" fontId="0" fillId="2" borderId="23" xfId="0" applyNumberFormat="1" applyFill="1" applyBorder="1"/>
    <xf numFmtId="0" fontId="21" fillId="31" borderId="0" xfId="1" applyFont="1" applyFill="1"/>
    <xf numFmtId="0" fontId="21" fillId="0" borderId="0" xfId="1" quotePrefix="1" applyFont="1"/>
    <xf numFmtId="0" fontId="6" fillId="0" borderId="22" xfId="0" applyFont="1" applyBorder="1"/>
    <xf numFmtId="0" fontId="6" fillId="0" borderId="16" xfId="0" applyFont="1" applyBorder="1"/>
    <xf numFmtId="0" fontId="6" fillId="0" borderId="23" xfId="0" applyFont="1" applyBorder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/>
    <xf numFmtId="0" fontId="25" fillId="0" borderId="0" xfId="0" applyFont="1"/>
    <xf numFmtId="0" fontId="5" fillId="2" borderId="0" xfId="0" applyFont="1" applyFill="1"/>
    <xf numFmtId="0" fontId="25" fillId="2" borderId="0" xfId="0" applyFont="1" applyFill="1"/>
    <xf numFmtId="0" fontId="16" fillId="2" borderId="0" xfId="0" applyFont="1" applyFill="1"/>
    <xf numFmtId="0" fontId="21" fillId="31" borderId="4" xfId="1" applyFont="1" applyFill="1" applyBorder="1" applyAlignment="1">
      <alignment horizontal="right"/>
    </xf>
    <xf numFmtId="0" fontId="8" fillId="0" borderId="4" xfId="1" applyFont="1" applyBorder="1"/>
    <xf numFmtId="0" fontId="8" fillId="31" borderId="4" xfId="0" applyFont="1" applyFill="1" applyBorder="1"/>
    <xf numFmtId="0" fontId="5" fillId="0" borderId="0" xfId="1" applyFont="1"/>
    <xf numFmtId="0" fontId="26" fillId="2" borderId="0" xfId="0" applyFont="1" applyFill="1"/>
    <xf numFmtId="0" fontId="27" fillId="2" borderId="0" xfId="0" applyFont="1" applyFill="1"/>
    <xf numFmtId="0" fontId="23" fillId="2" borderId="0" xfId="0" applyFont="1" applyFill="1"/>
    <xf numFmtId="0" fontId="26" fillId="0" borderId="0" xfId="0" applyFont="1"/>
    <xf numFmtId="0" fontId="8" fillId="2" borderId="4" xfId="0" applyFont="1" applyFill="1" applyBorder="1"/>
    <xf numFmtId="0" fontId="4" fillId="10" borderId="33" xfId="0" applyFont="1" applyFill="1" applyBorder="1" applyAlignment="1">
      <alignment horizontal="left" vertical="top"/>
    </xf>
    <xf numFmtId="0" fontId="4" fillId="0" borderId="0" xfId="0" applyFont="1" applyFill="1"/>
    <xf numFmtId="0" fontId="4" fillId="10" borderId="63" xfId="0" applyFont="1" applyFill="1" applyBorder="1" applyAlignment="1">
      <alignment horizontal="left" vertical="top"/>
    </xf>
    <xf numFmtId="0" fontId="4" fillId="10" borderId="65" xfId="0" applyFont="1" applyFill="1" applyBorder="1" applyAlignment="1">
      <alignment horizontal="left" vertical="top"/>
    </xf>
    <xf numFmtId="0" fontId="4" fillId="0" borderId="65" xfId="0" applyFont="1" applyBorder="1" applyAlignment="1">
      <alignment horizontal="left" vertical="top"/>
    </xf>
    <xf numFmtId="1" fontId="4" fillId="10" borderId="65" xfId="0" applyNumberFormat="1" applyFont="1" applyFill="1" applyBorder="1" applyAlignment="1">
      <alignment horizontal="left" vertical="top"/>
    </xf>
    <xf numFmtId="1" fontId="4" fillId="10" borderId="66" xfId="0" applyNumberFormat="1" applyFont="1" applyFill="1" applyBorder="1"/>
    <xf numFmtId="1" fontId="4" fillId="0" borderId="65" xfId="0" applyNumberFormat="1" applyFont="1" applyBorder="1" applyAlignment="1">
      <alignment horizontal="left" vertical="top"/>
    </xf>
    <xf numFmtId="0" fontId="4" fillId="0" borderId="63" xfId="0" applyFont="1" applyBorder="1" applyAlignment="1">
      <alignment horizontal="left" vertical="top"/>
    </xf>
    <xf numFmtId="0" fontId="4" fillId="10" borderId="64" xfId="0" applyFont="1" applyFill="1" applyBorder="1" applyAlignment="1">
      <alignment horizontal="left" vertical="top"/>
    </xf>
    <xf numFmtId="0" fontId="4" fillId="10" borderId="66" xfId="0" applyFont="1" applyFill="1" applyBorder="1" applyAlignment="1">
      <alignment horizontal="left" vertical="top"/>
    </xf>
    <xf numFmtId="0" fontId="4" fillId="0" borderId="66" xfId="0" applyFont="1" applyBorder="1" applyAlignment="1">
      <alignment horizontal="left" vertical="top"/>
    </xf>
    <xf numFmtId="1" fontId="4" fillId="0" borderId="66" xfId="0" applyNumberFormat="1" applyFont="1" applyBorder="1" applyAlignment="1">
      <alignment horizontal="left" vertical="top"/>
    </xf>
    <xf numFmtId="0" fontId="4" fillId="0" borderId="69" xfId="0" applyFont="1" applyBorder="1" applyAlignment="1">
      <alignment horizontal="left" vertical="top"/>
    </xf>
    <xf numFmtId="0" fontId="4" fillId="0" borderId="70" xfId="0" applyFont="1" applyBorder="1" applyAlignment="1">
      <alignment horizontal="left" vertical="top"/>
    </xf>
    <xf numFmtId="0" fontId="4" fillId="10" borderId="70" xfId="0" applyFont="1" applyFill="1" applyBorder="1" applyAlignment="1">
      <alignment horizontal="left" vertical="top"/>
    </xf>
    <xf numFmtId="1" fontId="4" fillId="0" borderId="70" xfId="0" applyNumberFormat="1" applyFont="1" applyBorder="1" applyAlignment="1">
      <alignment horizontal="left" vertical="top"/>
    </xf>
    <xf numFmtId="0" fontId="4" fillId="0" borderId="64" xfId="0" applyFont="1" applyBorder="1" applyAlignment="1">
      <alignment horizontal="left" vertical="top"/>
    </xf>
    <xf numFmtId="0" fontId="4" fillId="0" borderId="73" xfId="0" applyFont="1" applyBorder="1" applyAlignment="1">
      <alignment horizontal="left" vertical="top"/>
    </xf>
    <xf numFmtId="0" fontId="4" fillId="10" borderId="67" xfId="0" applyFont="1" applyFill="1" applyBorder="1" applyAlignment="1">
      <alignment horizontal="left" vertical="top"/>
    </xf>
    <xf numFmtId="1" fontId="4" fillId="0" borderId="67" xfId="0" applyNumberFormat="1" applyFont="1" applyBorder="1" applyAlignment="1">
      <alignment horizontal="left" vertical="top"/>
    </xf>
    <xf numFmtId="1" fontId="4" fillId="10" borderId="70" xfId="0" applyNumberFormat="1" applyFont="1" applyFill="1" applyBorder="1" applyAlignment="1">
      <alignment horizontal="left" vertical="top"/>
    </xf>
    <xf numFmtId="1" fontId="4" fillId="10" borderId="66" xfId="0" applyNumberFormat="1" applyFont="1" applyFill="1" applyBorder="1" applyAlignment="1">
      <alignment horizontal="left" vertical="top"/>
    </xf>
    <xf numFmtId="1" fontId="4" fillId="10" borderId="71" xfId="0" applyNumberFormat="1" applyFont="1" applyFill="1" applyBorder="1" applyAlignment="1">
      <alignment horizontal="left" vertical="top"/>
    </xf>
    <xf numFmtId="1" fontId="4" fillId="10" borderId="72" xfId="0" applyNumberFormat="1" applyFont="1" applyFill="1" applyBorder="1" applyAlignment="1">
      <alignment horizontal="left" vertical="top"/>
    </xf>
    <xf numFmtId="0" fontId="4" fillId="0" borderId="29" xfId="0" applyFont="1" applyBorder="1" applyAlignment="1">
      <alignment wrapText="1"/>
    </xf>
    <xf numFmtId="0" fontId="4" fillId="10" borderId="20" xfId="0" applyFont="1" applyFill="1" applyBorder="1" applyAlignment="1">
      <alignment wrapText="1"/>
    </xf>
    <xf numFmtId="0" fontId="4" fillId="31" borderId="20" xfId="0" applyFont="1" applyFill="1" applyBorder="1" applyAlignment="1">
      <alignment wrapText="1"/>
    </xf>
    <xf numFmtId="0" fontId="1" fillId="10" borderId="20" xfId="0" applyFont="1" applyFill="1" applyBorder="1" applyAlignment="1">
      <alignment wrapText="1"/>
    </xf>
    <xf numFmtId="0" fontId="1" fillId="10" borderId="20" xfId="0" applyFont="1" applyFill="1" applyBorder="1" applyAlignment="1"/>
    <xf numFmtId="0" fontId="4" fillId="10" borderId="61" xfId="0" applyFont="1" applyFill="1" applyBorder="1" applyAlignment="1"/>
    <xf numFmtId="1" fontId="4" fillId="0" borderId="66" xfId="0" applyNumberFormat="1" applyFont="1" applyBorder="1"/>
    <xf numFmtId="1" fontId="4" fillId="10" borderId="72" xfId="0" applyNumberFormat="1" applyFont="1" applyFill="1" applyBorder="1"/>
    <xf numFmtId="0" fontId="4" fillId="10" borderId="46" xfId="0" applyFont="1" applyFill="1" applyBorder="1" applyAlignment="1">
      <alignment horizontal="left" vertical="top"/>
    </xf>
    <xf numFmtId="0" fontId="4" fillId="10" borderId="18" xfId="0" applyFont="1" applyFill="1" applyBorder="1"/>
    <xf numFmtId="0" fontId="4" fillId="10" borderId="24" xfId="0" applyFont="1" applyFill="1" applyBorder="1"/>
    <xf numFmtId="0" fontId="4" fillId="10" borderId="17" xfId="0" applyFont="1" applyFill="1" applyBorder="1" applyAlignment="1">
      <alignment horizontal="left" vertical="top"/>
    </xf>
    <xf numFmtId="0" fontId="4" fillId="10" borderId="32" xfId="0" applyFont="1" applyFill="1" applyBorder="1" applyAlignment="1">
      <alignment horizontal="left" vertical="top"/>
    </xf>
    <xf numFmtId="0" fontId="4" fillId="10" borderId="17" xfId="0" applyFont="1" applyFill="1" applyBorder="1" applyAlignment="1">
      <alignment wrapText="1"/>
    </xf>
    <xf numFmtId="0" fontId="4" fillId="10" borderId="74" xfId="0" applyFont="1" applyFill="1" applyBorder="1" applyAlignment="1">
      <alignment horizontal="left" vertical="top"/>
    </xf>
    <xf numFmtId="0" fontId="4" fillId="10" borderId="75" xfId="0" applyFont="1" applyFill="1" applyBorder="1" applyAlignment="1">
      <alignment horizontal="left" vertical="top"/>
    </xf>
    <xf numFmtId="0" fontId="4" fillId="10" borderId="76" xfId="0" applyFont="1" applyFill="1" applyBorder="1" applyAlignment="1">
      <alignment horizontal="left" vertical="top"/>
    </xf>
    <xf numFmtId="0" fontId="4" fillId="10" borderId="77" xfId="0" applyFont="1" applyFill="1" applyBorder="1" applyAlignment="1">
      <alignment horizontal="left" vertical="top"/>
    </xf>
    <xf numFmtId="0" fontId="4" fillId="10" borderId="60" xfId="0" applyFont="1" applyFill="1" applyBorder="1" applyAlignment="1">
      <alignment wrapText="1"/>
    </xf>
    <xf numFmtId="0" fontId="4" fillId="10" borderId="78" xfId="0" applyFont="1" applyFill="1" applyBorder="1" applyAlignment="1">
      <alignment horizontal="left" vertical="top"/>
    </xf>
    <xf numFmtId="0" fontId="4" fillId="10" borderId="79" xfId="0" applyFont="1" applyFill="1" applyBorder="1" applyAlignment="1">
      <alignment horizontal="left" vertical="top"/>
    </xf>
    <xf numFmtId="0" fontId="4" fillId="10" borderId="80" xfId="0" applyFont="1" applyFill="1" applyBorder="1" applyAlignment="1">
      <alignment horizontal="left" vertical="top"/>
    </xf>
    <xf numFmtId="0" fontId="4" fillId="10" borderId="81" xfId="0" applyFont="1" applyFill="1" applyBorder="1" applyAlignment="1">
      <alignment horizontal="left" vertical="top"/>
    </xf>
    <xf numFmtId="1" fontId="4" fillId="10" borderId="80" xfId="0" applyNumberFormat="1" applyFont="1" applyFill="1" applyBorder="1" applyAlignment="1">
      <alignment horizontal="left" vertical="top"/>
    </xf>
    <xf numFmtId="0" fontId="4" fillId="0" borderId="66" xfId="0" applyFont="1" applyFill="1" applyBorder="1" applyAlignment="1">
      <alignment horizontal="left" vertical="top"/>
    </xf>
    <xf numFmtId="1" fontId="4" fillId="0" borderId="65" xfId="0" applyNumberFormat="1" applyFont="1" applyFill="1" applyBorder="1" applyAlignment="1">
      <alignment horizontal="left" vertical="top"/>
    </xf>
    <xf numFmtId="1" fontId="4" fillId="0" borderId="66" xfId="0" applyNumberFormat="1" applyFont="1" applyFill="1" applyBorder="1" applyAlignment="1">
      <alignment horizontal="left" vertical="top"/>
    </xf>
    <xf numFmtId="1" fontId="4" fillId="0" borderId="70" xfId="0" applyNumberFormat="1" applyFont="1" applyFill="1" applyBorder="1" applyAlignment="1">
      <alignment horizontal="left" vertical="top"/>
    </xf>
    <xf numFmtId="1" fontId="4" fillId="0" borderId="67" xfId="0" applyNumberFormat="1" applyFont="1" applyFill="1" applyBorder="1" applyAlignment="1">
      <alignment horizontal="left" vertical="top"/>
    </xf>
    <xf numFmtId="1" fontId="4" fillId="0" borderId="74" xfId="0" applyNumberFormat="1" applyFont="1" applyFill="1" applyBorder="1" applyAlignment="1">
      <alignment horizontal="left" vertical="top"/>
    </xf>
    <xf numFmtId="1" fontId="4" fillId="0" borderId="75" xfId="0" applyNumberFormat="1" applyFont="1" applyFill="1" applyBorder="1" applyAlignment="1">
      <alignment horizontal="left" vertical="top"/>
    </xf>
    <xf numFmtId="1" fontId="4" fillId="0" borderId="76" xfId="0" applyNumberFormat="1" applyFont="1" applyFill="1" applyBorder="1" applyAlignment="1">
      <alignment horizontal="left" vertical="top"/>
    </xf>
    <xf numFmtId="1" fontId="4" fillId="0" borderId="77" xfId="0" applyNumberFormat="1" applyFont="1" applyFill="1" applyBorder="1" applyAlignment="1">
      <alignment horizontal="left" vertical="top"/>
    </xf>
    <xf numFmtId="0" fontId="4" fillId="6" borderId="0" xfId="0" applyFont="1" applyFill="1" applyAlignment="1">
      <alignment wrapText="1"/>
    </xf>
    <xf numFmtId="0" fontId="4" fillId="6" borderId="20" xfId="0" applyFont="1" applyFill="1" applyBorder="1" applyAlignment="1">
      <alignment wrapText="1"/>
    </xf>
    <xf numFmtId="0" fontId="4" fillId="33" borderId="62" xfId="0" applyFont="1" applyFill="1" applyBorder="1" applyAlignment="1">
      <alignment horizontal="left" vertical="center" wrapText="1"/>
    </xf>
    <xf numFmtId="0" fontId="4" fillId="10" borderId="69" xfId="0" applyFont="1" applyFill="1" applyBorder="1" applyAlignment="1">
      <alignment horizontal="left" vertical="top"/>
    </xf>
    <xf numFmtId="0" fontId="4" fillId="10" borderId="73" xfId="0" applyFont="1" applyFill="1" applyBorder="1" applyAlignment="1">
      <alignment horizontal="left" vertical="top"/>
    </xf>
    <xf numFmtId="0" fontId="4" fillId="33" borderId="23" xfId="0" applyFont="1" applyFill="1" applyBorder="1" applyAlignment="1">
      <alignment horizontal="left" vertical="center" wrapText="1"/>
    </xf>
    <xf numFmtId="0" fontId="4" fillId="10" borderId="71" xfId="0" applyFont="1" applyFill="1" applyBorder="1" applyAlignment="1">
      <alignment horizontal="left" vertical="top"/>
    </xf>
    <xf numFmtId="0" fontId="4" fillId="10" borderId="72" xfId="0" applyFont="1" applyFill="1" applyBorder="1" applyAlignment="1">
      <alignment horizontal="left" vertical="top"/>
    </xf>
    <xf numFmtId="0" fontId="4" fillId="10" borderId="82" xfId="0" applyFont="1" applyFill="1" applyBorder="1" applyAlignment="1">
      <alignment horizontal="left" vertical="top"/>
    </xf>
    <xf numFmtId="0" fontId="4" fillId="10" borderId="68" xfId="0" applyFont="1" applyFill="1" applyBorder="1" applyAlignment="1">
      <alignment horizontal="left" vertical="top"/>
    </xf>
    <xf numFmtId="0" fontId="4" fillId="0" borderId="72" xfId="0" applyFont="1" applyFill="1" applyBorder="1" applyAlignment="1">
      <alignment horizontal="left" vertical="top"/>
    </xf>
    <xf numFmtId="11" fontId="13" fillId="0" borderId="25" xfId="0" applyNumberFormat="1" applyFont="1" applyBorder="1" applyAlignment="1">
      <alignment horizontal="justify" vertical="center" wrapText="1"/>
    </xf>
    <xf numFmtId="0" fontId="13" fillId="0" borderId="25" xfId="0" applyFont="1" applyBorder="1" applyAlignment="1">
      <alignment horizontal="justify" vertical="center" wrapText="1"/>
    </xf>
    <xf numFmtId="0" fontId="24" fillId="0" borderId="31" xfId="1" applyFont="1" applyBorder="1" applyAlignment="1"/>
    <xf numFmtId="0" fontId="24" fillId="0" borderId="29" xfId="1" applyFont="1" applyBorder="1" applyAlignment="1"/>
    <xf numFmtId="0" fontId="4" fillId="0" borderId="63" xfId="0" applyFont="1" applyBorder="1" applyAlignment="1">
      <alignment horizontal="center" wrapText="1"/>
    </xf>
    <xf numFmtId="0" fontId="4" fillId="0" borderId="64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FF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StatGroupe!$B$40</c:f>
              <c:strCache>
                <c:ptCount val="1"/>
                <c:pt idx="0">
                  <c:v>Caractère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(StatGroupe!$K$4,StatGroupe!#REF!,StatGroupe!$G$61,StatGroupe!$I$61)</c:f>
            </c:multiLvlStrRef>
          </c:cat>
          <c:val>
            <c:numRef>
              <c:f>(StatGroupe!$K$5,StatGroupe!#REF!,StatGroupe!$G$62,StatGroupe!$I$62)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E-4D25-B8D7-637BBC3DF8CA}"/>
            </c:ext>
          </c:extLst>
        </c:ser>
        <c:ser>
          <c:idx val="1"/>
          <c:order val="1"/>
          <c:tx>
            <c:strRef>
              <c:f>StatGroupe!$B$42</c:f>
              <c:strCache>
                <c:ptCount val="1"/>
                <c:pt idx="0">
                  <c:v>Psychologie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(StatGroupe!$K$4,StatGroupe!#REF!,StatGroupe!$G$61,StatGroupe!$I$61)</c:f>
            </c:multiLvlStrRef>
          </c:cat>
          <c:val>
            <c:numRef>
              <c:f>(StatGroupe!$K$6,StatGroupe!#REF!,StatGroupe!$G$63,StatGroupe!$I$63)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E-4D25-B8D7-637BBC3DF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57056"/>
        <c:axId val="144265216"/>
      </c:barChart>
      <c:catAx>
        <c:axId val="1453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426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65216"/>
        <c:scaling>
          <c:orientation val="minMax"/>
          <c:max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5357056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(StatGroupe!$L$4,StatGroupe!$M$4,StatGroupe!$H$61,StatGroupe!$J$61)</c:f>
              <c:numCache>
                <c:formatCode>0</c:formatCode>
                <c:ptCount val="4"/>
                <c:pt idx="0">
                  <c:v>22</c:v>
                </c:pt>
                <c:pt idx="1">
                  <c:v>33</c:v>
                </c:pt>
              </c:numCache>
            </c:numRef>
          </c:cat>
          <c:val>
            <c:numRef>
              <c:f>(StatGroupe!$L$5,StatGroupe!$M$5,StatGroupe!$H$62,StatGroupe!$J$62)</c:f>
              <c:numCache>
                <c:formatCode>0</c:formatCode>
                <c:ptCount val="4"/>
                <c:pt idx="0">
                  <c:v>6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0-4601-A5EB-C922D64FA9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(StatGroupe!$L$4,StatGroupe!$M$4,StatGroupe!$H$61,StatGroupe!$J$61)</c:f>
              <c:numCache>
                <c:formatCode>0</c:formatCode>
                <c:ptCount val="4"/>
                <c:pt idx="0">
                  <c:v>22</c:v>
                </c:pt>
                <c:pt idx="1">
                  <c:v>33</c:v>
                </c:pt>
              </c:numCache>
            </c:numRef>
          </c:cat>
          <c:val>
            <c:numRef>
              <c:f>(StatGroupe!$L$6,StatGroupe!$M$6,StatGroupe!$H$63,StatGroupe!$J$63)</c:f>
              <c:numCache>
                <c:formatCode>0</c:formatCode>
                <c:ptCount val="4"/>
                <c:pt idx="0">
                  <c:v>28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0-4601-A5EB-C922D64FA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94272"/>
        <c:axId val="144295808"/>
      </c:barChart>
      <c:catAx>
        <c:axId val="1442942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42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95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4294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142875</xdr:rowOff>
    </xdr:from>
    <xdr:to>
      <xdr:col>4</xdr:col>
      <xdr:colOff>0</xdr:colOff>
      <xdr:row>18</xdr:row>
      <xdr:rowOff>142875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104775</xdr:rowOff>
    </xdr:from>
    <xdr:to>
      <xdr:col>4</xdr:col>
      <xdr:colOff>0</xdr:colOff>
      <xdr:row>23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sonnage_B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ersonnage_C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ersonnage_D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ersonnage_A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"/>
      <sheetName val="Talents"/>
      <sheetName val="ArmURe"/>
      <sheetName val="Corps"/>
    </sheetNames>
    <definedNames>
      <definedName name="Armure" refersTo="='Talents'!$AB$67"/>
      <definedName name="artGraphique" refersTo="='Perso'!$F$6"/>
      <definedName name="attaque" refersTo="='Talents'!$AB$44"/>
      <definedName name="bea" refersTo="='Perso'!$E$40"/>
      <definedName name="BM" refersTo="='Perso'!$J$5"/>
      <definedName name="car" refersTo="='Perso'!$E$28"/>
      <definedName name="cha" refersTo="='Perso'!$E$41"/>
      <definedName name="charge" refersTo="='Talents'!$AB$46"/>
      <definedName name="com" refersTo="='Perso'!$E$34"/>
      <definedName name="coo" refersTo="='Perso'!$E$19"/>
      <definedName name="défense" refersTo="='Talents'!$AB$50"/>
      <definedName name="embuscade" refersTo="='Talents'!$AB$52"/>
      <definedName name="equ" refersTo="='Perso'!$E$23"/>
      <definedName name="esquive" refersTo="='Talents'!$AB$54"/>
      <definedName name="fat" refersTo="='Perso'!$E$17"/>
      <definedName name="Foi" refersTo="='Perso'!$G$6"/>
      <definedName name="fuite" refersTo="='Talents'!$AB$56"/>
      <definedName name="Goût" refersTo="='Perso'!$B$46"/>
      <definedName name="inu" refersTo="='Perso'!$E$35"/>
      <definedName name="man" refersTo="='Perso'!$E$20"/>
      <definedName name="mem" refersTo="='Perso'!$E$26"/>
      <definedName name="NEC" refersTo="='Perso'!$J$11"/>
      <definedName name="NEM" refersTo="='Perso'!$J$34"/>
      <definedName name="Nourriture" refersTo="='Perso'!$J$44"/>
      <definedName name="NS" refersTo="='Perso'!$I$5"/>
      <definedName name="obéissance" refersTo="='Talents'!$AB$61"/>
      <definedName name="Odorat" refersTo="='Perso'!$B$45"/>
      <definedName name="Ouïe" refersTo="='Perso'!$B$44"/>
      <definedName name="poids" refersTo="='Perso'!$D$2"/>
      <definedName name="pui" refersTo="='Perso'!$E$13"/>
      <definedName name="rai" refersTo="='Perso'!$E$25"/>
      <definedName name="rap" refersTo="='Perso'!$E$32"/>
      <definedName name="réaction" refersTo="='Talents'!$AB$63"/>
      <definedName name="res" refersTo="='Perso'!$E$29"/>
      <definedName name="rob" refersTo="='Perso'!$E$38"/>
      <definedName name="san" refersTo="='Perso'!$E$37"/>
      <definedName name="sop" refersTo="='Perso'!$E$22"/>
      <definedName name="sou" refersTo="='Perso'!$E$16"/>
      <definedName name="taille" refersTo="='Perso'!$C$2"/>
      <definedName name="Toucher" refersTo="='Perso'!$B$47"/>
      <definedName name="vitesse" refersTo="='Talents'!$AB$66"/>
      <definedName name="voi" refersTo="='Perso'!$E$31"/>
      <definedName name="Vue" refersTo="='Perso'!$B$43"/>
    </definedNames>
    <sheetDataSet>
      <sheetData sheetId="0">
        <row r="2">
          <cell r="B2" t="str">
            <v>12/1/978</v>
          </cell>
          <cell r="C2">
            <v>165</v>
          </cell>
          <cell r="D2">
            <v>58</v>
          </cell>
          <cell r="E2" t="str">
            <v>brun foncé</v>
          </cell>
          <cell r="F2" t="str">
            <v>or</v>
          </cell>
          <cell r="G2">
            <v>0</v>
          </cell>
          <cell r="H2">
            <v>0</v>
          </cell>
          <cell r="I2" t="str">
            <v>bouc</v>
          </cell>
          <cell r="J2">
            <v>0</v>
          </cell>
        </row>
        <row r="3">
          <cell r="A3" t="str">
            <v>Raoul</v>
          </cell>
          <cell r="E3" t="str">
            <v>plat</v>
          </cell>
          <cell r="F3" t="str">
            <v>bas de nuque</v>
          </cell>
          <cell r="H3" t="str">
            <v xml:space="preserve"> </v>
          </cell>
          <cell r="I3" t="str">
            <v>peu pileux</v>
          </cell>
        </row>
        <row r="5">
          <cell r="A5" t="str">
            <v>agressif</v>
          </cell>
          <cell r="B5">
            <v>0</v>
          </cell>
          <cell r="D5">
            <v>0</v>
          </cell>
          <cell r="G5" t="str">
            <v>EI</v>
          </cell>
          <cell r="H5" t="str">
            <v xml:space="preserve"> </v>
          </cell>
          <cell r="I5">
            <v>2</v>
          </cell>
          <cell r="J5">
            <v>150</v>
          </cell>
        </row>
        <row r="6">
          <cell r="A6" t="str">
            <v>introverti</v>
          </cell>
          <cell r="B6">
            <v>0</v>
          </cell>
          <cell r="D6">
            <v>0</v>
          </cell>
          <cell r="F6">
            <v>40</v>
          </cell>
          <cell r="G6">
            <v>54</v>
          </cell>
          <cell r="H6" t="str">
            <v>Dargos</v>
          </cell>
          <cell r="I6" t="str">
            <v>sombre</v>
          </cell>
          <cell r="J6" t="str">
            <v>tueur</v>
          </cell>
        </row>
        <row r="11">
          <cell r="J11">
            <v>7</v>
          </cell>
        </row>
        <row r="12">
          <cell r="J12">
            <v>28.824999999999999</v>
          </cell>
        </row>
        <row r="13">
          <cell r="C13" t="str">
            <v>pui</v>
          </cell>
          <cell r="D13">
            <v>13</v>
          </cell>
          <cell r="E13">
            <v>52</v>
          </cell>
          <cell r="F13">
            <v>3</v>
          </cell>
          <cell r="G13">
            <v>52</v>
          </cell>
          <cell r="J13">
            <v>13.9</v>
          </cell>
        </row>
        <row r="14">
          <cell r="C14" t="str">
            <v>pou</v>
          </cell>
          <cell r="D14">
            <v>13</v>
          </cell>
          <cell r="E14">
            <v>52</v>
          </cell>
          <cell r="G14">
            <v>52</v>
          </cell>
          <cell r="J14">
            <v>33</v>
          </cell>
        </row>
        <row r="15">
          <cell r="C15" t="str">
            <v>En</v>
          </cell>
          <cell r="J15">
            <v>8</v>
          </cell>
        </row>
        <row r="16">
          <cell r="C16" t="str">
            <v>sou</v>
          </cell>
          <cell r="D16">
            <v>9</v>
          </cell>
          <cell r="E16">
            <v>36</v>
          </cell>
          <cell r="G16">
            <v>36</v>
          </cell>
          <cell r="J16">
            <v>61</v>
          </cell>
        </row>
        <row r="17">
          <cell r="C17" t="str">
            <v>fat</v>
          </cell>
          <cell r="D17">
            <v>9</v>
          </cell>
          <cell r="E17">
            <v>36</v>
          </cell>
          <cell r="G17">
            <v>36</v>
          </cell>
          <cell r="J17">
            <v>9.75</v>
          </cell>
        </row>
        <row r="18">
          <cell r="C18" t="str">
            <v>D</v>
          </cell>
          <cell r="J18">
            <v>45</v>
          </cell>
        </row>
        <row r="19">
          <cell r="C19" t="str">
            <v>coo</v>
          </cell>
          <cell r="D19">
            <v>20</v>
          </cell>
          <cell r="E19">
            <v>75</v>
          </cell>
          <cell r="G19">
            <v>110</v>
          </cell>
          <cell r="J19">
            <v>62.4</v>
          </cell>
        </row>
        <row r="20">
          <cell r="C20" t="str">
            <v>man</v>
          </cell>
          <cell r="D20">
            <v>16</v>
          </cell>
          <cell r="E20">
            <v>70</v>
          </cell>
          <cell r="G20">
            <v>94</v>
          </cell>
          <cell r="J20">
            <v>56.15</v>
          </cell>
        </row>
        <row r="21">
          <cell r="C21" t="str">
            <v>A</v>
          </cell>
          <cell r="J21">
            <v>40.424999999999997</v>
          </cell>
        </row>
        <row r="22">
          <cell r="C22" t="str">
            <v>sop</v>
          </cell>
          <cell r="D22">
            <v>13</v>
          </cell>
          <cell r="E22">
            <v>53</v>
          </cell>
          <cell r="G22">
            <v>65</v>
          </cell>
          <cell r="J22">
            <v>18</v>
          </cell>
        </row>
        <row r="23">
          <cell r="C23" t="str">
            <v>equ</v>
          </cell>
          <cell r="D23">
            <v>13</v>
          </cell>
          <cell r="E23">
            <v>40</v>
          </cell>
          <cell r="G23">
            <v>65</v>
          </cell>
          <cell r="J23">
            <v>5.5</v>
          </cell>
        </row>
        <row r="24">
          <cell r="C24" t="str">
            <v>I</v>
          </cell>
          <cell r="J24">
            <v>44.8</v>
          </cell>
        </row>
        <row r="25">
          <cell r="C25" t="str">
            <v>rai</v>
          </cell>
          <cell r="D25">
            <v>13</v>
          </cell>
          <cell r="E25">
            <v>47</v>
          </cell>
          <cell r="G25">
            <v>52</v>
          </cell>
          <cell r="J25">
            <v>49</v>
          </cell>
        </row>
        <row r="26">
          <cell r="C26" t="str">
            <v>mem</v>
          </cell>
          <cell r="D26">
            <v>11</v>
          </cell>
          <cell r="E26">
            <v>33</v>
          </cell>
          <cell r="G26">
            <v>44</v>
          </cell>
          <cell r="J26">
            <v>37.65</v>
          </cell>
        </row>
        <row r="27">
          <cell r="C27" t="str">
            <v>V</v>
          </cell>
          <cell r="D27">
            <v>13</v>
          </cell>
          <cell r="E27">
            <v>14</v>
          </cell>
          <cell r="J27">
            <v>8</v>
          </cell>
        </row>
        <row r="28">
          <cell r="C28" t="str">
            <v>car</v>
          </cell>
          <cell r="D28">
            <v>17</v>
          </cell>
          <cell r="E28">
            <v>50</v>
          </cell>
          <cell r="G28">
            <v>68</v>
          </cell>
          <cell r="J28">
            <v>11</v>
          </cell>
        </row>
        <row r="29">
          <cell r="C29" t="str">
            <v>res</v>
          </cell>
          <cell r="D29">
            <v>13</v>
          </cell>
          <cell r="E29">
            <v>52</v>
          </cell>
          <cell r="G29">
            <v>52</v>
          </cell>
          <cell r="J29">
            <v>55</v>
          </cell>
        </row>
        <row r="30">
          <cell r="C30" t="str">
            <v>E</v>
          </cell>
          <cell r="J30">
            <v>52</v>
          </cell>
        </row>
        <row r="31">
          <cell r="C31" t="str">
            <v>voi</v>
          </cell>
          <cell r="D31">
            <v>5</v>
          </cell>
          <cell r="E31">
            <v>15</v>
          </cell>
          <cell r="G31">
            <v>15</v>
          </cell>
          <cell r="J31">
            <v>104</v>
          </cell>
        </row>
        <row r="32">
          <cell r="C32" t="str">
            <v>rap</v>
          </cell>
          <cell r="D32">
            <v>5</v>
          </cell>
          <cell r="E32">
            <v>15</v>
          </cell>
          <cell r="G32">
            <v>15</v>
          </cell>
          <cell r="J32">
            <v>156</v>
          </cell>
        </row>
        <row r="33">
          <cell r="C33" t="str">
            <v>Em</v>
          </cell>
          <cell r="J33">
            <v>14752</v>
          </cell>
        </row>
        <row r="34">
          <cell r="C34" t="str">
            <v>com</v>
          </cell>
          <cell r="D34">
            <v>9</v>
          </cell>
          <cell r="E34">
            <v>36</v>
          </cell>
          <cell r="G34">
            <v>36</v>
          </cell>
          <cell r="J34">
            <v>0</v>
          </cell>
        </row>
        <row r="35">
          <cell r="C35" t="str">
            <v>inu</v>
          </cell>
          <cell r="D35">
            <v>9</v>
          </cell>
          <cell r="E35">
            <v>36</v>
          </cell>
          <cell r="G35">
            <v>36</v>
          </cell>
          <cell r="J35">
            <v>20</v>
          </cell>
        </row>
        <row r="36">
          <cell r="C36" t="str">
            <v>C</v>
          </cell>
          <cell r="J36">
            <v>8</v>
          </cell>
        </row>
        <row r="37">
          <cell r="C37" t="str">
            <v>san</v>
          </cell>
          <cell r="D37">
            <v>11</v>
          </cell>
          <cell r="E37">
            <v>44</v>
          </cell>
          <cell r="G37">
            <v>44</v>
          </cell>
          <cell r="J37">
            <v>12</v>
          </cell>
        </row>
        <row r="38">
          <cell r="C38" t="str">
            <v>rob</v>
          </cell>
          <cell r="D38">
            <v>11</v>
          </cell>
          <cell r="E38">
            <v>44</v>
          </cell>
          <cell r="G38">
            <v>45</v>
          </cell>
          <cell r="J38">
            <v>0</v>
          </cell>
        </row>
        <row r="39">
          <cell r="C39" t="str">
            <v>Ap</v>
          </cell>
          <cell r="J39" t="str">
            <v>6 /+ 0</v>
          </cell>
        </row>
        <row r="40">
          <cell r="C40" t="str">
            <v>bea</v>
          </cell>
          <cell r="D40">
            <v>11</v>
          </cell>
          <cell r="E40">
            <v>22</v>
          </cell>
          <cell r="G40">
            <v>33</v>
          </cell>
          <cell r="J40">
            <v>12</v>
          </cell>
        </row>
        <row r="41">
          <cell r="C41" t="str">
            <v>cha</v>
          </cell>
          <cell r="D41">
            <v>11</v>
          </cell>
          <cell r="E41">
            <v>21</v>
          </cell>
          <cell r="G41">
            <v>33</v>
          </cell>
          <cell r="J41">
            <v>91</v>
          </cell>
        </row>
        <row r="42">
          <cell r="J42">
            <v>9</v>
          </cell>
        </row>
        <row r="43">
          <cell r="B43">
            <v>60</v>
          </cell>
          <cell r="J43">
            <v>46.75</v>
          </cell>
        </row>
        <row r="44">
          <cell r="B44">
            <v>64</v>
          </cell>
          <cell r="J44" t="str">
            <v>2 PdN/j</v>
          </cell>
        </row>
        <row r="45">
          <cell r="B45">
            <v>63</v>
          </cell>
          <cell r="J45" t="str">
            <v>3,6 km/h</v>
          </cell>
        </row>
        <row r="46">
          <cell r="B46">
            <v>55</v>
          </cell>
          <cell r="J46">
            <v>11</v>
          </cell>
        </row>
        <row r="47">
          <cell r="B47">
            <v>60</v>
          </cell>
          <cell r="J47" t="str">
            <v>4,5m / 1,5m</v>
          </cell>
        </row>
      </sheetData>
      <sheetData sheetId="1">
        <row r="2">
          <cell r="C2" t="str">
            <v>equ</v>
          </cell>
          <cell r="D2" t="str">
            <v>equ</v>
          </cell>
          <cell r="J2">
            <v>10</v>
          </cell>
          <cell r="K2">
            <v>20</v>
          </cell>
          <cell r="L2">
            <v>0</v>
          </cell>
          <cell r="M2">
            <v>63</v>
          </cell>
          <cell r="Z2">
            <v>13.5</v>
          </cell>
          <cell r="AA2">
            <v>27</v>
          </cell>
          <cell r="AC2">
            <v>71</v>
          </cell>
        </row>
        <row r="3">
          <cell r="J3">
            <v>9</v>
          </cell>
          <cell r="K3">
            <v>18</v>
          </cell>
          <cell r="L3">
            <v>0</v>
          </cell>
          <cell r="M3">
            <v>64</v>
          </cell>
          <cell r="Z3">
            <v>12</v>
          </cell>
          <cell r="AA3">
            <v>24</v>
          </cell>
          <cell r="AB3">
            <v>0</v>
          </cell>
          <cell r="AC3">
            <v>61</v>
          </cell>
        </row>
        <row r="4">
          <cell r="J4">
            <v>8.5</v>
          </cell>
          <cell r="K4">
            <v>17</v>
          </cell>
          <cell r="L4">
            <v>0</v>
          </cell>
          <cell r="M4">
            <v>55</v>
          </cell>
          <cell r="Z4">
            <v>12</v>
          </cell>
          <cell r="AA4">
            <v>24</v>
          </cell>
          <cell r="AB4">
            <v>0</v>
          </cell>
          <cell r="AC4">
            <v>61</v>
          </cell>
        </row>
        <row r="5">
          <cell r="I5">
            <v>9.5</v>
          </cell>
          <cell r="J5">
            <v>17.5</v>
          </cell>
          <cell r="K5">
            <v>35</v>
          </cell>
          <cell r="M5">
            <v>80</v>
          </cell>
          <cell r="Z5">
            <v>17.5</v>
          </cell>
          <cell r="AA5">
            <v>35</v>
          </cell>
          <cell r="AB5">
            <v>25</v>
          </cell>
          <cell r="AC5">
            <v>80</v>
          </cell>
        </row>
        <row r="6">
          <cell r="F6">
            <v>75</v>
          </cell>
          <cell r="G6">
            <v>36</v>
          </cell>
          <cell r="J6">
            <v>19</v>
          </cell>
          <cell r="K6">
            <v>38</v>
          </cell>
          <cell r="M6">
            <v>80</v>
          </cell>
          <cell r="Z6">
            <v>13</v>
          </cell>
          <cell r="AA6">
            <v>26</v>
          </cell>
          <cell r="AB6">
            <v>0</v>
          </cell>
          <cell r="AC6">
            <v>70</v>
          </cell>
        </row>
        <row r="7">
          <cell r="J7">
            <v>19</v>
          </cell>
          <cell r="K7">
            <v>38</v>
          </cell>
          <cell r="L7">
            <v>50</v>
          </cell>
          <cell r="M7">
            <v>70</v>
          </cell>
          <cell r="Z7">
            <v>12</v>
          </cell>
          <cell r="AA7">
            <v>24</v>
          </cell>
          <cell r="AB7">
            <v>0</v>
          </cell>
          <cell r="AC7">
            <v>61</v>
          </cell>
        </row>
        <row r="8">
          <cell r="J8">
            <v>9</v>
          </cell>
          <cell r="K8">
            <v>18</v>
          </cell>
          <cell r="L8">
            <v>0</v>
          </cell>
          <cell r="M8">
            <v>63</v>
          </cell>
          <cell r="Z8">
            <v>13</v>
          </cell>
          <cell r="AA8">
            <v>26</v>
          </cell>
          <cell r="AB8">
            <v>0</v>
          </cell>
          <cell r="AC8">
            <v>69</v>
          </cell>
        </row>
        <row r="9">
          <cell r="J9">
            <v>4</v>
          </cell>
          <cell r="K9">
            <v>8</v>
          </cell>
          <cell r="L9">
            <v>21</v>
          </cell>
          <cell r="M9">
            <v>31</v>
          </cell>
          <cell r="Z9">
            <v>17.5</v>
          </cell>
          <cell r="AA9">
            <v>35</v>
          </cell>
          <cell r="AB9">
            <v>0</v>
          </cell>
          <cell r="AC9">
            <v>80</v>
          </cell>
        </row>
        <row r="10">
          <cell r="J10">
            <v>14</v>
          </cell>
          <cell r="K10">
            <v>28</v>
          </cell>
          <cell r="L10">
            <v>0</v>
          </cell>
          <cell r="M10">
            <v>68</v>
          </cell>
          <cell r="Z10">
            <v>12</v>
          </cell>
          <cell r="AA10">
            <v>24</v>
          </cell>
          <cell r="AB10">
            <v>0</v>
          </cell>
          <cell r="AC10">
            <v>62</v>
          </cell>
        </row>
        <row r="11">
          <cell r="J11">
            <v>9</v>
          </cell>
          <cell r="K11">
            <v>18</v>
          </cell>
          <cell r="L11">
            <v>0</v>
          </cell>
          <cell r="M11">
            <v>71</v>
          </cell>
          <cell r="Z11">
            <v>12.5</v>
          </cell>
          <cell r="AA11">
            <v>25</v>
          </cell>
          <cell r="AB11">
            <v>0</v>
          </cell>
          <cell r="AC11">
            <v>59</v>
          </cell>
        </row>
        <row r="12">
          <cell r="J12">
            <v>12</v>
          </cell>
          <cell r="K12">
            <v>24</v>
          </cell>
          <cell r="L12">
            <v>0</v>
          </cell>
          <cell r="M12">
            <v>61</v>
          </cell>
          <cell r="Z12">
            <v>13.5</v>
          </cell>
          <cell r="AA12">
            <v>27</v>
          </cell>
          <cell r="AB12">
            <v>0</v>
          </cell>
          <cell r="AC12">
            <v>67</v>
          </cell>
        </row>
        <row r="13">
          <cell r="E13" t="str">
            <v>coo</v>
          </cell>
          <cell r="J13">
            <v>13.5</v>
          </cell>
          <cell r="K13">
            <v>27</v>
          </cell>
          <cell r="L13">
            <v>0</v>
          </cell>
          <cell r="M13">
            <v>70</v>
          </cell>
          <cell r="Z13">
            <v>4</v>
          </cell>
          <cell r="AA13">
            <v>8</v>
          </cell>
          <cell r="AB13">
            <v>0</v>
          </cell>
          <cell r="AC13">
            <v>40</v>
          </cell>
        </row>
        <row r="14">
          <cell r="J14">
            <v>4</v>
          </cell>
          <cell r="K14">
            <v>8</v>
          </cell>
          <cell r="L14">
            <v>0</v>
          </cell>
          <cell r="M14">
            <v>32</v>
          </cell>
          <cell r="Z14">
            <v>17.5</v>
          </cell>
          <cell r="AA14">
            <v>35</v>
          </cell>
          <cell r="AB14">
            <v>0</v>
          </cell>
          <cell r="AC14">
            <v>80</v>
          </cell>
        </row>
        <row r="15">
          <cell r="J15">
            <v>13</v>
          </cell>
          <cell r="K15">
            <v>26</v>
          </cell>
          <cell r="L15">
            <v>0</v>
          </cell>
          <cell r="M15">
            <v>73</v>
          </cell>
          <cell r="Z15">
            <v>9</v>
          </cell>
          <cell r="AA15">
            <v>18</v>
          </cell>
          <cell r="AB15">
            <v>0</v>
          </cell>
          <cell r="AC15">
            <v>74</v>
          </cell>
        </row>
        <row r="16">
          <cell r="E16" t="str">
            <v>sop</v>
          </cell>
          <cell r="J16">
            <v>9</v>
          </cell>
          <cell r="K16">
            <v>18</v>
          </cell>
          <cell r="L16">
            <v>0</v>
          </cell>
          <cell r="M16">
            <v>66</v>
          </cell>
          <cell r="Z16">
            <v>5.5</v>
          </cell>
          <cell r="AA16">
            <v>11</v>
          </cell>
          <cell r="AB16">
            <v>0</v>
          </cell>
          <cell r="AC16">
            <v>40</v>
          </cell>
        </row>
        <row r="17">
          <cell r="E17" t="str">
            <v>man</v>
          </cell>
          <cell r="J17">
            <v>12.5</v>
          </cell>
          <cell r="K17">
            <v>25</v>
          </cell>
          <cell r="L17">
            <v>0</v>
          </cell>
          <cell r="M17">
            <v>63</v>
          </cell>
          <cell r="Z17">
            <v>12</v>
          </cell>
          <cell r="AA17">
            <v>24</v>
          </cell>
          <cell r="AB17">
            <v>0</v>
          </cell>
          <cell r="AC17">
            <v>66</v>
          </cell>
        </row>
        <row r="18">
          <cell r="J18">
            <v>12.5</v>
          </cell>
          <cell r="K18">
            <v>25</v>
          </cell>
          <cell r="L18">
            <v>0</v>
          </cell>
          <cell r="M18">
            <v>60</v>
          </cell>
          <cell r="Z18">
            <v>9</v>
          </cell>
          <cell r="AA18">
            <v>18</v>
          </cell>
          <cell r="AC18">
            <v>57</v>
          </cell>
        </row>
        <row r="19">
          <cell r="E19" t="str">
            <v>sou</v>
          </cell>
          <cell r="J19">
            <v>13</v>
          </cell>
          <cell r="K19">
            <v>26</v>
          </cell>
          <cell r="L19">
            <v>0</v>
          </cell>
          <cell r="M19">
            <v>72</v>
          </cell>
          <cell r="Z19">
            <v>9</v>
          </cell>
          <cell r="AA19">
            <v>18</v>
          </cell>
          <cell r="AC19">
            <v>57</v>
          </cell>
        </row>
        <row r="20">
          <cell r="E20" t="str">
            <v>inu</v>
          </cell>
          <cell r="J20">
            <v>12</v>
          </cell>
          <cell r="K20">
            <v>24</v>
          </cell>
          <cell r="L20">
            <v>0</v>
          </cell>
          <cell r="M20">
            <v>79</v>
          </cell>
          <cell r="Z20">
            <v>9</v>
          </cell>
          <cell r="AA20">
            <v>18</v>
          </cell>
          <cell r="AC20">
            <v>57</v>
          </cell>
        </row>
        <row r="21">
          <cell r="J21">
            <v>12.5</v>
          </cell>
          <cell r="K21">
            <v>25</v>
          </cell>
          <cell r="L21">
            <v>0</v>
          </cell>
          <cell r="M21">
            <v>73</v>
          </cell>
          <cell r="Z21">
            <v>9</v>
          </cell>
          <cell r="AA21">
            <v>18</v>
          </cell>
          <cell r="AC21">
            <v>57</v>
          </cell>
        </row>
        <row r="22">
          <cell r="E22" t="str">
            <v>cha</v>
          </cell>
          <cell r="J22">
            <v>4</v>
          </cell>
          <cell r="K22">
            <v>8</v>
          </cell>
          <cell r="L22">
            <v>4</v>
          </cell>
          <cell r="M22">
            <v>42</v>
          </cell>
          <cell r="Z22">
            <v>9</v>
          </cell>
          <cell r="AA22">
            <v>18</v>
          </cell>
          <cell r="AC22">
            <v>57</v>
          </cell>
        </row>
        <row r="23">
          <cell r="E23" t="str">
            <v>sop</v>
          </cell>
          <cell r="J23">
            <v>9</v>
          </cell>
          <cell r="K23">
            <v>18</v>
          </cell>
          <cell r="L23">
            <v>0</v>
          </cell>
          <cell r="M23">
            <v>66</v>
          </cell>
          <cell r="Z23">
            <v>9</v>
          </cell>
          <cell r="AA23">
            <v>18</v>
          </cell>
          <cell r="AC23">
            <v>57</v>
          </cell>
        </row>
        <row r="24">
          <cell r="J24">
            <v>17.5</v>
          </cell>
          <cell r="K24">
            <v>35</v>
          </cell>
          <cell r="L24">
            <v>0</v>
          </cell>
          <cell r="M24">
            <v>80</v>
          </cell>
          <cell r="Z24">
            <v>9</v>
          </cell>
          <cell r="AA24">
            <v>18</v>
          </cell>
          <cell r="AC24">
            <v>57</v>
          </cell>
        </row>
        <row r="25">
          <cell r="E25" t="str">
            <v>man</v>
          </cell>
          <cell r="J25">
            <v>10</v>
          </cell>
          <cell r="K25">
            <v>20</v>
          </cell>
          <cell r="L25">
            <v>0</v>
          </cell>
          <cell r="M25">
            <v>66</v>
          </cell>
          <cell r="Z25">
            <v>9</v>
          </cell>
          <cell r="AA25">
            <v>18</v>
          </cell>
          <cell r="AC25">
            <v>57</v>
          </cell>
        </row>
        <row r="26">
          <cell r="E26" t="str">
            <v>sop</v>
          </cell>
          <cell r="J26">
            <v>17.5</v>
          </cell>
          <cell r="K26">
            <v>35</v>
          </cell>
          <cell r="L26">
            <v>55</v>
          </cell>
          <cell r="M26">
            <v>80</v>
          </cell>
          <cell r="Z26">
            <v>9</v>
          </cell>
          <cell r="AA26">
            <v>18</v>
          </cell>
          <cell r="AC26">
            <v>57</v>
          </cell>
        </row>
        <row r="27">
          <cell r="J27">
            <v>9</v>
          </cell>
          <cell r="K27">
            <v>18</v>
          </cell>
          <cell r="L27">
            <v>20</v>
          </cell>
          <cell r="M27">
            <v>61</v>
          </cell>
          <cell r="Z27">
            <v>9</v>
          </cell>
          <cell r="AA27">
            <v>18</v>
          </cell>
          <cell r="AC27">
            <v>57</v>
          </cell>
        </row>
        <row r="28">
          <cell r="E28" t="str">
            <v>sop</v>
          </cell>
          <cell r="J28">
            <v>17.5</v>
          </cell>
          <cell r="K28">
            <v>35</v>
          </cell>
          <cell r="L28">
            <v>0</v>
          </cell>
          <cell r="M28">
            <v>80</v>
          </cell>
          <cell r="Z28">
            <v>9</v>
          </cell>
          <cell r="AA28">
            <v>18</v>
          </cell>
          <cell r="AC28">
            <v>57</v>
          </cell>
        </row>
        <row r="29">
          <cell r="E29" t="str">
            <v>com</v>
          </cell>
          <cell r="J29">
            <v>8.5</v>
          </cell>
          <cell r="K29">
            <v>17</v>
          </cell>
          <cell r="L29">
            <v>0</v>
          </cell>
          <cell r="M29">
            <v>69</v>
          </cell>
          <cell r="Z29">
            <v>9</v>
          </cell>
          <cell r="AA29">
            <v>18</v>
          </cell>
          <cell r="AC29">
            <v>57</v>
          </cell>
        </row>
        <row r="30">
          <cell r="J30">
            <v>13.5</v>
          </cell>
          <cell r="K30">
            <v>27</v>
          </cell>
          <cell r="L30">
            <v>0</v>
          </cell>
          <cell r="M30">
            <v>61</v>
          </cell>
          <cell r="Z30">
            <v>9</v>
          </cell>
          <cell r="AA30">
            <v>18</v>
          </cell>
          <cell r="AC30">
            <v>57</v>
          </cell>
        </row>
        <row r="31">
          <cell r="E31" t="str">
            <v>voi</v>
          </cell>
          <cell r="J31">
            <v>12</v>
          </cell>
          <cell r="K31">
            <v>24</v>
          </cell>
          <cell r="L31">
            <v>0</v>
          </cell>
          <cell r="M31">
            <v>64</v>
          </cell>
          <cell r="Z31">
            <v>12.5</v>
          </cell>
          <cell r="AA31">
            <v>25</v>
          </cell>
          <cell r="AB31">
            <v>40</v>
          </cell>
          <cell r="AC31">
            <v>80</v>
          </cell>
        </row>
        <row r="32">
          <cell r="E32" t="str">
            <v>rai</v>
          </cell>
          <cell r="J32">
            <v>13.5</v>
          </cell>
          <cell r="K32">
            <v>27</v>
          </cell>
          <cell r="L32">
            <v>58</v>
          </cell>
          <cell r="M32">
            <v>70</v>
          </cell>
          <cell r="Z32">
            <v>13</v>
          </cell>
          <cell r="AA32">
            <v>26</v>
          </cell>
          <cell r="AB32">
            <v>35</v>
          </cell>
          <cell r="AC32">
            <v>75</v>
          </cell>
        </row>
        <row r="33">
          <cell r="J33">
            <v>19</v>
          </cell>
          <cell r="K33">
            <v>38</v>
          </cell>
          <cell r="M33">
            <v>80</v>
          </cell>
          <cell r="Z33">
            <v>9</v>
          </cell>
          <cell r="AA33">
            <v>18</v>
          </cell>
          <cell r="AB33">
            <v>52</v>
          </cell>
          <cell r="AC33">
            <v>66</v>
          </cell>
        </row>
        <row r="34">
          <cell r="E34" t="str">
            <v>inu</v>
          </cell>
          <cell r="J34">
            <v>12.5</v>
          </cell>
          <cell r="K34">
            <v>25</v>
          </cell>
          <cell r="L34">
            <v>0</v>
          </cell>
          <cell r="M34">
            <v>65</v>
          </cell>
          <cell r="Z34">
            <v>8.5</v>
          </cell>
          <cell r="AA34">
            <v>17</v>
          </cell>
          <cell r="AB34">
            <v>0</v>
          </cell>
          <cell r="AC34">
            <v>62</v>
          </cell>
        </row>
        <row r="35">
          <cell r="E35" t="str">
            <v>man</v>
          </cell>
          <cell r="J35">
            <v>8.5</v>
          </cell>
          <cell r="K35">
            <v>17</v>
          </cell>
          <cell r="L35">
            <v>24</v>
          </cell>
          <cell r="M35">
            <v>60</v>
          </cell>
          <cell r="Z35">
            <v>17.5</v>
          </cell>
          <cell r="AA35">
            <v>35</v>
          </cell>
          <cell r="AB35">
            <v>0</v>
          </cell>
          <cell r="AC35">
            <v>70</v>
          </cell>
        </row>
        <row r="36">
          <cell r="J36">
            <v>13.5</v>
          </cell>
          <cell r="K36">
            <v>27</v>
          </cell>
          <cell r="L36">
            <v>50</v>
          </cell>
          <cell r="M36">
            <v>80</v>
          </cell>
          <cell r="AC36">
            <v>0</v>
          </cell>
        </row>
        <row r="37">
          <cell r="E37" t="str">
            <v>com</v>
          </cell>
          <cell r="J37">
            <v>17.5</v>
          </cell>
          <cell r="K37">
            <v>35</v>
          </cell>
          <cell r="L37">
            <v>0</v>
          </cell>
          <cell r="M37">
            <v>80</v>
          </cell>
        </row>
        <row r="38">
          <cell r="E38" t="str">
            <v>com</v>
          </cell>
          <cell r="J38">
            <v>12</v>
          </cell>
          <cell r="K38">
            <v>24</v>
          </cell>
          <cell r="L38">
            <v>0</v>
          </cell>
          <cell r="M38">
            <v>69</v>
          </cell>
        </row>
        <row r="39">
          <cell r="J39">
            <v>8.5</v>
          </cell>
          <cell r="K39">
            <v>17</v>
          </cell>
          <cell r="L39">
            <v>0</v>
          </cell>
          <cell r="M39">
            <v>51</v>
          </cell>
        </row>
        <row r="40">
          <cell r="E40" t="str">
            <v>inu</v>
          </cell>
          <cell r="J40">
            <v>8.5</v>
          </cell>
          <cell r="K40">
            <v>17</v>
          </cell>
          <cell r="L40">
            <v>0</v>
          </cell>
          <cell r="M40">
            <v>57</v>
          </cell>
          <cell r="Z40" t="str">
            <v>N1</v>
          </cell>
          <cell r="AA40" t="str">
            <v>N2</v>
          </cell>
          <cell r="AC40" t="str">
            <v>N3</v>
          </cell>
        </row>
        <row r="41">
          <cell r="E41" t="str">
            <v>inu</v>
          </cell>
          <cell r="J41">
            <v>9</v>
          </cell>
          <cell r="K41">
            <v>18</v>
          </cell>
          <cell r="L41">
            <v>0</v>
          </cell>
          <cell r="M41">
            <v>60</v>
          </cell>
          <cell r="Z41">
            <v>19</v>
          </cell>
          <cell r="AA41">
            <v>38</v>
          </cell>
          <cell r="AB41">
            <v>23</v>
          </cell>
          <cell r="AC41">
            <v>70</v>
          </cell>
        </row>
        <row r="42">
          <cell r="J42">
            <v>9</v>
          </cell>
          <cell r="K42">
            <v>18</v>
          </cell>
          <cell r="L42">
            <v>33</v>
          </cell>
          <cell r="M42">
            <v>38</v>
          </cell>
          <cell r="Z42">
            <v>13</v>
          </cell>
          <cell r="AA42">
            <v>26</v>
          </cell>
          <cell r="AB42">
            <v>8.5</v>
          </cell>
          <cell r="AC42">
            <v>70</v>
          </cell>
        </row>
        <row r="43">
          <cell r="B43" t="str">
            <v xml:space="preserve">Jeu </v>
          </cell>
          <cell r="J43">
            <v>12</v>
          </cell>
          <cell r="K43">
            <v>24</v>
          </cell>
          <cell r="L43">
            <v>0</v>
          </cell>
          <cell r="M43">
            <v>56</v>
          </cell>
          <cell r="Z43">
            <v>19</v>
          </cell>
          <cell r="AA43">
            <v>38</v>
          </cell>
          <cell r="AB43">
            <v>16.5</v>
          </cell>
          <cell r="AC43">
            <v>70</v>
          </cell>
        </row>
        <row r="44">
          <cell r="B44" t="str">
            <v>Joaillerie</v>
          </cell>
          <cell r="J44">
            <v>17.5</v>
          </cell>
          <cell r="K44">
            <v>35</v>
          </cell>
          <cell r="L44">
            <v>0</v>
          </cell>
          <cell r="M44">
            <v>80</v>
          </cell>
          <cell r="Z44">
            <v>13</v>
          </cell>
          <cell r="AA44">
            <v>26</v>
          </cell>
          <cell r="AB44">
            <v>61</v>
          </cell>
          <cell r="AC44">
            <v>70</v>
          </cell>
        </row>
        <row r="45">
          <cell r="B45" t="str">
            <v xml:space="preserve">Langue Divine + </v>
          </cell>
          <cell r="J45">
            <v>9</v>
          </cell>
          <cell r="K45">
            <v>18</v>
          </cell>
          <cell r="L45">
            <v>0</v>
          </cell>
          <cell r="M45">
            <v>53</v>
          </cell>
          <cell r="Z45">
            <v>13</v>
          </cell>
          <cell r="AA45">
            <v>26</v>
          </cell>
          <cell r="AB45">
            <v>11</v>
          </cell>
          <cell r="AC45">
            <v>70</v>
          </cell>
        </row>
        <row r="46">
          <cell r="B46" t="str">
            <v>+</v>
          </cell>
          <cell r="J46">
            <v>9</v>
          </cell>
          <cell r="K46">
            <v>18</v>
          </cell>
          <cell r="M46">
            <v>53</v>
          </cell>
          <cell r="Z46">
            <v>9</v>
          </cell>
          <cell r="AA46">
            <v>18</v>
          </cell>
          <cell r="AB46">
            <v>8</v>
          </cell>
          <cell r="AC46">
            <v>66</v>
          </cell>
        </row>
        <row r="47">
          <cell r="B47" t="str">
            <v>Langue non-hu +</v>
          </cell>
          <cell r="J47">
            <v>8.5</v>
          </cell>
          <cell r="K47">
            <v>17</v>
          </cell>
          <cell r="L47">
            <v>0</v>
          </cell>
          <cell r="M47">
            <v>55</v>
          </cell>
          <cell r="Z47">
            <v>19</v>
          </cell>
          <cell r="AA47">
            <v>38</v>
          </cell>
          <cell r="AC47">
            <v>70</v>
          </cell>
        </row>
        <row r="48">
          <cell r="J48">
            <v>8.5</v>
          </cell>
          <cell r="K48">
            <v>17</v>
          </cell>
          <cell r="M48">
            <v>55</v>
          </cell>
          <cell r="Z48">
            <v>17.5</v>
          </cell>
          <cell r="AA48">
            <v>35</v>
          </cell>
          <cell r="AB48">
            <v>25</v>
          </cell>
          <cell r="AC48">
            <v>70</v>
          </cell>
        </row>
        <row r="49">
          <cell r="J49">
            <v>8.5</v>
          </cell>
          <cell r="K49">
            <v>17</v>
          </cell>
          <cell r="M49">
            <v>55</v>
          </cell>
          <cell r="Z49">
            <v>19</v>
          </cell>
          <cell r="AA49">
            <v>38</v>
          </cell>
          <cell r="AB49">
            <v>54</v>
          </cell>
          <cell r="AC49">
            <v>70</v>
          </cell>
        </row>
        <row r="50">
          <cell r="J50">
            <v>8.5</v>
          </cell>
          <cell r="K50">
            <v>17</v>
          </cell>
          <cell r="L50">
            <v>0</v>
          </cell>
          <cell r="M50">
            <v>51</v>
          </cell>
          <cell r="Z50">
            <v>13.5</v>
          </cell>
          <cell r="AA50">
            <v>27</v>
          </cell>
          <cell r="AB50">
            <v>45</v>
          </cell>
          <cell r="AC50">
            <v>70</v>
          </cell>
        </row>
        <row r="51">
          <cell r="J51">
            <v>12</v>
          </cell>
          <cell r="K51">
            <v>24</v>
          </cell>
          <cell r="L51">
            <v>47</v>
          </cell>
          <cell r="M51">
            <v>61</v>
          </cell>
          <cell r="Z51">
            <v>19</v>
          </cell>
          <cell r="AA51">
            <v>38</v>
          </cell>
          <cell r="AB51">
            <v>18</v>
          </cell>
          <cell r="AC51">
            <v>70</v>
          </cell>
        </row>
        <row r="52">
          <cell r="J52">
            <v>12</v>
          </cell>
          <cell r="K52">
            <v>24</v>
          </cell>
          <cell r="M52">
            <v>61</v>
          </cell>
          <cell r="Z52">
            <v>9</v>
          </cell>
          <cell r="AA52">
            <v>18</v>
          </cell>
          <cell r="AB52">
            <v>42</v>
          </cell>
          <cell r="AC52">
            <v>66</v>
          </cell>
        </row>
        <row r="53">
          <cell r="J53">
            <v>12</v>
          </cell>
          <cell r="K53">
            <v>24</v>
          </cell>
          <cell r="M53">
            <v>61</v>
          </cell>
          <cell r="Z53">
            <v>13</v>
          </cell>
          <cell r="AA53">
            <v>26</v>
          </cell>
          <cell r="AB53">
            <v>12</v>
          </cell>
          <cell r="AC53">
            <v>70</v>
          </cell>
        </row>
        <row r="54">
          <cell r="J54">
            <v>12</v>
          </cell>
          <cell r="K54">
            <v>24</v>
          </cell>
          <cell r="M54">
            <v>61</v>
          </cell>
          <cell r="Z54">
            <v>17.5</v>
          </cell>
          <cell r="AA54">
            <v>35</v>
          </cell>
          <cell r="AB54">
            <v>44</v>
          </cell>
          <cell r="AC54">
            <v>70</v>
          </cell>
        </row>
        <row r="55">
          <cell r="J55">
            <v>12</v>
          </cell>
          <cell r="K55">
            <v>24</v>
          </cell>
          <cell r="M55">
            <v>61</v>
          </cell>
          <cell r="Z55">
            <v>19</v>
          </cell>
          <cell r="AA55">
            <v>38</v>
          </cell>
          <cell r="AB55">
            <v>16.5</v>
          </cell>
          <cell r="AC55">
            <v>70</v>
          </cell>
        </row>
        <row r="56">
          <cell r="J56">
            <v>8.5</v>
          </cell>
          <cell r="K56">
            <v>17</v>
          </cell>
          <cell r="L56">
            <v>0</v>
          </cell>
          <cell r="M56">
            <v>62</v>
          </cell>
          <cell r="Z56">
            <v>13.5</v>
          </cell>
          <cell r="AA56">
            <v>27</v>
          </cell>
          <cell r="AB56">
            <v>40</v>
          </cell>
          <cell r="AC56">
            <v>70</v>
          </cell>
        </row>
        <row r="57">
          <cell r="J57">
            <v>8.5</v>
          </cell>
          <cell r="K57">
            <v>17</v>
          </cell>
          <cell r="M57">
            <v>62</v>
          </cell>
          <cell r="Z57">
            <v>13</v>
          </cell>
          <cell r="AA57">
            <v>26</v>
          </cell>
          <cell r="AB57">
            <v>8.5</v>
          </cell>
          <cell r="AC57">
            <v>70</v>
          </cell>
        </row>
        <row r="58">
          <cell r="J58">
            <v>8.5</v>
          </cell>
          <cell r="K58">
            <v>17</v>
          </cell>
          <cell r="M58">
            <v>62</v>
          </cell>
          <cell r="Z58">
            <v>13</v>
          </cell>
          <cell r="AA58">
            <v>26</v>
          </cell>
          <cell r="AB58">
            <v>8.5</v>
          </cell>
          <cell r="AC58">
            <v>70</v>
          </cell>
        </row>
        <row r="59">
          <cell r="J59">
            <v>8.5</v>
          </cell>
          <cell r="K59">
            <v>17</v>
          </cell>
          <cell r="M59">
            <v>62</v>
          </cell>
          <cell r="Z59">
            <v>13</v>
          </cell>
          <cell r="AA59">
            <v>26</v>
          </cell>
          <cell r="AB59">
            <v>8.5</v>
          </cell>
          <cell r="AC59">
            <v>70</v>
          </cell>
        </row>
        <row r="60">
          <cell r="J60">
            <v>9</v>
          </cell>
          <cell r="K60">
            <v>18</v>
          </cell>
          <cell r="L60">
            <v>0</v>
          </cell>
          <cell r="M60">
            <v>46</v>
          </cell>
          <cell r="Z60">
            <v>13</v>
          </cell>
          <cell r="AA60">
            <v>26</v>
          </cell>
          <cell r="AB60">
            <v>18</v>
          </cell>
          <cell r="AC60">
            <v>70</v>
          </cell>
        </row>
        <row r="61">
          <cell r="J61">
            <v>9</v>
          </cell>
          <cell r="K61">
            <v>18</v>
          </cell>
          <cell r="M61">
            <v>46</v>
          </cell>
          <cell r="Z61">
            <v>5.5</v>
          </cell>
          <cell r="AA61">
            <v>11</v>
          </cell>
          <cell r="AB61">
            <v>5.5</v>
          </cell>
          <cell r="AC61">
            <v>53</v>
          </cell>
        </row>
        <row r="62">
          <cell r="J62">
            <v>9</v>
          </cell>
          <cell r="K62">
            <v>18</v>
          </cell>
          <cell r="M62">
            <v>46</v>
          </cell>
          <cell r="Z62">
            <v>13</v>
          </cell>
          <cell r="AA62">
            <v>26</v>
          </cell>
          <cell r="AB62">
            <v>8.5</v>
          </cell>
          <cell r="AC62">
            <v>70</v>
          </cell>
        </row>
        <row r="63">
          <cell r="J63">
            <v>17.5</v>
          </cell>
          <cell r="K63">
            <v>35</v>
          </cell>
          <cell r="L63">
            <v>0</v>
          </cell>
          <cell r="M63">
            <v>80</v>
          </cell>
          <cell r="Z63">
            <v>4</v>
          </cell>
          <cell r="AA63">
            <v>8</v>
          </cell>
          <cell r="AB63">
            <v>37</v>
          </cell>
          <cell r="AC63">
            <v>44</v>
          </cell>
        </row>
        <row r="64">
          <cell r="J64">
            <v>8.5</v>
          </cell>
          <cell r="K64">
            <v>17</v>
          </cell>
          <cell r="L64">
            <v>0</v>
          </cell>
          <cell r="M64">
            <v>51</v>
          </cell>
          <cell r="Z64">
            <v>11</v>
          </cell>
          <cell r="AA64">
            <v>22</v>
          </cell>
          <cell r="AB64">
            <v>41</v>
          </cell>
          <cell r="AC64">
            <v>69</v>
          </cell>
        </row>
        <row r="65">
          <cell r="J65">
            <v>17.5</v>
          </cell>
          <cell r="K65">
            <v>35</v>
          </cell>
          <cell r="L65">
            <v>0</v>
          </cell>
          <cell r="M65">
            <v>80</v>
          </cell>
          <cell r="Z65">
            <v>12</v>
          </cell>
          <cell r="AA65">
            <v>24</v>
          </cell>
          <cell r="AB65">
            <v>8.5</v>
          </cell>
          <cell r="AC65">
            <v>70</v>
          </cell>
        </row>
        <row r="66">
          <cell r="J66">
            <v>9</v>
          </cell>
          <cell r="K66">
            <v>18</v>
          </cell>
          <cell r="L66">
            <v>0</v>
          </cell>
          <cell r="M66">
            <v>62</v>
          </cell>
          <cell r="Z66">
            <v>4</v>
          </cell>
          <cell r="AA66">
            <v>8</v>
          </cell>
          <cell r="AB66">
            <v>36</v>
          </cell>
          <cell r="AC66">
            <v>62</v>
          </cell>
        </row>
        <row r="67">
          <cell r="J67">
            <v>12</v>
          </cell>
          <cell r="K67">
            <v>24</v>
          </cell>
          <cell r="L67">
            <v>57</v>
          </cell>
          <cell r="M67">
            <v>64</v>
          </cell>
          <cell r="AB67">
            <v>1</v>
          </cell>
        </row>
        <row r="68">
          <cell r="J68">
            <v>9</v>
          </cell>
          <cell r="K68">
            <v>18</v>
          </cell>
          <cell r="L68">
            <v>0</v>
          </cell>
          <cell r="M68">
            <v>57</v>
          </cell>
        </row>
        <row r="69">
          <cell r="J69">
            <v>9</v>
          </cell>
          <cell r="K69">
            <v>18</v>
          </cell>
          <cell r="L69">
            <v>0</v>
          </cell>
          <cell r="M69">
            <v>64</v>
          </cell>
        </row>
        <row r="70">
          <cell r="J70">
            <v>17.5</v>
          </cell>
          <cell r="K70">
            <v>35</v>
          </cell>
          <cell r="L70">
            <v>0</v>
          </cell>
          <cell r="M70">
            <v>78</v>
          </cell>
        </row>
        <row r="71">
          <cell r="J71">
            <v>12</v>
          </cell>
          <cell r="K71">
            <v>24</v>
          </cell>
          <cell r="L71">
            <v>0</v>
          </cell>
          <cell r="M71">
            <v>61</v>
          </cell>
        </row>
        <row r="72">
          <cell r="J72">
            <v>12</v>
          </cell>
          <cell r="K72">
            <v>24</v>
          </cell>
          <cell r="M72">
            <v>61</v>
          </cell>
        </row>
      </sheetData>
      <sheetData sheetId="2">
        <row r="2">
          <cell r="C2" t="str">
            <v>pertes EN</v>
          </cell>
        </row>
        <row r="6">
          <cell r="G6" t="str">
            <v>&gt;45 = test</v>
          </cell>
        </row>
        <row r="10">
          <cell r="A10" t="str">
            <v>3836-7376</v>
          </cell>
          <cell r="D10" t="str">
            <v>14-26</v>
          </cell>
        </row>
        <row r="11">
          <cell r="A11" t="str">
            <v>7377-11064</v>
          </cell>
          <cell r="D11" t="str">
            <v>28-39</v>
          </cell>
        </row>
        <row r="12">
          <cell r="A12" t="str">
            <v>11065-14752</v>
          </cell>
          <cell r="D12" t="str">
            <v>41-52</v>
          </cell>
        </row>
        <row r="22">
          <cell r="E22" t="str">
            <v>2</v>
          </cell>
        </row>
        <row r="23">
          <cell r="E23" t="str">
            <v>1</v>
          </cell>
        </row>
        <row r="25">
          <cell r="E25">
            <v>0</v>
          </cell>
        </row>
        <row r="26">
          <cell r="E26">
            <v>0</v>
          </cell>
        </row>
        <row r="28">
          <cell r="E28" t="str">
            <v>Arme/armure cassé quand R=0</v>
          </cell>
        </row>
        <row r="29">
          <cell r="E29" t="str">
            <v>Réparation = entretien des armes (+Archerie/Forge/Armure/Cuir/Ebénisterie)</v>
          </cell>
        </row>
        <row r="32">
          <cell r="E32" t="str">
            <v>Résist 20</v>
          </cell>
        </row>
        <row r="34">
          <cell r="E34">
            <v>6</v>
          </cell>
          <cell r="J34">
            <v>22</v>
          </cell>
        </row>
        <row r="35">
          <cell r="E35">
            <v>10</v>
          </cell>
        </row>
        <row r="37">
          <cell r="E37">
            <v>0</v>
          </cell>
        </row>
        <row r="38">
          <cell r="E38">
            <v>0</v>
          </cell>
        </row>
        <row r="40">
          <cell r="E40" t="str">
            <v>Résist 20</v>
          </cell>
        </row>
        <row r="41">
          <cell r="E41">
            <v>-2</v>
          </cell>
        </row>
      </sheetData>
      <sheetData sheetId="3">
        <row r="5">
          <cell r="J5" t="str">
            <v>N3</v>
          </cell>
        </row>
        <row r="6">
          <cell r="F6" t="str">
            <v>6-10</v>
          </cell>
          <cell r="G6">
            <v>45.5</v>
          </cell>
          <cell r="H6" t="str">
            <v>11-18</v>
          </cell>
        </row>
        <row r="10">
          <cell r="F10" t="str">
            <v>8-16</v>
          </cell>
          <cell r="H10" t="str">
            <v>17-24</v>
          </cell>
        </row>
        <row r="11">
          <cell r="J11" t="str">
            <v>Coma</v>
          </cell>
        </row>
        <row r="22">
          <cell r="E22">
            <v>93</v>
          </cell>
        </row>
        <row r="26">
          <cell r="E26">
            <v>116</v>
          </cell>
          <cell r="F26" t="str">
            <v>4-7</v>
          </cell>
          <cell r="H26" t="str">
            <v>8-15</v>
          </cell>
        </row>
        <row r="34">
          <cell r="E34">
            <v>94</v>
          </cell>
          <cell r="J34" t="str">
            <v>19+</v>
          </cell>
        </row>
        <row r="38">
          <cell r="E38">
            <v>94</v>
          </cell>
        </row>
        <row r="43">
          <cell r="B43" t="str">
            <v>T 2</v>
          </cell>
        </row>
        <row r="44">
          <cell r="B44" t="str">
            <v>E 1</v>
          </cell>
          <cell r="J44" t="str">
            <v>VD-10, Fin PG</v>
          </cell>
        </row>
        <row r="45">
          <cell r="B45" t="str">
            <v>C 1</v>
          </cell>
        </row>
        <row r="46">
          <cell r="B46" t="str">
            <v>Armure</v>
          </cell>
        </row>
        <row r="47">
          <cell r="B47" t="str">
            <v>T 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"/>
      <sheetName val="Talents"/>
      <sheetName val="ArmURe"/>
      <sheetName val="Corps"/>
    </sheetNames>
    <definedNames>
      <definedName name="Armure" refersTo="='Talents'!$AB$67"/>
      <definedName name="artGraphique" refersTo="='Perso'!$F$6"/>
      <definedName name="attaque" refersTo="='Talents'!$AB$44"/>
      <definedName name="bea" refersTo="='Perso'!$E$40"/>
      <definedName name="BM" refersTo="='Perso'!$J$5"/>
      <definedName name="car" refersTo="='Perso'!$E$28"/>
      <definedName name="cha" refersTo="='Perso'!$E$41"/>
      <definedName name="charge" refersTo="='Talents'!$AB$46"/>
      <definedName name="com" refersTo="='Perso'!$E$34"/>
      <definedName name="coo" refersTo="='Perso'!$E$19"/>
      <definedName name="défense" refersTo="='Talents'!$AB$50"/>
      <definedName name="embuscade" refersTo="='Talents'!$AB$52"/>
      <definedName name="equ" refersTo="='Perso'!$E$23"/>
      <definedName name="esquive" refersTo="='Talents'!$AB$54"/>
      <definedName name="fat" refersTo="='Perso'!$E$17"/>
      <definedName name="Foi" refersTo="='Perso'!$G$6"/>
      <definedName name="fuite" refersTo="='Talents'!$AB$56"/>
      <definedName name="Goût" refersTo="='Perso'!$B$46"/>
      <definedName name="inu" refersTo="='Perso'!$E$35"/>
      <definedName name="man" refersTo="='Perso'!$E$20"/>
      <definedName name="mem" refersTo="='Perso'!$E$26"/>
      <definedName name="NEC" refersTo="='Perso'!$J$11"/>
      <definedName name="NEM" refersTo="='Perso'!$J$34"/>
      <definedName name="Nourriture" refersTo="='Perso'!$J$44"/>
      <definedName name="NS" refersTo="='Perso'!$I$5"/>
      <definedName name="obéissance" refersTo="='Talents'!$AB$61"/>
      <definedName name="Odorat" refersTo="='Perso'!$B$45"/>
      <definedName name="Ouïe" refersTo="='Perso'!$B$44"/>
      <definedName name="poids" refersTo="='Perso'!$D$2"/>
      <definedName name="pui" refersTo="='Perso'!$E$13"/>
      <definedName name="rai" refersTo="='Perso'!$E$25"/>
      <definedName name="rap" refersTo="='Perso'!$E$32"/>
      <definedName name="réaction" refersTo="='Talents'!$AB$63"/>
      <definedName name="res" refersTo="='Perso'!$E$29"/>
      <definedName name="rob" refersTo="='Perso'!$E$38"/>
      <definedName name="san" refersTo="='Perso'!$E$37"/>
      <definedName name="sop" refersTo="='Perso'!$E$22"/>
      <definedName name="sou" refersTo="='Perso'!$E$16"/>
      <definedName name="taille" refersTo="='Perso'!$C$2"/>
      <definedName name="Toucher" refersTo="='Perso'!$B$47"/>
      <definedName name="vitesse" refersTo="='Talents'!$AB$66"/>
      <definedName name="voi" refersTo="='Perso'!$E$31"/>
      <definedName name="Vue" refersTo="='Perso'!$B$43"/>
    </definedNames>
    <sheetDataSet>
      <sheetData sheetId="0">
        <row r="2">
          <cell r="B2" t="str">
            <v>16/3/975</v>
          </cell>
          <cell r="C2">
            <v>192</v>
          </cell>
          <cell r="D2">
            <v>112</v>
          </cell>
          <cell r="E2" t="str">
            <v>châtain</v>
          </cell>
          <cell r="F2" t="str">
            <v>noisette</v>
          </cell>
          <cell r="G2" t="str">
            <v>très large</v>
          </cell>
          <cell r="H2" t="str">
            <v>ébène</v>
          </cell>
          <cell r="I2" t="str">
            <v>moustache</v>
          </cell>
          <cell r="J2" t="str">
            <v>bonne</v>
          </cell>
        </row>
        <row r="3">
          <cell r="A3" t="str">
            <v>Arnaud</v>
          </cell>
          <cell r="E3" t="str">
            <v>plat</v>
          </cell>
          <cell r="F3" t="str">
            <v>bas nuque</v>
          </cell>
          <cell r="H3">
            <v>0</v>
          </cell>
          <cell r="I3" t="str">
            <v>duvet</v>
          </cell>
        </row>
        <row r="5">
          <cell r="A5" t="str">
            <v>violent</v>
          </cell>
          <cell r="B5" t="str">
            <v>violent Vx3</v>
          </cell>
          <cell r="D5">
            <v>0</v>
          </cell>
          <cell r="G5" t="str">
            <v>EI</v>
          </cell>
          <cell r="H5">
            <v>0</v>
          </cell>
          <cell r="I5">
            <v>3</v>
          </cell>
          <cell r="J5">
            <v>200</v>
          </cell>
        </row>
        <row r="6">
          <cell r="A6">
            <v>0</v>
          </cell>
          <cell r="B6" t="str">
            <v>cynophobe Vx2</v>
          </cell>
          <cell r="D6">
            <v>0</v>
          </cell>
          <cell r="F6">
            <v>5</v>
          </cell>
          <cell r="G6">
            <v>29</v>
          </cell>
          <cell r="H6" t="str">
            <v>dargos</v>
          </cell>
          <cell r="I6" t="str">
            <v>guerre</v>
          </cell>
          <cell r="J6" t="str">
            <v>chasse</v>
          </cell>
        </row>
        <row r="11">
          <cell r="J11">
            <v>9</v>
          </cell>
        </row>
        <row r="12">
          <cell r="J12">
            <v>41.95</v>
          </cell>
        </row>
        <row r="13">
          <cell r="C13" t="str">
            <v>pui</v>
          </cell>
          <cell r="D13">
            <v>25</v>
          </cell>
          <cell r="E13">
            <v>91</v>
          </cell>
          <cell r="F13">
            <v>5</v>
          </cell>
          <cell r="G13">
            <v>102</v>
          </cell>
          <cell r="J13">
            <v>39.375000000000007</v>
          </cell>
        </row>
        <row r="14">
          <cell r="C14" t="str">
            <v>pou</v>
          </cell>
          <cell r="D14">
            <v>21</v>
          </cell>
          <cell r="E14">
            <v>83</v>
          </cell>
          <cell r="G14">
            <v>86</v>
          </cell>
          <cell r="J14">
            <v>49</v>
          </cell>
        </row>
        <row r="15">
          <cell r="C15" t="str">
            <v>En</v>
          </cell>
          <cell r="J15">
            <v>8</v>
          </cell>
        </row>
        <row r="16">
          <cell r="C16" t="str">
            <v>sou</v>
          </cell>
          <cell r="D16">
            <v>13</v>
          </cell>
          <cell r="E16">
            <v>55</v>
          </cell>
          <cell r="G16">
            <v>55</v>
          </cell>
          <cell r="J16">
            <v>84</v>
          </cell>
        </row>
        <row r="17">
          <cell r="C17" t="str">
            <v>fat</v>
          </cell>
          <cell r="D17">
            <v>13</v>
          </cell>
          <cell r="E17">
            <v>56</v>
          </cell>
          <cell r="G17">
            <v>56</v>
          </cell>
          <cell r="J17">
            <v>84.35</v>
          </cell>
        </row>
        <row r="18">
          <cell r="C18" t="str">
            <v>D</v>
          </cell>
          <cell r="J18">
            <v>65</v>
          </cell>
        </row>
        <row r="19">
          <cell r="C19" t="str">
            <v>coo</v>
          </cell>
          <cell r="D19">
            <v>17</v>
          </cell>
          <cell r="E19">
            <v>71</v>
          </cell>
          <cell r="G19">
            <v>71</v>
          </cell>
          <cell r="J19">
            <v>47.3</v>
          </cell>
        </row>
        <row r="20">
          <cell r="C20" t="str">
            <v>man</v>
          </cell>
          <cell r="D20">
            <v>15</v>
          </cell>
          <cell r="E20">
            <v>45</v>
          </cell>
          <cell r="G20">
            <v>62</v>
          </cell>
          <cell r="J20">
            <v>66.099999999999994</v>
          </cell>
        </row>
        <row r="21">
          <cell r="C21" t="str">
            <v>A</v>
          </cell>
          <cell r="J21">
            <v>17.399999999999999</v>
          </cell>
        </row>
        <row r="22">
          <cell r="C22" t="str">
            <v>sop</v>
          </cell>
          <cell r="D22">
            <v>20</v>
          </cell>
          <cell r="E22">
            <v>71</v>
          </cell>
          <cell r="G22">
            <v>82</v>
          </cell>
          <cell r="J22">
            <v>24</v>
          </cell>
        </row>
        <row r="23">
          <cell r="C23" t="str">
            <v>equ</v>
          </cell>
          <cell r="D23">
            <v>16</v>
          </cell>
          <cell r="E23">
            <v>51</v>
          </cell>
          <cell r="G23">
            <v>66</v>
          </cell>
          <cell r="J23">
            <v>16</v>
          </cell>
        </row>
        <row r="24">
          <cell r="C24" t="str">
            <v>I</v>
          </cell>
          <cell r="J24">
            <v>24.625</v>
          </cell>
        </row>
        <row r="25">
          <cell r="C25" t="str">
            <v>rai</v>
          </cell>
          <cell r="D25">
            <v>9</v>
          </cell>
          <cell r="E25">
            <v>28</v>
          </cell>
          <cell r="G25">
            <v>28</v>
          </cell>
          <cell r="J25">
            <v>63.7</v>
          </cell>
        </row>
        <row r="26">
          <cell r="C26" t="str">
            <v>mem</v>
          </cell>
          <cell r="D26">
            <v>9</v>
          </cell>
          <cell r="E26">
            <v>28</v>
          </cell>
          <cell r="G26">
            <v>28</v>
          </cell>
          <cell r="J26">
            <v>52.25</v>
          </cell>
        </row>
        <row r="27">
          <cell r="C27" t="str">
            <v>V</v>
          </cell>
          <cell r="D27">
            <v>13</v>
          </cell>
          <cell r="E27">
            <v>14</v>
          </cell>
          <cell r="J27">
            <v>12</v>
          </cell>
        </row>
        <row r="28">
          <cell r="C28" t="str">
            <v>car</v>
          </cell>
          <cell r="D28">
            <v>9</v>
          </cell>
          <cell r="E28">
            <v>30</v>
          </cell>
          <cell r="G28">
            <v>44</v>
          </cell>
          <cell r="J28">
            <v>15</v>
          </cell>
        </row>
        <row r="29">
          <cell r="C29" t="str">
            <v>res</v>
          </cell>
          <cell r="D29">
            <v>11</v>
          </cell>
          <cell r="E29">
            <v>52</v>
          </cell>
          <cell r="G29">
            <v>52</v>
          </cell>
          <cell r="J29">
            <v>49</v>
          </cell>
        </row>
        <row r="30">
          <cell r="C30" t="str">
            <v>E</v>
          </cell>
          <cell r="J30">
            <v>80</v>
          </cell>
        </row>
        <row r="31">
          <cell r="C31" t="str">
            <v>voi</v>
          </cell>
          <cell r="D31">
            <v>9</v>
          </cell>
          <cell r="E31">
            <v>11</v>
          </cell>
          <cell r="G31">
            <v>19</v>
          </cell>
          <cell r="J31">
            <v>160</v>
          </cell>
        </row>
        <row r="32">
          <cell r="C32" t="str">
            <v>rap</v>
          </cell>
          <cell r="D32">
            <v>11</v>
          </cell>
          <cell r="E32">
            <v>15</v>
          </cell>
          <cell r="G32">
            <v>23</v>
          </cell>
          <cell r="J32">
            <v>240</v>
          </cell>
        </row>
        <row r="33">
          <cell r="C33" t="str">
            <v>Em</v>
          </cell>
          <cell r="J33">
            <v>27038</v>
          </cell>
        </row>
        <row r="34">
          <cell r="C34" t="str">
            <v>com</v>
          </cell>
          <cell r="D34">
            <v>8</v>
          </cell>
          <cell r="E34">
            <v>14</v>
          </cell>
          <cell r="G34">
            <v>22</v>
          </cell>
          <cell r="J34">
            <v>0</v>
          </cell>
        </row>
        <row r="35">
          <cell r="C35" t="str">
            <v>inu</v>
          </cell>
          <cell r="D35">
            <v>8</v>
          </cell>
          <cell r="E35">
            <v>11</v>
          </cell>
          <cell r="G35">
            <v>22</v>
          </cell>
          <cell r="J35">
            <v>20</v>
          </cell>
        </row>
        <row r="36">
          <cell r="C36" t="str">
            <v>C</v>
          </cell>
          <cell r="J36">
            <v>9</v>
          </cell>
        </row>
        <row r="37">
          <cell r="C37" t="str">
            <v>san</v>
          </cell>
          <cell r="D37">
            <v>12</v>
          </cell>
          <cell r="E37">
            <v>50</v>
          </cell>
          <cell r="G37">
            <v>50</v>
          </cell>
          <cell r="J37">
            <v>10</v>
          </cell>
        </row>
        <row r="38">
          <cell r="C38" t="str">
            <v>rob</v>
          </cell>
          <cell r="D38">
            <v>14</v>
          </cell>
          <cell r="E38">
            <v>58</v>
          </cell>
          <cell r="G38">
            <v>58</v>
          </cell>
          <cell r="J38">
            <v>0</v>
          </cell>
        </row>
        <row r="39">
          <cell r="C39" t="str">
            <v>Ap</v>
          </cell>
          <cell r="J39" t="str">
            <v>4 /+ 0</v>
          </cell>
        </row>
        <row r="40">
          <cell r="C40" t="str">
            <v>bea</v>
          </cell>
          <cell r="D40">
            <v>9</v>
          </cell>
          <cell r="E40">
            <v>17</v>
          </cell>
          <cell r="G40">
            <v>21</v>
          </cell>
          <cell r="J40">
            <v>4</v>
          </cell>
        </row>
        <row r="41">
          <cell r="C41" t="str">
            <v>cha</v>
          </cell>
          <cell r="D41">
            <v>11</v>
          </cell>
          <cell r="E41">
            <v>25</v>
          </cell>
          <cell r="G41">
            <v>25</v>
          </cell>
          <cell r="J41">
            <v>88</v>
          </cell>
        </row>
        <row r="42">
          <cell r="J42">
            <v>6</v>
          </cell>
        </row>
        <row r="43">
          <cell r="B43">
            <v>65</v>
          </cell>
          <cell r="J43">
            <v>33.6</v>
          </cell>
        </row>
        <row r="44">
          <cell r="B44">
            <v>53</v>
          </cell>
          <cell r="J44" t="str">
            <v>5 PdN/j</v>
          </cell>
        </row>
        <row r="45">
          <cell r="B45">
            <v>46</v>
          </cell>
          <cell r="J45" t="str">
            <v>4,3 km/h</v>
          </cell>
        </row>
        <row r="46">
          <cell r="B46">
            <v>48</v>
          </cell>
          <cell r="J46">
            <v>15</v>
          </cell>
        </row>
        <row r="47">
          <cell r="B47">
            <v>70</v>
          </cell>
          <cell r="J47" t="str">
            <v>7,2m / 2,4m</v>
          </cell>
        </row>
      </sheetData>
      <sheetData sheetId="1">
        <row r="2">
          <cell r="C2" t="str">
            <v>equ</v>
          </cell>
          <cell r="D2" t="str">
            <v>equ</v>
          </cell>
          <cell r="J2">
            <v>13</v>
          </cell>
          <cell r="K2">
            <v>26</v>
          </cell>
          <cell r="L2">
            <v>0</v>
          </cell>
          <cell r="M2">
            <v>80</v>
          </cell>
          <cell r="Z2">
            <v>18</v>
          </cell>
          <cell r="AA2">
            <v>36</v>
          </cell>
          <cell r="AC2">
            <v>80</v>
          </cell>
        </row>
        <row r="3">
          <cell r="J3">
            <v>14</v>
          </cell>
          <cell r="K3">
            <v>28</v>
          </cell>
          <cell r="L3">
            <v>0</v>
          </cell>
          <cell r="M3">
            <v>80</v>
          </cell>
          <cell r="Z3">
            <v>7</v>
          </cell>
          <cell r="AA3">
            <v>14</v>
          </cell>
          <cell r="AB3">
            <v>0</v>
          </cell>
          <cell r="AC3">
            <v>38</v>
          </cell>
        </row>
        <row r="4">
          <cell r="J4">
            <v>7</v>
          </cell>
          <cell r="K4">
            <v>14</v>
          </cell>
          <cell r="L4">
            <v>0</v>
          </cell>
          <cell r="M4">
            <v>35</v>
          </cell>
          <cell r="Z4">
            <v>7</v>
          </cell>
          <cell r="AA4">
            <v>14</v>
          </cell>
          <cell r="AB4">
            <v>0</v>
          </cell>
          <cell r="AC4">
            <v>39</v>
          </cell>
        </row>
        <row r="5">
          <cell r="I5">
            <v>3.5</v>
          </cell>
          <cell r="J5">
            <v>11.5</v>
          </cell>
          <cell r="K5">
            <v>23</v>
          </cell>
          <cell r="M5">
            <v>67</v>
          </cell>
          <cell r="Z5">
            <v>11.5</v>
          </cell>
          <cell r="AA5">
            <v>23</v>
          </cell>
          <cell r="AB5">
            <v>20</v>
          </cell>
          <cell r="AC5">
            <v>51</v>
          </cell>
        </row>
        <row r="6">
          <cell r="F6">
            <v>71</v>
          </cell>
          <cell r="G6">
            <v>14</v>
          </cell>
          <cell r="J6">
            <v>18</v>
          </cell>
          <cell r="K6">
            <v>36</v>
          </cell>
          <cell r="M6">
            <v>68</v>
          </cell>
          <cell r="Z6">
            <v>23</v>
          </cell>
          <cell r="AA6">
            <v>46</v>
          </cell>
          <cell r="AB6">
            <v>57</v>
          </cell>
          <cell r="AC6">
            <v>80</v>
          </cell>
        </row>
        <row r="7">
          <cell r="J7">
            <v>18</v>
          </cell>
          <cell r="K7">
            <v>36</v>
          </cell>
          <cell r="L7">
            <v>0</v>
          </cell>
          <cell r="M7">
            <v>75</v>
          </cell>
          <cell r="Z7">
            <v>7</v>
          </cell>
          <cell r="AA7">
            <v>14</v>
          </cell>
          <cell r="AB7">
            <v>36</v>
          </cell>
          <cell r="AC7">
            <v>39</v>
          </cell>
        </row>
        <row r="8">
          <cell r="J8">
            <v>3.5</v>
          </cell>
          <cell r="K8">
            <v>7</v>
          </cell>
          <cell r="L8">
            <v>0</v>
          </cell>
          <cell r="M8">
            <v>32</v>
          </cell>
          <cell r="Z8">
            <v>13</v>
          </cell>
          <cell r="AA8">
            <v>26</v>
          </cell>
          <cell r="AB8">
            <v>0</v>
          </cell>
          <cell r="AC8">
            <v>53</v>
          </cell>
        </row>
        <row r="9">
          <cell r="J9">
            <v>4</v>
          </cell>
          <cell r="K9">
            <v>8</v>
          </cell>
          <cell r="L9">
            <v>6</v>
          </cell>
          <cell r="M9">
            <v>24</v>
          </cell>
          <cell r="Z9">
            <v>11.5</v>
          </cell>
          <cell r="AA9">
            <v>23</v>
          </cell>
          <cell r="AB9">
            <v>0</v>
          </cell>
          <cell r="AC9">
            <v>46</v>
          </cell>
        </row>
        <row r="10">
          <cell r="J10">
            <v>12</v>
          </cell>
          <cell r="K10">
            <v>24</v>
          </cell>
          <cell r="L10">
            <v>0</v>
          </cell>
          <cell r="M10">
            <v>50</v>
          </cell>
          <cell r="Z10">
            <v>7</v>
          </cell>
          <cell r="AA10">
            <v>14</v>
          </cell>
          <cell r="AB10">
            <v>0</v>
          </cell>
          <cell r="AC10">
            <v>35</v>
          </cell>
        </row>
        <row r="11">
          <cell r="J11">
            <v>3.5</v>
          </cell>
          <cell r="K11">
            <v>7</v>
          </cell>
          <cell r="L11">
            <v>0</v>
          </cell>
          <cell r="M11">
            <v>36</v>
          </cell>
          <cell r="Z11">
            <v>7.5</v>
          </cell>
          <cell r="AA11">
            <v>15</v>
          </cell>
          <cell r="AB11">
            <v>0</v>
          </cell>
          <cell r="AC11">
            <v>43</v>
          </cell>
        </row>
        <row r="12">
          <cell r="J12">
            <v>7</v>
          </cell>
          <cell r="K12">
            <v>14</v>
          </cell>
          <cell r="L12">
            <v>0</v>
          </cell>
          <cell r="M12">
            <v>38</v>
          </cell>
          <cell r="Z12">
            <v>18</v>
          </cell>
          <cell r="AA12">
            <v>36</v>
          </cell>
          <cell r="AB12">
            <v>17</v>
          </cell>
          <cell r="AC12">
            <v>80</v>
          </cell>
        </row>
        <row r="13">
          <cell r="E13" t="str">
            <v>coo</v>
          </cell>
          <cell r="J13">
            <v>18</v>
          </cell>
          <cell r="K13">
            <v>36</v>
          </cell>
          <cell r="L13">
            <v>60</v>
          </cell>
          <cell r="M13">
            <v>80</v>
          </cell>
          <cell r="Z13">
            <v>3</v>
          </cell>
          <cell r="AA13">
            <v>6</v>
          </cell>
          <cell r="AB13">
            <v>0</v>
          </cell>
          <cell r="AC13">
            <v>30</v>
          </cell>
        </row>
        <row r="14">
          <cell r="J14">
            <v>3</v>
          </cell>
          <cell r="K14">
            <v>6</v>
          </cell>
          <cell r="L14">
            <v>0</v>
          </cell>
          <cell r="M14">
            <v>25</v>
          </cell>
          <cell r="Z14">
            <v>11.5</v>
          </cell>
          <cell r="AA14">
            <v>23</v>
          </cell>
          <cell r="AB14">
            <v>0</v>
          </cell>
          <cell r="AC14">
            <v>57</v>
          </cell>
        </row>
        <row r="15">
          <cell r="J15">
            <v>21</v>
          </cell>
          <cell r="K15">
            <v>42</v>
          </cell>
          <cell r="L15">
            <v>0</v>
          </cell>
          <cell r="M15">
            <v>80</v>
          </cell>
          <cell r="Z15">
            <v>14</v>
          </cell>
          <cell r="AA15">
            <v>28</v>
          </cell>
          <cell r="AB15">
            <v>0</v>
          </cell>
          <cell r="AC15">
            <v>72</v>
          </cell>
        </row>
        <row r="16">
          <cell r="E16" t="str">
            <v>sop</v>
          </cell>
          <cell r="J16">
            <v>14</v>
          </cell>
          <cell r="K16">
            <v>28</v>
          </cell>
          <cell r="L16">
            <v>73</v>
          </cell>
          <cell r="M16">
            <v>80</v>
          </cell>
          <cell r="Z16">
            <v>4.5</v>
          </cell>
          <cell r="AA16">
            <v>9</v>
          </cell>
          <cell r="AB16">
            <v>0</v>
          </cell>
          <cell r="AC16">
            <v>33</v>
          </cell>
        </row>
        <row r="17">
          <cell r="E17" t="str">
            <v>man</v>
          </cell>
          <cell r="J17">
            <v>7.5</v>
          </cell>
          <cell r="K17">
            <v>15</v>
          </cell>
          <cell r="L17">
            <v>0</v>
          </cell>
          <cell r="M17">
            <v>39</v>
          </cell>
          <cell r="Z17">
            <v>7</v>
          </cell>
          <cell r="AA17">
            <v>14</v>
          </cell>
          <cell r="AB17">
            <v>0</v>
          </cell>
          <cell r="AC17">
            <v>34</v>
          </cell>
        </row>
        <row r="18">
          <cell r="J18">
            <v>7.5</v>
          </cell>
          <cell r="K18">
            <v>15</v>
          </cell>
          <cell r="L18">
            <v>0</v>
          </cell>
          <cell r="M18">
            <v>42</v>
          </cell>
          <cell r="Z18">
            <v>14</v>
          </cell>
          <cell r="AA18">
            <v>28</v>
          </cell>
          <cell r="AC18">
            <v>73</v>
          </cell>
        </row>
        <row r="19">
          <cell r="E19" t="str">
            <v>sou</v>
          </cell>
          <cell r="J19">
            <v>21</v>
          </cell>
          <cell r="K19">
            <v>42</v>
          </cell>
          <cell r="L19">
            <v>0</v>
          </cell>
          <cell r="M19">
            <v>80</v>
          </cell>
          <cell r="Z19">
            <v>14</v>
          </cell>
          <cell r="AA19">
            <v>28</v>
          </cell>
          <cell r="AC19">
            <v>73</v>
          </cell>
        </row>
        <row r="20">
          <cell r="E20" t="str">
            <v>inu</v>
          </cell>
          <cell r="J20">
            <v>7</v>
          </cell>
          <cell r="K20">
            <v>14</v>
          </cell>
          <cell r="L20">
            <v>0</v>
          </cell>
          <cell r="M20">
            <v>46</v>
          </cell>
          <cell r="Z20">
            <v>14</v>
          </cell>
          <cell r="AA20">
            <v>28</v>
          </cell>
          <cell r="AC20">
            <v>73</v>
          </cell>
        </row>
        <row r="21">
          <cell r="J21">
            <v>7.5</v>
          </cell>
          <cell r="K21">
            <v>15</v>
          </cell>
          <cell r="L21">
            <v>0</v>
          </cell>
          <cell r="M21">
            <v>61</v>
          </cell>
          <cell r="Z21">
            <v>14</v>
          </cell>
          <cell r="AA21">
            <v>28</v>
          </cell>
          <cell r="AC21">
            <v>73</v>
          </cell>
        </row>
        <row r="22">
          <cell r="E22" t="str">
            <v>cha</v>
          </cell>
          <cell r="J22">
            <v>3</v>
          </cell>
          <cell r="K22">
            <v>6</v>
          </cell>
          <cell r="L22">
            <v>0</v>
          </cell>
          <cell r="M22">
            <v>30</v>
          </cell>
          <cell r="Z22">
            <v>14</v>
          </cell>
          <cell r="AA22">
            <v>28</v>
          </cell>
          <cell r="AC22">
            <v>73</v>
          </cell>
        </row>
        <row r="23">
          <cell r="E23" t="str">
            <v>sop</v>
          </cell>
          <cell r="J23">
            <v>14</v>
          </cell>
          <cell r="K23">
            <v>28</v>
          </cell>
          <cell r="L23">
            <v>0</v>
          </cell>
          <cell r="M23">
            <v>80</v>
          </cell>
          <cell r="Z23">
            <v>14</v>
          </cell>
          <cell r="AA23">
            <v>28</v>
          </cell>
          <cell r="AC23">
            <v>73</v>
          </cell>
        </row>
        <row r="24">
          <cell r="J24">
            <v>11.5</v>
          </cell>
          <cell r="K24">
            <v>23</v>
          </cell>
          <cell r="L24">
            <v>0</v>
          </cell>
          <cell r="M24">
            <v>55</v>
          </cell>
          <cell r="Z24">
            <v>14</v>
          </cell>
          <cell r="AA24">
            <v>28</v>
          </cell>
          <cell r="AC24">
            <v>73</v>
          </cell>
        </row>
        <row r="25">
          <cell r="E25" t="str">
            <v>man</v>
          </cell>
          <cell r="J25">
            <v>1.5</v>
          </cell>
          <cell r="K25">
            <v>3</v>
          </cell>
          <cell r="L25">
            <v>0</v>
          </cell>
          <cell r="M25">
            <v>21</v>
          </cell>
          <cell r="Z25">
            <v>14</v>
          </cell>
          <cell r="AA25">
            <v>28</v>
          </cell>
          <cell r="AC25">
            <v>73</v>
          </cell>
        </row>
        <row r="26">
          <cell r="E26" t="str">
            <v>sop</v>
          </cell>
          <cell r="J26">
            <v>11.5</v>
          </cell>
          <cell r="K26">
            <v>23</v>
          </cell>
          <cell r="L26">
            <v>0</v>
          </cell>
          <cell r="M26">
            <v>67</v>
          </cell>
          <cell r="Z26">
            <v>14</v>
          </cell>
          <cell r="AA26">
            <v>28</v>
          </cell>
          <cell r="AC26">
            <v>73</v>
          </cell>
        </row>
        <row r="27">
          <cell r="J27">
            <v>14</v>
          </cell>
          <cell r="K27">
            <v>28</v>
          </cell>
          <cell r="L27">
            <v>14</v>
          </cell>
          <cell r="M27">
            <v>60</v>
          </cell>
          <cell r="Z27">
            <v>14</v>
          </cell>
          <cell r="AA27">
            <v>28</v>
          </cell>
          <cell r="AC27">
            <v>73</v>
          </cell>
        </row>
        <row r="28">
          <cell r="E28" t="str">
            <v>sop</v>
          </cell>
          <cell r="J28">
            <v>11.5</v>
          </cell>
          <cell r="K28">
            <v>23</v>
          </cell>
          <cell r="L28">
            <v>0</v>
          </cell>
          <cell r="M28">
            <v>80</v>
          </cell>
          <cell r="Z28">
            <v>14</v>
          </cell>
          <cell r="AA28">
            <v>28</v>
          </cell>
          <cell r="AC28">
            <v>73</v>
          </cell>
        </row>
        <row r="29">
          <cell r="E29" t="str">
            <v>com</v>
          </cell>
          <cell r="J29">
            <v>7</v>
          </cell>
          <cell r="K29">
            <v>14</v>
          </cell>
          <cell r="L29">
            <v>0</v>
          </cell>
          <cell r="M29">
            <v>47</v>
          </cell>
          <cell r="Z29">
            <v>14</v>
          </cell>
          <cell r="AA29">
            <v>28</v>
          </cell>
          <cell r="AC29">
            <v>73</v>
          </cell>
        </row>
        <row r="30">
          <cell r="J30">
            <v>18</v>
          </cell>
          <cell r="K30">
            <v>36</v>
          </cell>
          <cell r="L30">
            <v>0</v>
          </cell>
          <cell r="M30">
            <v>75</v>
          </cell>
          <cell r="Z30">
            <v>14</v>
          </cell>
          <cell r="AA30">
            <v>28</v>
          </cell>
          <cell r="AC30">
            <v>73</v>
          </cell>
        </row>
        <row r="31">
          <cell r="E31" t="str">
            <v>voi</v>
          </cell>
          <cell r="J31">
            <v>7</v>
          </cell>
          <cell r="K31">
            <v>14</v>
          </cell>
          <cell r="L31">
            <v>0</v>
          </cell>
          <cell r="M31">
            <v>39</v>
          </cell>
          <cell r="Z31">
            <v>7.5</v>
          </cell>
          <cell r="AA31">
            <v>15</v>
          </cell>
          <cell r="AB31">
            <v>0</v>
          </cell>
          <cell r="AC31">
            <v>66</v>
          </cell>
        </row>
        <row r="32">
          <cell r="E32" t="str">
            <v>rai</v>
          </cell>
          <cell r="J32">
            <v>18</v>
          </cell>
          <cell r="K32">
            <v>36</v>
          </cell>
          <cell r="L32">
            <v>57</v>
          </cell>
          <cell r="M32">
            <v>66</v>
          </cell>
          <cell r="Z32">
            <v>23</v>
          </cell>
          <cell r="AA32">
            <v>46</v>
          </cell>
          <cell r="AB32">
            <v>53</v>
          </cell>
          <cell r="AC32">
            <v>80</v>
          </cell>
        </row>
        <row r="33">
          <cell r="J33">
            <v>18</v>
          </cell>
          <cell r="K33">
            <v>36</v>
          </cell>
          <cell r="M33">
            <v>80</v>
          </cell>
          <cell r="Z33">
            <v>3</v>
          </cell>
          <cell r="AA33">
            <v>6</v>
          </cell>
          <cell r="AB33">
            <v>0</v>
          </cell>
          <cell r="AC33">
            <v>34</v>
          </cell>
        </row>
        <row r="34">
          <cell r="E34" t="str">
            <v>inu</v>
          </cell>
          <cell r="J34">
            <v>7.5</v>
          </cell>
          <cell r="K34">
            <v>15</v>
          </cell>
          <cell r="L34">
            <v>0</v>
          </cell>
          <cell r="M34">
            <v>31</v>
          </cell>
          <cell r="Z34">
            <v>7</v>
          </cell>
          <cell r="AA34">
            <v>14</v>
          </cell>
          <cell r="AB34">
            <v>0</v>
          </cell>
          <cell r="AC34">
            <v>43</v>
          </cell>
        </row>
        <row r="35">
          <cell r="E35" t="str">
            <v>man</v>
          </cell>
          <cell r="J35">
            <v>7</v>
          </cell>
          <cell r="K35">
            <v>14</v>
          </cell>
          <cell r="L35">
            <v>4</v>
          </cell>
          <cell r="M35">
            <v>38</v>
          </cell>
          <cell r="Z35">
            <v>11.5</v>
          </cell>
          <cell r="AA35">
            <v>23</v>
          </cell>
          <cell r="AB35">
            <v>0</v>
          </cell>
          <cell r="AC35">
            <v>77</v>
          </cell>
        </row>
        <row r="36">
          <cell r="J36">
            <v>18</v>
          </cell>
          <cell r="K36">
            <v>36</v>
          </cell>
          <cell r="L36">
            <v>73</v>
          </cell>
          <cell r="M36">
            <v>80</v>
          </cell>
          <cell r="AC36">
            <v>0</v>
          </cell>
        </row>
        <row r="37">
          <cell r="E37" t="str">
            <v>com</v>
          </cell>
          <cell r="J37">
            <v>11.5</v>
          </cell>
          <cell r="K37">
            <v>23</v>
          </cell>
          <cell r="L37">
            <v>0</v>
          </cell>
          <cell r="M37">
            <v>65</v>
          </cell>
        </row>
        <row r="38">
          <cell r="E38" t="str">
            <v>com</v>
          </cell>
          <cell r="J38">
            <v>7</v>
          </cell>
          <cell r="K38">
            <v>14</v>
          </cell>
          <cell r="L38">
            <v>0</v>
          </cell>
          <cell r="M38">
            <v>40</v>
          </cell>
        </row>
        <row r="39">
          <cell r="J39">
            <v>7</v>
          </cell>
          <cell r="K39">
            <v>14</v>
          </cell>
          <cell r="L39">
            <v>0</v>
          </cell>
          <cell r="M39">
            <v>35</v>
          </cell>
        </row>
        <row r="40">
          <cell r="E40" t="str">
            <v>inu</v>
          </cell>
          <cell r="J40">
            <v>7</v>
          </cell>
          <cell r="K40">
            <v>14</v>
          </cell>
          <cell r="L40">
            <v>0</v>
          </cell>
          <cell r="M40">
            <v>38</v>
          </cell>
          <cell r="Z40" t="str">
            <v>N1</v>
          </cell>
          <cell r="AA40" t="str">
            <v>N2</v>
          </cell>
          <cell r="AC40" t="str">
            <v>N3</v>
          </cell>
        </row>
        <row r="41">
          <cell r="E41" t="str">
            <v>inu</v>
          </cell>
          <cell r="J41">
            <v>3.5</v>
          </cell>
          <cell r="K41">
            <v>7</v>
          </cell>
          <cell r="L41">
            <v>0</v>
          </cell>
          <cell r="M41">
            <v>27</v>
          </cell>
          <cell r="Z41">
            <v>18</v>
          </cell>
          <cell r="AA41">
            <v>36</v>
          </cell>
          <cell r="AB41">
            <v>12.5</v>
          </cell>
          <cell r="AC41">
            <v>80</v>
          </cell>
        </row>
        <row r="42">
          <cell r="J42">
            <v>3.5</v>
          </cell>
          <cell r="K42">
            <v>7</v>
          </cell>
          <cell r="L42">
            <v>0</v>
          </cell>
          <cell r="M42">
            <v>21</v>
          </cell>
          <cell r="Z42">
            <v>23</v>
          </cell>
          <cell r="AA42">
            <v>46</v>
          </cell>
          <cell r="AB42">
            <v>58</v>
          </cell>
          <cell r="AC42">
            <v>80</v>
          </cell>
        </row>
        <row r="43">
          <cell r="B43" t="str">
            <v xml:space="preserve">Jeu </v>
          </cell>
          <cell r="J43">
            <v>7</v>
          </cell>
          <cell r="K43">
            <v>14</v>
          </cell>
          <cell r="L43">
            <v>0</v>
          </cell>
          <cell r="M43">
            <v>39</v>
          </cell>
          <cell r="Z43">
            <v>18</v>
          </cell>
          <cell r="AA43">
            <v>36</v>
          </cell>
          <cell r="AB43">
            <v>12.5</v>
          </cell>
          <cell r="AC43">
            <v>80</v>
          </cell>
        </row>
        <row r="44">
          <cell r="B44" t="str">
            <v>Joaillerie</v>
          </cell>
          <cell r="J44">
            <v>11.5</v>
          </cell>
          <cell r="K44">
            <v>23</v>
          </cell>
          <cell r="L44">
            <v>0</v>
          </cell>
          <cell r="M44">
            <v>56</v>
          </cell>
          <cell r="Z44">
            <v>21</v>
          </cell>
          <cell r="AA44">
            <v>42</v>
          </cell>
          <cell r="AB44">
            <v>78</v>
          </cell>
          <cell r="AC44">
            <v>80</v>
          </cell>
        </row>
        <row r="45">
          <cell r="B45" t="str">
            <v xml:space="preserve">Langue Divine + </v>
          </cell>
          <cell r="J45">
            <v>3</v>
          </cell>
          <cell r="K45">
            <v>6</v>
          </cell>
          <cell r="L45">
            <v>0</v>
          </cell>
          <cell r="M45">
            <v>22</v>
          </cell>
          <cell r="Z45">
            <v>23</v>
          </cell>
          <cell r="AA45">
            <v>46</v>
          </cell>
          <cell r="AB45">
            <v>55</v>
          </cell>
          <cell r="AC45">
            <v>80</v>
          </cell>
        </row>
        <row r="46">
          <cell r="B46" t="str">
            <v>+</v>
          </cell>
          <cell r="J46">
            <v>3</v>
          </cell>
          <cell r="K46">
            <v>6</v>
          </cell>
          <cell r="M46">
            <v>22</v>
          </cell>
          <cell r="Z46">
            <v>14</v>
          </cell>
          <cell r="AA46">
            <v>28</v>
          </cell>
          <cell r="AB46">
            <v>64</v>
          </cell>
          <cell r="AC46">
            <v>80</v>
          </cell>
        </row>
        <row r="47">
          <cell r="B47" t="str">
            <v>Langue non-hu +</v>
          </cell>
          <cell r="J47">
            <v>7</v>
          </cell>
          <cell r="K47">
            <v>14</v>
          </cell>
          <cell r="L47">
            <v>0</v>
          </cell>
          <cell r="M47">
            <v>34</v>
          </cell>
          <cell r="Z47">
            <v>18</v>
          </cell>
          <cell r="AA47">
            <v>36</v>
          </cell>
          <cell r="AC47">
            <v>80</v>
          </cell>
        </row>
        <row r="48">
          <cell r="J48">
            <v>7</v>
          </cell>
          <cell r="K48">
            <v>14</v>
          </cell>
          <cell r="M48">
            <v>34</v>
          </cell>
          <cell r="Z48">
            <v>11.5</v>
          </cell>
          <cell r="AA48">
            <v>23</v>
          </cell>
          <cell r="AB48">
            <v>12</v>
          </cell>
          <cell r="AC48">
            <v>80</v>
          </cell>
        </row>
        <row r="49">
          <cell r="J49">
            <v>7</v>
          </cell>
          <cell r="K49">
            <v>14</v>
          </cell>
          <cell r="M49">
            <v>34</v>
          </cell>
          <cell r="Z49">
            <v>18</v>
          </cell>
          <cell r="AA49">
            <v>36</v>
          </cell>
          <cell r="AB49">
            <v>12.5</v>
          </cell>
          <cell r="AC49">
            <v>80</v>
          </cell>
        </row>
        <row r="50">
          <cell r="J50">
            <v>7</v>
          </cell>
          <cell r="K50">
            <v>14</v>
          </cell>
          <cell r="L50">
            <v>28</v>
          </cell>
          <cell r="M50">
            <v>46</v>
          </cell>
          <cell r="Z50">
            <v>18</v>
          </cell>
          <cell r="AA50">
            <v>36</v>
          </cell>
          <cell r="AB50">
            <v>65</v>
          </cell>
          <cell r="AC50">
            <v>80</v>
          </cell>
        </row>
        <row r="51">
          <cell r="J51">
            <v>7</v>
          </cell>
          <cell r="K51">
            <v>14</v>
          </cell>
          <cell r="L51">
            <v>26</v>
          </cell>
          <cell r="M51">
            <v>39</v>
          </cell>
          <cell r="Z51">
            <v>18</v>
          </cell>
          <cell r="AA51">
            <v>36</v>
          </cell>
          <cell r="AB51">
            <v>12.5</v>
          </cell>
          <cell r="AC51">
            <v>80</v>
          </cell>
        </row>
        <row r="52">
          <cell r="J52">
            <v>7</v>
          </cell>
          <cell r="K52">
            <v>14</v>
          </cell>
          <cell r="M52">
            <v>39</v>
          </cell>
          <cell r="Z52">
            <v>3</v>
          </cell>
          <cell r="AA52">
            <v>6</v>
          </cell>
          <cell r="AB52">
            <v>42</v>
          </cell>
          <cell r="AC52">
            <v>51</v>
          </cell>
        </row>
        <row r="53">
          <cell r="J53">
            <v>7</v>
          </cell>
          <cell r="K53">
            <v>14</v>
          </cell>
          <cell r="M53">
            <v>39</v>
          </cell>
          <cell r="Z53">
            <v>23</v>
          </cell>
          <cell r="AA53">
            <v>46</v>
          </cell>
          <cell r="AB53">
            <v>44</v>
          </cell>
          <cell r="AC53">
            <v>80</v>
          </cell>
        </row>
        <row r="54">
          <cell r="J54">
            <v>7</v>
          </cell>
          <cell r="K54">
            <v>14</v>
          </cell>
          <cell r="M54">
            <v>39</v>
          </cell>
          <cell r="Z54">
            <v>11.5</v>
          </cell>
          <cell r="AA54">
            <v>23</v>
          </cell>
          <cell r="AB54">
            <v>60</v>
          </cell>
          <cell r="AC54">
            <v>80</v>
          </cell>
        </row>
        <row r="55">
          <cell r="J55">
            <v>7</v>
          </cell>
          <cell r="K55">
            <v>14</v>
          </cell>
          <cell r="M55">
            <v>39</v>
          </cell>
          <cell r="Z55">
            <v>18</v>
          </cell>
          <cell r="AA55">
            <v>36</v>
          </cell>
          <cell r="AB55">
            <v>12.5</v>
          </cell>
          <cell r="AC55">
            <v>80</v>
          </cell>
        </row>
        <row r="56">
          <cell r="J56">
            <v>7</v>
          </cell>
          <cell r="K56">
            <v>14</v>
          </cell>
          <cell r="L56">
            <v>0</v>
          </cell>
          <cell r="M56">
            <v>46</v>
          </cell>
          <cell r="Z56">
            <v>18</v>
          </cell>
          <cell r="AA56">
            <v>36</v>
          </cell>
          <cell r="AB56">
            <v>16.5</v>
          </cell>
          <cell r="AC56">
            <v>80</v>
          </cell>
        </row>
        <row r="57">
          <cell r="J57">
            <v>7</v>
          </cell>
          <cell r="K57">
            <v>14</v>
          </cell>
          <cell r="M57">
            <v>46</v>
          </cell>
          <cell r="Z57">
            <v>23</v>
          </cell>
          <cell r="AA57">
            <v>46</v>
          </cell>
          <cell r="AB57">
            <v>18</v>
          </cell>
          <cell r="AC57">
            <v>80</v>
          </cell>
        </row>
        <row r="58">
          <cell r="J58">
            <v>7</v>
          </cell>
          <cell r="K58">
            <v>14</v>
          </cell>
          <cell r="M58">
            <v>46</v>
          </cell>
          <cell r="Z58">
            <v>23</v>
          </cell>
          <cell r="AA58">
            <v>46</v>
          </cell>
          <cell r="AB58">
            <v>60</v>
          </cell>
          <cell r="AC58">
            <v>80</v>
          </cell>
        </row>
        <row r="59">
          <cell r="J59">
            <v>7</v>
          </cell>
          <cell r="K59">
            <v>14</v>
          </cell>
          <cell r="M59">
            <v>46</v>
          </cell>
          <cell r="Z59">
            <v>21</v>
          </cell>
          <cell r="AA59">
            <v>42</v>
          </cell>
          <cell r="AB59">
            <v>17</v>
          </cell>
          <cell r="AC59">
            <v>80</v>
          </cell>
        </row>
        <row r="60">
          <cell r="J60">
            <v>3.5</v>
          </cell>
          <cell r="K60">
            <v>7</v>
          </cell>
          <cell r="L60">
            <v>0</v>
          </cell>
          <cell r="M60">
            <v>25</v>
          </cell>
          <cell r="Z60">
            <v>23</v>
          </cell>
          <cell r="AA60">
            <v>46</v>
          </cell>
          <cell r="AB60">
            <v>23</v>
          </cell>
          <cell r="AC60">
            <v>80</v>
          </cell>
        </row>
        <row r="61">
          <cell r="J61">
            <v>3.5</v>
          </cell>
          <cell r="K61">
            <v>7</v>
          </cell>
          <cell r="M61">
            <v>25</v>
          </cell>
          <cell r="Z61">
            <v>6.5</v>
          </cell>
          <cell r="AA61">
            <v>13</v>
          </cell>
          <cell r="AB61">
            <v>16</v>
          </cell>
          <cell r="AC61">
            <v>41</v>
          </cell>
        </row>
        <row r="62">
          <cell r="J62">
            <v>3.5</v>
          </cell>
          <cell r="K62">
            <v>7</v>
          </cell>
          <cell r="M62">
            <v>25</v>
          </cell>
          <cell r="Z62">
            <v>23</v>
          </cell>
          <cell r="AA62">
            <v>46</v>
          </cell>
          <cell r="AB62">
            <v>18</v>
          </cell>
          <cell r="AC62">
            <v>80</v>
          </cell>
        </row>
        <row r="63">
          <cell r="J63">
            <v>11.5</v>
          </cell>
          <cell r="K63">
            <v>23</v>
          </cell>
          <cell r="L63">
            <v>0</v>
          </cell>
          <cell r="M63">
            <v>80</v>
          </cell>
          <cell r="Z63">
            <v>4</v>
          </cell>
          <cell r="AA63">
            <v>8</v>
          </cell>
          <cell r="AB63">
            <v>20</v>
          </cell>
          <cell r="AC63">
            <v>29</v>
          </cell>
        </row>
        <row r="64">
          <cell r="J64">
            <v>5.5</v>
          </cell>
          <cell r="K64">
            <v>11</v>
          </cell>
          <cell r="L64">
            <v>0</v>
          </cell>
          <cell r="M64">
            <v>33</v>
          </cell>
          <cell r="Z64">
            <v>14.5</v>
          </cell>
          <cell r="AA64">
            <v>29</v>
          </cell>
          <cell r="AB64">
            <v>58</v>
          </cell>
          <cell r="AC64">
            <v>71</v>
          </cell>
        </row>
        <row r="65">
          <cell r="J65">
            <v>11.5</v>
          </cell>
          <cell r="K65">
            <v>23</v>
          </cell>
          <cell r="L65">
            <v>0</v>
          </cell>
          <cell r="M65">
            <v>39</v>
          </cell>
          <cell r="Z65">
            <v>7</v>
          </cell>
          <cell r="AA65">
            <v>14</v>
          </cell>
          <cell r="AB65">
            <v>3.5</v>
          </cell>
          <cell r="AC65">
            <v>68</v>
          </cell>
        </row>
        <row r="66">
          <cell r="J66">
            <v>14</v>
          </cell>
          <cell r="K66">
            <v>28</v>
          </cell>
          <cell r="L66">
            <v>0</v>
          </cell>
          <cell r="M66">
            <v>80</v>
          </cell>
          <cell r="Z66">
            <v>4</v>
          </cell>
          <cell r="AA66">
            <v>8</v>
          </cell>
          <cell r="AB66">
            <v>51</v>
          </cell>
          <cell r="AC66">
            <v>68</v>
          </cell>
        </row>
        <row r="67">
          <cell r="J67">
            <v>7</v>
          </cell>
          <cell r="K67">
            <v>14</v>
          </cell>
          <cell r="L67">
            <v>0</v>
          </cell>
          <cell r="M67">
            <v>39</v>
          </cell>
          <cell r="AB67">
            <v>1</v>
          </cell>
        </row>
        <row r="68">
          <cell r="J68">
            <v>14</v>
          </cell>
          <cell r="K68">
            <v>28</v>
          </cell>
          <cell r="L68">
            <v>0</v>
          </cell>
          <cell r="M68">
            <v>63</v>
          </cell>
        </row>
        <row r="69">
          <cell r="J69">
            <v>14</v>
          </cell>
          <cell r="K69">
            <v>28</v>
          </cell>
          <cell r="L69">
            <v>0</v>
          </cell>
          <cell r="M69">
            <v>80</v>
          </cell>
        </row>
        <row r="70">
          <cell r="J70">
            <v>11.5</v>
          </cell>
          <cell r="K70">
            <v>23</v>
          </cell>
          <cell r="L70">
            <v>0</v>
          </cell>
          <cell r="M70">
            <v>51</v>
          </cell>
        </row>
        <row r="71">
          <cell r="J71">
            <v>7</v>
          </cell>
          <cell r="K71">
            <v>14</v>
          </cell>
          <cell r="L71">
            <v>0</v>
          </cell>
          <cell r="M71">
            <v>39</v>
          </cell>
        </row>
      </sheetData>
      <sheetData sheetId="2">
        <row r="2">
          <cell r="C2" t="str">
            <v>pertes EN</v>
          </cell>
        </row>
        <row r="6">
          <cell r="G6" t="str">
            <v>&gt;51 = test</v>
          </cell>
        </row>
        <row r="10">
          <cell r="A10" t="str">
            <v>7030-13519</v>
          </cell>
          <cell r="D10" t="str">
            <v>21-40</v>
          </cell>
        </row>
        <row r="11">
          <cell r="A11" t="str">
            <v>13520-20279</v>
          </cell>
          <cell r="D11" t="str">
            <v>42-60</v>
          </cell>
        </row>
        <row r="12">
          <cell r="A12" t="str">
            <v>20280-27038</v>
          </cell>
          <cell r="D12" t="str">
            <v>62-80</v>
          </cell>
        </row>
        <row r="22">
          <cell r="E22" t="str">
            <v>2</v>
          </cell>
        </row>
        <row r="23">
          <cell r="E23" t="str">
            <v>1</v>
          </cell>
        </row>
        <row r="25">
          <cell r="E25" t="str">
            <v>1</v>
          </cell>
        </row>
        <row r="26">
          <cell r="E26">
            <v>0</v>
          </cell>
        </row>
        <row r="28">
          <cell r="E28" t="str">
            <v>Arme/armure cassé quand R=0</v>
          </cell>
        </row>
        <row r="29">
          <cell r="E29" t="str">
            <v>Réparation = entretien des armes (+Archerie/Forge/Armure/Cuir/Ebénisterie)</v>
          </cell>
        </row>
        <row r="32">
          <cell r="E32" t="str">
            <v>Résist 20</v>
          </cell>
        </row>
        <row r="34">
          <cell r="E34">
            <v>5</v>
          </cell>
          <cell r="J34">
            <v>52</v>
          </cell>
        </row>
        <row r="35">
          <cell r="E35">
            <v>0</v>
          </cell>
        </row>
        <row r="37">
          <cell r="E37">
            <v>2</v>
          </cell>
        </row>
        <row r="38">
          <cell r="E38">
            <v>7</v>
          </cell>
        </row>
        <row r="40">
          <cell r="E40" t="str">
            <v>Résist 20</v>
          </cell>
        </row>
        <row r="41">
          <cell r="E41">
            <v>1</v>
          </cell>
        </row>
      </sheetData>
      <sheetData sheetId="3">
        <row r="5">
          <cell r="J5" t="str">
            <v>N3</v>
          </cell>
        </row>
        <row r="6">
          <cell r="F6" t="str">
            <v>8-15</v>
          </cell>
          <cell r="G6">
            <v>44</v>
          </cell>
          <cell r="H6" t="str">
            <v>16-23</v>
          </cell>
        </row>
        <row r="10">
          <cell r="F10" t="str">
            <v>12-24</v>
          </cell>
          <cell r="H10" t="str">
            <v>25-32</v>
          </cell>
        </row>
        <row r="11">
          <cell r="J11" t="str">
            <v>Coma</v>
          </cell>
        </row>
        <row r="22">
          <cell r="E22">
            <v>149</v>
          </cell>
        </row>
        <row r="26">
          <cell r="E26">
            <v>129</v>
          </cell>
          <cell r="F26" t="str">
            <v>6-11</v>
          </cell>
          <cell r="H26" t="str">
            <v>12-19</v>
          </cell>
        </row>
        <row r="34">
          <cell r="E34">
            <v>129</v>
          </cell>
          <cell r="J34" t="str">
            <v>24+</v>
          </cell>
        </row>
        <row r="38">
          <cell r="E38">
            <v>129</v>
          </cell>
        </row>
        <row r="43">
          <cell r="B43" t="str">
            <v>T 1</v>
          </cell>
        </row>
        <row r="44">
          <cell r="B44" t="str">
            <v>E 1</v>
          </cell>
          <cell r="J44" t="str">
            <v>VD-10, Fin PG</v>
          </cell>
        </row>
        <row r="45">
          <cell r="B45" t="str">
            <v>C 1</v>
          </cell>
        </row>
        <row r="46">
          <cell r="B46" t="str">
            <v>Armure</v>
          </cell>
        </row>
        <row r="47">
          <cell r="B47" t="str">
            <v>T 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"/>
      <sheetName val="Talents"/>
      <sheetName val="ArmURe"/>
      <sheetName val="Corps"/>
    </sheetNames>
    <definedNames>
      <definedName name="Armure" refersTo="='Talents'!$AB$67"/>
      <definedName name="artGraphique" refersTo="='Perso'!$F$6"/>
      <definedName name="attaque" refersTo="='Talents'!$AB$44"/>
      <definedName name="bea" refersTo="='Perso'!$E$40"/>
      <definedName name="BM" refersTo="='Perso'!$J$5"/>
      <definedName name="car" refersTo="='Perso'!$E$28"/>
      <definedName name="cha" refersTo="='Perso'!$E$41"/>
      <definedName name="charge" refersTo="='Talents'!$AB$46"/>
      <definedName name="com" refersTo="='Perso'!$E$34"/>
      <definedName name="coo" refersTo="='Perso'!$E$19"/>
      <definedName name="défense" refersTo="='Talents'!$AB$50"/>
      <definedName name="embuscade" refersTo="='Talents'!$AB$52"/>
      <definedName name="equ" refersTo="='Perso'!$E$23"/>
      <definedName name="esquive" refersTo="='Talents'!$AB$54"/>
      <definedName name="fat" refersTo="='Perso'!$E$17"/>
      <definedName name="Foi" refersTo="='Perso'!$G$6"/>
      <definedName name="fuite" refersTo="='Talents'!$AB$56"/>
      <definedName name="Goût" refersTo="='Perso'!$B$46"/>
      <definedName name="inu" refersTo="='Perso'!$E$35"/>
      <definedName name="man" refersTo="='Perso'!$E$20"/>
      <definedName name="mem" refersTo="='Perso'!$E$26"/>
      <definedName name="NEC" refersTo="='Perso'!$J$11"/>
      <definedName name="NEM" refersTo="='Perso'!$J$34"/>
      <definedName name="Nourriture" refersTo="='Perso'!$J$44"/>
      <definedName name="NS" refersTo="='Perso'!$I$5"/>
      <definedName name="obéissance" refersTo="='Talents'!$AB$61"/>
      <definedName name="Odorat" refersTo="='Perso'!$B$45"/>
      <definedName name="Ouïe" refersTo="='Perso'!$B$44"/>
      <definedName name="poids" refersTo="='Perso'!$D$2"/>
      <definedName name="pui" refersTo="='Perso'!$E$13"/>
      <definedName name="rai" refersTo="='Perso'!$E$25"/>
      <definedName name="rap" refersTo="='Perso'!$E$32"/>
      <definedName name="réaction" refersTo="='Talents'!$AB$63"/>
      <definedName name="res" refersTo="='Perso'!$E$29"/>
      <definedName name="rob" refersTo="='Perso'!$E$38"/>
      <definedName name="san" refersTo="='Perso'!$E$37"/>
      <definedName name="sop" refersTo="='Perso'!$E$22"/>
      <definedName name="sou" refersTo="='Perso'!$E$16"/>
      <definedName name="taille" refersTo="='Perso'!$C$2"/>
      <definedName name="Toucher" refersTo="='Perso'!$B$47"/>
      <definedName name="vitesse" refersTo="='Talents'!$AB$66"/>
      <definedName name="voi" refersTo="='Perso'!$E$31"/>
      <definedName name="Vue" refersTo="='Perso'!$B$43"/>
    </definedNames>
    <sheetDataSet>
      <sheetData sheetId="0">
        <row r="2">
          <cell r="B2" t="str">
            <v>14/8/978</v>
          </cell>
          <cell r="C2">
            <v>172</v>
          </cell>
          <cell r="D2">
            <v>66</v>
          </cell>
          <cell r="E2" t="str">
            <v>noir</v>
          </cell>
          <cell r="F2" t="str">
            <v>noisette</v>
          </cell>
          <cell r="G2">
            <v>0</v>
          </cell>
          <cell r="H2" t="str">
            <v>pâle</v>
          </cell>
          <cell r="I2" t="str">
            <v>imberbe</v>
          </cell>
          <cell r="J2" t="str">
            <v>tr bonne</v>
          </cell>
        </row>
        <row r="3">
          <cell r="A3" t="str">
            <v>Kar</v>
          </cell>
          <cell r="E3" t="str">
            <v>courts</v>
          </cell>
          <cell r="F3" t="str">
            <v>crépus</v>
          </cell>
          <cell r="H3">
            <v>0</v>
          </cell>
          <cell r="I3">
            <v>0</v>
          </cell>
        </row>
        <row r="5">
          <cell r="A5" t="str">
            <v>vindicative</v>
          </cell>
          <cell r="B5">
            <v>0</v>
          </cell>
          <cell r="D5">
            <v>0</v>
          </cell>
          <cell r="G5" t="str">
            <v>EI</v>
          </cell>
          <cell r="H5">
            <v>0</v>
          </cell>
          <cell r="I5">
            <v>2</v>
          </cell>
          <cell r="J5">
            <v>80</v>
          </cell>
        </row>
        <row r="6">
          <cell r="A6" t="str">
            <v>AVARICE</v>
          </cell>
          <cell r="B6">
            <v>0</v>
          </cell>
          <cell r="D6">
            <v>0</v>
          </cell>
          <cell r="F6">
            <v>9</v>
          </cell>
          <cell r="G6">
            <v>51</v>
          </cell>
          <cell r="H6" t="str">
            <v>Dargos</v>
          </cell>
          <cell r="I6" t="str">
            <v>sombre</v>
          </cell>
          <cell r="J6" t="str">
            <v>voleuse</v>
          </cell>
        </row>
        <row r="11">
          <cell r="J11">
            <v>6</v>
          </cell>
        </row>
        <row r="12">
          <cell r="J12">
            <v>17.899999999999999</v>
          </cell>
        </row>
        <row r="13">
          <cell r="C13" t="str">
            <v>pui</v>
          </cell>
          <cell r="D13">
            <v>8</v>
          </cell>
          <cell r="E13">
            <v>32</v>
          </cell>
          <cell r="F13">
            <v>2</v>
          </cell>
          <cell r="G13">
            <v>32</v>
          </cell>
          <cell r="J13">
            <v>17.3</v>
          </cell>
        </row>
        <row r="14">
          <cell r="C14" t="str">
            <v>pou</v>
          </cell>
          <cell r="D14">
            <v>8</v>
          </cell>
          <cell r="E14">
            <v>26</v>
          </cell>
          <cell r="G14">
            <v>32</v>
          </cell>
          <cell r="J14">
            <v>31</v>
          </cell>
        </row>
        <row r="15">
          <cell r="C15" t="str">
            <v>En</v>
          </cell>
          <cell r="J15">
            <v>7</v>
          </cell>
        </row>
        <row r="16">
          <cell r="C16" t="str">
            <v>sou</v>
          </cell>
          <cell r="D16">
            <v>18</v>
          </cell>
          <cell r="E16">
            <v>53</v>
          </cell>
          <cell r="G16">
            <v>65</v>
          </cell>
          <cell r="J16">
            <v>60</v>
          </cell>
        </row>
        <row r="17">
          <cell r="C17" t="str">
            <v>fat</v>
          </cell>
          <cell r="D17">
            <v>18</v>
          </cell>
          <cell r="E17">
            <v>55</v>
          </cell>
          <cell r="G17">
            <v>65</v>
          </cell>
          <cell r="J17">
            <v>12.4</v>
          </cell>
        </row>
        <row r="18">
          <cell r="C18" t="str">
            <v>D</v>
          </cell>
          <cell r="J18">
            <v>50</v>
          </cell>
        </row>
        <row r="19">
          <cell r="C19" t="str">
            <v>coo</v>
          </cell>
          <cell r="D19">
            <v>19</v>
          </cell>
          <cell r="E19">
            <v>96</v>
          </cell>
          <cell r="G19">
            <v>103</v>
          </cell>
          <cell r="J19">
            <v>26.4</v>
          </cell>
        </row>
        <row r="20">
          <cell r="C20" t="str">
            <v>man</v>
          </cell>
          <cell r="D20">
            <v>19</v>
          </cell>
          <cell r="E20">
            <v>92</v>
          </cell>
          <cell r="G20">
            <v>103</v>
          </cell>
          <cell r="J20">
            <v>74.55</v>
          </cell>
        </row>
        <row r="21">
          <cell r="C21" t="str">
            <v>A</v>
          </cell>
          <cell r="J21">
            <v>63.6</v>
          </cell>
        </row>
        <row r="22">
          <cell r="C22" t="str">
            <v>sop</v>
          </cell>
          <cell r="D22">
            <v>16</v>
          </cell>
          <cell r="E22">
            <v>51</v>
          </cell>
          <cell r="G22">
            <v>64</v>
          </cell>
          <cell r="J22">
            <v>4</v>
          </cell>
        </row>
        <row r="23">
          <cell r="C23" t="str">
            <v>equ</v>
          </cell>
          <cell r="D23">
            <v>16</v>
          </cell>
          <cell r="E23">
            <v>45</v>
          </cell>
          <cell r="G23">
            <v>64</v>
          </cell>
          <cell r="J23">
            <v>5</v>
          </cell>
        </row>
        <row r="24">
          <cell r="C24" t="str">
            <v>I</v>
          </cell>
          <cell r="J24">
            <v>46.9</v>
          </cell>
        </row>
        <row r="25">
          <cell r="C25" t="str">
            <v>rai</v>
          </cell>
          <cell r="D25">
            <v>16</v>
          </cell>
          <cell r="E25">
            <v>73</v>
          </cell>
          <cell r="G25">
            <v>80</v>
          </cell>
          <cell r="J25">
            <v>8</v>
          </cell>
        </row>
        <row r="26">
          <cell r="C26" t="str">
            <v>mem</v>
          </cell>
          <cell r="D26">
            <v>16</v>
          </cell>
          <cell r="E26">
            <v>58</v>
          </cell>
          <cell r="G26">
            <v>80</v>
          </cell>
          <cell r="J26">
            <v>12.8</v>
          </cell>
        </row>
        <row r="27">
          <cell r="C27" t="str">
            <v>V</v>
          </cell>
          <cell r="D27">
            <v>13</v>
          </cell>
          <cell r="E27">
            <v>14</v>
          </cell>
          <cell r="J27">
            <v>6</v>
          </cell>
        </row>
        <row r="28">
          <cell r="C28" t="str">
            <v>car</v>
          </cell>
          <cell r="D28">
            <v>16</v>
          </cell>
          <cell r="E28">
            <v>50</v>
          </cell>
          <cell r="G28">
            <v>66</v>
          </cell>
          <cell r="J28">
            <v>6</v>
          </cell>
        </row>
        <row r="29">
          <cell r="C29" t="str">
            <v>res</v>
          </cell>
          <cell r="D29">
            <v>16</v>
          </cell>
          <cell r="E29">
            <v>50</v>
          </cell>
          <cell r="G29">
            <v>66</v>
          </cell>
          <cell r="J29">
            <v>48</v>
          </cell>
        </row>
        <row r="30">
          <cell r="C30" t="str">
            <v>E</v>
          </cell>
          <cell r="J30">
            <v>43</v>
          </cell>
        </row>
        <row r="31">
          <cell r="C31" t="str">
            <v>voi</v>
          </cell>
          <cell r="D31">
            <v>10</v>
          </cell>
          <cell r="E31">
            <v>24</v>
          </cell>
          <cell r="G31">
            <v>40</v>
          </cell>
          <cell r="J31">
            <v>86</v>
          </cell>
        </row>
        <row r="32">
          <cell r="C32" t="str">
            <v>rap</v>
          </cell>
          <cell r="D32">
            <v>10</v>
          </cell>
          <cell r="E32">
            <v>25</v>
          </cell>
          <cell r="G32">
            <v>40</v>
          </cell>
          <cell r="J32">
            <v>129</v>
          </cell>
        </row>
        <row r="33">
          <cell r="C33" t="str">
            <v>Em</v>
          </cell>
          <cell r="J33">
            <v>12900</v>
          </cell>
        </row>
        <row r="34">
          <cell r="C34" t="str">
            <v>com</v>
          </cell>
          <cell r="D34">
            <v>4</v>
          </cell>
          <cell r="E34">
            <v>12</v>
          </cell>
          <cell r="G34">
            <v>14</v>
          </cell>
          <cell r="J34">
            <v>0</v>
          </cell>
        </row>
        <row r="35">
          <cell r="C35" t="str">
            <v>inu</v>
          </cell>
          <cell r="D35">
            <v>4</v>
          </cell>
          <cell r="E35">
            <v>12</v>
          </cell>
          <cell r="G35">
            <v>14</v>
          </cell>
          <cell r="J35">
            <v>20</v>
          </cell>
        </row>
        <row r="36">
          <cell r="C36" t="str">
            <v>C</v>
          </cell>
          <cell r="J36">
            <v>10</v>
          </cell>
        </row>
        <row r="37">
          <cell r="C37" t="str">
            <v>san</v>
          </cell>
          <cell r="D37">
            <v>11</v>
          </cell>
          <cell r="E37">
            <v>42</v>
          </cell>
          <cell r="G37">
            <v>44</v>
          </cell>
          <cell r="J37">
            <v>14</v>
          </cell>
        </row>
        <row r="38">
          <cell r="C38" t="str">
            <v>rob</v>
          </cell>
          <cell r="D38">
            <v>11</v>
          </cell>
          <cell r="E38">
            <v>44</v>
          </cell>
          <cell r="G38">
            <v>44</v>
          </cell>
          <cell r="J38">
            <v>0</v>
          </cell>
        </row>
        <row r="39">
          <cell r="C39" t="str">
            <v>Ap</v>
          </cell>
          <cell r="J39" t="str">
            <v>8 /+ 0</v>
          </cell>
        </row>
        <row r="40">
          <cell r="C40" t="str">
            <v>bea</v>
          </cell>
          <cell r="D40">
            <v>5</v>
          </cell>
          <cell r="E40">
            <v>20</v>
          </cell>
          <cell r="G40">
            <v>20</v>
          </cell>
          <cell r="J40">
            <v>4</v>
          </cell>
        </row>
        <row r="41">
          <cell r="C41" t="str">
            <v>cha</v>
          </cell>
          <cell r="D41">
            <v>5</v>
          </cell>
          <cell r="E41">
            <v>20</v>
          </cell>
          <cell r="G41">
            <v>20</v>
          </cell>
          <cell r="J41">
            <v>80</v>
          </cell>
        </row>
        <row r="42">
          <cell r="J42">
            <v>6</v>
          </cell>
        </row>
        <row r="43">
          <cell r="B43">
            <v>56</v>
          </cell>
          <cell r="J43">
            <v>47.45</v>
          </cell>
        </row>
        <row r="44">
          <cell r="B44">
            <v>46</v>
          </cell>
          <cell r="J44" t="str">
            <v>3 PdN/j</v>
          </cell>
        </row>
        <row r="45">
          <cell r="B45">
            <v>67</v>
          </cell>
          <cell r="J45" t="str">
            <v>3,5 km/h</v>
          </cell>
        </row>
        <row r="46">
          <cell r="B46">
            <v>53</v>
          </cell>
          <cell r="J46">
            <v>11</v>
          </cell>
        </row>
        <row r="47">
          <cell r="B47">
            <v>63</v>
          </cell>
          <cell r="J47" t="str">
            <v>4,7m / 1,6m</v>
          </cell>
        </row>
      </sheetData>
      <sheetData sheetId="1">
        <row r="2">
          <cell r="C2" t="str">
            <v>equ</v>
          </cell>
          <cell r="D2" t="str">
            <v>equ</v>
          </cell>
          <cell r="J2">
            <v>11.5</v>
          </cell>
          <cell r="K2">
            <v>23</v>
          </cell>
          <cell r="L2">
            <v>0</v>
          </cell>
          <cell r="M2">
            <v>69</v>
          </cell>
          <cell r="Z2">
            <v>13</v>
          </cell>
          <cell r="AA2">
            <v>26</v>
          </cell>
          <cell r="AC2">
            <v>73</v>
          </cell>
        </row>
        <row r="3">
          <cell r="J3">
            <v>14</v>
          </cell>
          <cell r="K3">
            <v>28</v>
          </cell>
          <cell r="L3">
            <v>0</v>
          </cell>
          <cell r="M3">
            <v>65</v>
          </cell>
          <cell r="Z3">
            <v>18.5</v>
          </cell>
          <cell r="AA3">
            <v>37</v>
          </cell>
          <cell r="AB3">
            <v>0</v>
          </cell>
          <cell r="AC3">
            <v>80</v>
          </cell>
        </row>
        <row r="4">
          <cell r="J4">
            <v>14.5</v>
          </cell>
          <cell r="K4">
            <v>29</v>
          </cell>
          <cell r="L4">
            <v>0</v>
          </cell>
          <cell r="M4">
            <v>68</v>
          </cell>
          <cell r="Z4">
            <v>18.5</v>
          </cell>
          <cell r="AA4">
            <v>37</v>
          </cell>
          <cell r="AB4">
            <v>0</v>
          </cell>
          <cell r="AC4">
            <v>80</v>
          </cell>
        </row>
        <row r="5">
          <cell r="I5">
            <v>15</v>
          </cell>
          <cell r="J5">
            <v>23</v>
          </cell>
          <cell r="K5">
            <v>46</v>
          </cell>
          <cell r="M5">
            <v>80</v>
          </cell>
          <cell r="Z5">
            <v>23</v>
          </cell>
          <cell r="AA5">
            <v>46</v>
          </cell>
          <cell r="AB5">
            <v>80</v>
          </cell>
          <cell r="AC5">
            <v>80</v>
          </cell>
        </row>
        <row r="6">
          <cell r="F6">
            <v>96</v>
          </cell>
          <cell r="G6">
            <v>12</v>
          </cell>
          <cell r="J6">
            <v>24</v>
          </cell>
          <cell r="K6">
            <v>48</v>
          </cell>
          <cell r="M6">
            <v>80</v>
          </cell>
          <cell r="Z6">
            <v>8</v>
          </cell>
          <cell r="AA6">
            <v>16</v>
          </cell>
          <cell r="AB6">
            <v>0</v>
          </cell>
          <cell r="AC6">
            <v>60</v>
          </cell>
        </row>
        <row r="7">
          <cell r="J7">
            <v>24</v>
          </cell>
          <cell r="K7">
            <v>48</v>
          </cell>
          <cell r="L7">
            <v>0</v>
          </cell>
          <cell r="M7">
            <v>60</v>
          </cell>
          <cell r="Z7">
            <v>18.5</v>
          </cell>
          <cell r="AA7">
            <v>37</v>
          </cell>
          <cell r="AB7">
            <v>0</v>
          </cell>
          <cell r="AC7">
            <v>80</v>
          </cell>
        </row>
        <row r="8">
          <cell r="J8">
            <v>3</v>
          </cell>
          <cell r="K8">
            <v>6</v>
          </cell>
          <cell r="L8">
            <v>0</v>
          </cell>
          <cell r="M8">
            <v>58</v>
          </cell>
          <cell r="Z8">
            <v>12.5</v>
          </cell>
          <cell r="AA8">
            <v>25</v>
          </cell>
          <cell r="AB8">
            <v>0</v>
          </cell>
          <cell r="AC8">
            <v>62</v>
          </cell>
        </row>
        <row r="9">
          <cell r="J9">
            <v>6.5</v>
          </cell>
          <cell r="K9">
            <v>13</v>
          </cell>
          <cell r="L9">
            <v>0</v>
          </cell>
          <cell r="M9">
            <v>49</v>
          </cell>
          <cell r="Z9">
            <v>23</v>
          </cell>
          <cell r="AA9">
            <v>46</v>
          </cell>
          <cell r="AB9">
            <v>0</v>
          </cell>
          <cell r="AC9">
            <v>80</v>
          </cell>
        </row>
        <row r="10">
          <cell r="J10">
            <v>13.5</v>
          </cell>
          <cell r="K10">
            <v>27</v>
          </cell>
          <cell r="L10">
            <v>0</v>
          </cell>
          <cell r="M10">
            <v>60</v>
          </cell>
          <cell r="Z10">
            <v>18.5</v>
          </cell>
          <cell r="AA10">
            <v>37</v>
          </cell>
          <cell r="AB10">
            <v>0</v>
          </cell>
          <cell r="AC10">
            <v>75</v>
          </cell>
        </row>
        <row r="11">
          <cell r="J11">
            <v>3</v>
          </cell>
          <cell r="K11">
            <v>6</v>
          </cell>
          <cell r="L11">
            <v>0</v>
          </cell>
          <cell r="M11">
            <v>58</v>
          </cell>
          <cell r="Z11">
            <v>12.5</v>
          </cell>
          <cell r="AA11">
            <v>25</v>
          </cell>
          <cell r="AB11">
            <v>0</v>
          </cell>
          <cell r="AC11">
            <v>72</v>
          </cell>
        </row>
        <row r="12">
          <cell r="J12">
            <v>18.5</v>
          </cell>
          <cell r="K12">
            <v>37</v>
          </cell>
          <cell r="L12">
            <v>0</v>
          </cell>
          <cell r="M12">
            <v>80</v>
          </cell>
          <cell r="Z12">
            <v>13</v>
          </cell>
          <cell r="AA12">
            <v>26</v>
          </cell>
          <cell r="AB12">
            <v>0</v>
          </cell>
          <cell r="AC12">
            <v>68</v>
          </cell>
        </row>
        <row r="13">
          <cell r="E13" t="str">
            <v>coo</v>
          </cell>
          <cell r="J13">
            <v>13</v>
          </cell>
          <cell r="K13">
            <v>26</v>
          </cell>
          <cell r="L13">
            <v>0</v>
          </cell>
          <cell r="M13">
            <v>60</v>
          </cell>
          <cell r="Z13">
            <v>6</v>
          </cell>
          <cell r="AA13">
            <v>12</v>
          </cell>
          <cell r="AB13">
            <v>0</v>
          </cell>
          <cell r="AC13">
            <v>60</v>
          </cell>
        </row>
        <row r="14">
          <cell r="J14">
            <v>6</v>
          </cell>
          <cell r="K14">
            <v>12</v>
          </cell>
          <cell r="L14">
            <v>0</v>
          </cell>
          <cell r="M14">
            <v>53</v>
          </cell>
          <cell r="Z14">
            <v>23</v>
          </cell>
          <cell r="AA14">
            <v>46</v>
          </cell>
          <cell r="AB14">
            <v>0</v>
          </cell>
          <cell r="AC14">
            <v>80</v>
          </cell>
        </row>
        <row r="15">
          <cell r="J15">
            <v>6.5</v>
          </cell>
          <cell r="K15">
            <v>13</v>
          </cell>
          <cell r="L15">
            <v>0</v>
          </cell>
          <cell r="M15">
            <v>58</v>
          </cell>
          <cell r="Z15">
            <v>14</v>
          </cell>
          <cell r="AA15">
            <v>28</v>
          </cell>
          <cell r="AB15">
            <v>0</v>
          </cell>
          <cell r="AC15">
            <v>80</v>
          </cell>
        </row>
        <row r="16">
          <cell r="E16" t="str">
            <v>sop</v>
          </cell>
          <cell r="J16">
            <v>13.5</v>
          </cell>
          <cell r="K16">
            <v>27</v>
          </cell>
          <cell r="L16">
            <v>0</v>
          </cell>
          <cell r="M16">
            <v>66</v>
          </cell>
          <cell r="Z16">
            <v>5</v>
          </cell>
          <cell r="AA16">
            <v>10</v>
          </cell>
          <cell r="AB16">
            <v>0</v>
          </cell>
          <cell r="AC16">
            <v>38</v>
          </cell>
        </row>
        <row r="17">
          <cell r="E17" t="str">
            <v>man</v>
          </cell>
          <cell r="J17">
            <v>12.5</v>
          </cell>
          <cell r="K17">
            <v>25</v>
          </cell>
          <cell r="L17">
            <v>0</v>
          </cell>
          <cell r="M17">
            <v>73</v>
          </cell>
          <cell r="Z17">
            <v>18.5</v>
          </cell>
          <cell r="AA17">
            <v>37</v>
          </cell>
          <cell r="AB17">
            <v>0</v>
          </cell>
          <cell r="AC17">
            <v>60</v>
          </cell>
        </row>
        <row r="18">
          <cell r="J18">
            <v>12.5</v>
          </cell>
          <cell r="K18">
            <v>25</v>
          </cell>
          <cell r="L18">
            <v>0</v>
          </cell>
          <cell r="M18">
            <v>66</v>
          </cell>
          <cell r="Z18">
            <v>13.5</v>
          </cell>
          <cell r="AA18">
            <v>27</v>
          </cell>
          <cell r="AC18">
            <v>80</v>
          </cell>
        </row>
        <row r="19">
          <cell r="E19" t="str">
            <v>sou</v>
          </cell>
          <cell r="J19">
            <v>6.5</v>
          </cell>
          <cell r="K19">
            <v>13</v>
          </cell>
          <cell r="L19">
            <v>0</v>
          </cell>
          <cell r="M19">
            <v>69</v>
          </cell>
          <cell r="Z19">
            <v>13.5</v>
          </cell>
          <cell r="AA19">
            <v>27</v>
          </cell>
          <cell r="AC19">
            <v>80</v>
          </cell>
        </row>
        <row r="20">
          <cell r="E20" t="str">
            <v>inu</v>
          </cell>
          <cell r="J20">
            <v>18.5</v>
          </cell>
          <cell r="K20">
            <v>37</v>
          </cell>
          <cell r="L20">
            <v>0</v>
          </cell>
          <cell r="M20">
            <v>80</v>
          </cell>
          <cell r="Z20">
            <v>13.5</v>
          </cell>
          <cell r="AA20">
            <v>27</v>
          </cell>
          <cell r="AC20">
            <v>80</v>
          </cell>
        </row>
        <row r="21">
          <cell r="J21">
            <v>12.5</v>
          </cell>
          <cell r="K21">
            <v>25</v>
          </cell>
          <cell r="L21">
            <v>0</v>
          </cell>
          <cell r="M21">
            <v>80</v>
          </cell>
          <cell r="Z21">
            <v>13.5</v>
          </cell>
          <cell r="AA21">
            <v>27</v>
          </cell>
          <cell r="AC21">
            <v>80</v>
          </cell>
        </row>
        <row r="22">
          <cell r="E22" t="str">
            <v>cha</v>
          </cell>
          <cell r="J22">
            <v>6</v>
          </cell>
          <cell r="K22">
            <v>12</v>
          </cell>
          <cell r="L22">
            <v>38</v>
          </cell>
          <cell r="M22">
            <v>48</v>
          </cell>
          <cell r="Z22">
            <v>13.5</v>
          </cell>
          <cell r="AA22">
            <v>27</v>
          </cell>
          <cell r="AC22">
            <v>80</v>
          </cell>
        </row>
        <row r="23">
          <cell r="E23" t="str">
            <v>sop</v>
          </cell>
          <cell r="J23">
            <v>13.5</v>
          </cell>
          <cell r="K23">
            <v>27</v>
          </cell>
          <cell r="L23">
            <v>0</v>
          </cell>
          <cell r="M23">
            <v>66</v>
          </cell>
          <cell r="Z23">
            <v>13.5</v>
          </cell>
          <cell r="AA23">
            <v>27</v>
          </cell>
          <cell r="AC23">
            <v>80</v>
          </cell>
        </row>
        <row r="24">
          <cell r="J24">
            <v>23</v>
          </cell>
          <cell r="K24">
            <v>46</v>
          </cell>
          <cell r="L24">
            <v>0</v>
          </cell>
          <cell r="M24">
            <v>80</v>
          </cell>
          <cell r="Z24">
            <v>13.5</v>
          </cell>
          <cell r="AA24">
            <v>27</v>
          </cell>
          <cell r="AC24">
            <v>80</v>
          </cell>
        </row>
        <row r="25">
          <cell r="E25" t="str">
            <v>man</v>
          </cell>
          <cell r="J25">
            <v>2.5</v>
          </cell>
          <cell r="K25">
            <v>5</v>
          </cell>
          <cell r="L25">
            <v>0</v>
          </cell>
          <cell r="M25">
            <v>36</v>
          </cell>
          <cell r="Z25">
            <v>13.5</v>
          </cell>
          <cell r="AA25">
            <v>27</v>
          </cell>
          <cell r="AC25">
            <v>80</v>
          </cell>
        </row>
        <row r="26">
          <cell r="E26" t="str">
            <v>sop</v>
          </cell>
          <cell r="J26">
            <v>23</v>
          </cell>
          <cell r="K26">
            <v>46</v>
          </cell>
          <cell r="L26">
            <v>80</v>
          </cell>
          <cell r="M26">
            <v>80</v>
          </cell>
          <cell r="Z26">
            <v>13.5</v>
          </cell>
          <cell r="AA26">
            <v>27</v>
          </cell>
          <cell r="AC26">
            <v>80</v>
          </cell>
        </row>
        <row r="27">
          <cell r="J27">
            <v>14</v>
          </cell>
          <cell r="K27">
            <v>28</v>
          </cell>
          <cell r="L27">
            <v>0</v>
          </cell>
          <cell r="M27">
            <v>69</v>
          </cell>
          <cell r="Z27">
            <v>13.5</v>
          </cell>
          <cell r="AA27">
            <v>27</v>
          </cell>
          <cell r="AC27">
            <v>80</v>
          </cell>
        </row>
        <row r="28">
          <cell r="E28" t="str">
            <v>sop</v>
          </cell>
          <cell r="J28">
            <v>23</v>
          </cell>
          <cell r="K28">
            <v>46</v>
          </cell>
          <cell r="L28">
            <v>0</v>
          </cell>
          <cell r="M28">
            <v>80</v>
          </cell>
          <cell r="Z28">
            <v>13.5</v>
          </cell>
          <cell r="AA28">
            <v>27</v>
          </cell>
          <cell r="AC28">
            <v>80</v>
          </cell>
        </row>
        <row r="29">
          <cell r="E29" t="str">
            <v>com</v>
          </cell>
          <cell r="J29">
            <v>14.5</v>
          </cell>
          <cell r="K29">
            <v>29</v>
          </cell>
          <cell r="L29">
            <v>0</v>
          </cell>
          <cell r="M29">
            <v>80</v>
          </cell>
          <cell r="Z29">
            <v>13.5</v>
          </cell>
          <cell r="AA29">
            <v>27</v>
          </cell>
          <cell r="AC29">
            <v>80</v>
          </cell>
        </row>
        <row r="30">
          <cell r="J30">
            <v>13</v>
          </cell>
          <cell r="K30">
            <v>26</v>
          </cell>
          <cell r="L30">
            <v>0</v>
          </cell>
          <cell r="M30">
            <v>60</v>
          </cell>
          <cell r="Z30">
            <v>13.5</v>
          </cell>
          <cell r="AA30">
            <v>27</v>
          </cell>
          <cell r="AC30">
            <v>80</v>
          </cell>
        </row>
        <row r="31">
          <cell r="E31" t="str">
            <v>voi</v>
          </cell>
          <cell r="J31">
            <v>18.5</v>
          </cell>
          <cell r="K31">
            <v>37</v>
          </cell>
          <cell r="L31">
            <v>0</v>
          </cell>
          <cell r="M31">
            <v>80</v>
          </cell>
          <cell r="Z31">
            <v>12.5</v>
          </cell>
          <cell r="AA31">
            <v>25</v>
          </cell>
          <cell r="AB31">
            <v>0</v>
          </cell>
          <cell r="AC31">
            <v>80</v>
          </cell>
        </row>
        <row r="32">
          <cell r="E32" t="str">
            <v>rai</v>
          </cell>
          <cell r="J32">
            <v>13</v>
          </cell>
          <cell r="K32">
            <v>26</v>
          </cell>
          <cell r="L32">
            <v>53</v>
          </cell>
          <cell r="M32">
            <v>63</v>
          </cell>
          <cell r="Z32">
            <v>8</v>
          </cell>
          <cell r="AA32">
            <v>16</v>
          </cell>
          <cell r="AB32">
            <v>8</v>
          </cell>
          <cell r="AC32">
            <v>75</v>
          </cell>
        </row>
        <row r="33">
          <cell r="J33">
            <v>24</v>
          </cell>
          <cell r="K33">
            <v>48</v>
          </cell>
          <cell r="M33">
            <v>80</v>
          </cell>
          <cell r="Z33">
            <v>3</v>
          </cell>
          <cell r="AA33">
            <v>6</v>
          </cell>
          <cell r="AB33">
            <v>46</v>
          </cell>
          <cell r="AC33">
            <v>62</v>
          </cell>
        </row>
        <row r="34">
          <cell r="E34" t="str">
            <v>inu</v>
          </cell>
          <cell r="J34">
            <v>12.5</v>
          </cell>
          <cell r="K34">
            <v>25</v>
          </cell>
          <cell r="L34">
            <v>0</v>
          </cell>
          <cell r="M34">
            <v>47</v>
          </cell>
          <cell r="Z34">
            <v>14.5</v>
          </cell>
          <cell r="AA34">
            <v>29</v>
          </cell>
          <cell r="AB34">
            <v>9</v>
          </cell>
          <cell r="AC34">
            <v>80</v>
          </cell>
        </row>
        <row r="35">
          <cell r="E35" t="str">
            <v>man</v>
          </cell>
          <cell r="J35">
            <v>14.5</v>
          </cell>
          <cell r="K35">
            <v>29</v>
          </cell>
          <cell r="L35">
            <v>0</v>
          </cell>
          <cell r="M35">
            <v>73</v>
          </cell>
          <cell r="Z35">
            <v>23</v>
          </cell>
          <cell r="AA35">
            <v>46</v>
          </cell>
          <cell r="AB35">
            <v>52</v>
          </cell>
          <cell r="AC35">
            <v>60</v>
          </cell>
        </row>
        <row r="36">
          <cell r="J36">
            <v>13</v>
          </cell>
          <cell r="K36">
            <v>26</v>
          </cell>
          <cell r="L36">
            <v>71</v>
          </cell>
          <cell r="M36">
            <v>80</v>
          </cell>
          <cell r="AC36">
            <v>0</v>
          </cell>
        </row>
        <row r="37">
          <cell r="E37" t="str">
            <v>com</v>
          </cell>
          <cell r="J37">
            <v>23</v>
          </cell>
          <cell r="K37">
            <v>46</v>
          </cell>
          <cell r="L37">
            <v>0</v>
          </cell>
          <cell r="M37">
            <v>80</v>
          </cell>
        </row>
        <row r="38">
          <cell r="E38" t="str">
            <v>com</v>
          </cell>
          <cell r="J38">
            <v>18.5</v>
          </cell>
          <cell r="K38">
            <v>37</v>
          </cell>
          <cell r="L38">
            <v>0</v>
          </cell>
          <cell r="M38">
            <v>80</v>
          </cell>
        </row>
        <row r="39">
          <cell r="J39">
            <v>14.5</v>
          </cell>
          <cell r="K39">
            <v>29</v>
          </cell>
          <cell r="L39">
            <v>0</v>
          </cell>
          <cell r="M39">
            <v>64</v>
          </cell>
        </row>
        <row r="40">
          <cell r="E40" t="str">
            <v>inu</v>
          </cell>
          <cell r="J40">
            <v>14.5</v>
          </cell>
          <cell r="K40">
            <v>29</v>
          </cell>
          <cell r="L40">
            <v>0</v>
          </cell>
          <cell r="M40">
            <v>80</v>
          </cell>
          <cell r="Z40" t="str">
            <v>N1</v>
          </cell>
          <cell r="AA40" t="str">
            <v>N2</v>
          </cell>
          <cell r="AC40" t="str">
            <v>N3</v>
          </cell>
        </row>
        <row r="41">
          <cell r="E41" t="str">
            <v>inu</v>
          </cell>
          <cell r="J41">
            <v>3</v>
          </cell>
          <cell r="K41">
            <v>6</v>
          </cell>
          <cell r="L41">
            <v>0</v>
          </cell>
          <cell r="M41">
            <v>49</v>
          </cell>
          <cell r="Z41">
            <v>24</v>
          </cell>
          <cell r="AA41">
            <v>48</v>
          </cell>
          <cell r="AB41">
            <v>56</v>
          </cell>
          <cell r="AC41">
            <v>60</v>
          </cell>
        </row>
        <row r="42">
          <cell r="J42">
            <v>3</v>
          </cell>
          <cell r="K42">
            <v>6</v>
          </cell>
          <cell r="L42">
            <v>0</v>
          </cell>
          <cell r="M42">
            <v>28</v>
          </cell>
          <cell r="Z42">
            <v>8</v>
          </cell>
          <cell r="AA42">
            <v>16</v>
          </cell>
          <cell r="AB42">
            <v>4</v>
          </cell>
          <cell r="AC42">
            <v>60</v>
          </cell>
        </row>
        <row r="43">
          <cell r="B43" t="str">
            <v xml:space="preserve">Jeu </v>
          </cell>
          <cell r="J43">
            <v>18.5</v>
          </cell>
          <cell r="K43">
            <v>37</v>
          </cell>
          <cell r="L43">
            <v>0</v>
          </cell>
          <cell r="M43">
            <v>80</v>
          </cell>
          <cell r="Z43">
            <v>24</v>
          </cell>
          <cell r="AA43">
            <v>48</v>
          </cell>
          <cell r="AB43">
            <v>18</v>
          </cell>
          <cell r="AC43">
            <v>60</v>
          </cell>
        </row>
        <row r="44">
          <cell r="B44" t="str">
            <v>Joaillerie</v>
          </cell>
          <cell r="J44">
            <v>23</v>
          </cell>
          <cell r="K44">
            <v>46</v>
          </cell>
          <cell r="L44">
            <v>0</v>
          </cell>
          <cell r="M44">
            <v>80</v>
          </cell>
          <cell r="Z44">
            <v>6.5</v>
          </cell>
          <cell r="AA44">
            <v>13</v>
          </cell>
          <cell r="AB44">
            <v>60</v>
          </cell>
          <cell r="AC44">
            <v>60</v>
          </cell>
        </row>
        <row r="45">
          <cell r="B45" t="str">
            <v xml:space="preserve">Langue Divine + </v>
          </cell>
          <cell r="J45">
            <v>3</v>
          </cell>
          <cell r="K45">
            <v>6</v>
          </cell>
          <cell r="L45">
            <v>0</v>
          </cell>
          <cell r="M45">
            <v>30</v>
          </cell>
          <cell r="Z45">
            <v>8</v>
          </cell>
          <cell r="AA45">
            <v>16</v>
          </cell>
          <cell r="AB45">
            <v>4</v>
          </cell>
          <cell r="AC45">
            <v>60</v>
          </cell>
        </row>
        <row r="46">
          <cell r="B46" t="str">
            <v>+</v>
          </cell>
          <cell r="J46">
            <v>3</v>
          </cell>
          <cell r="K46">
            <v>6</v>
          </cell>
          <cell r="M46">
            <v>30</v>
          </cell>
          <cell r="Z46">
            <v>13.5</v>
          </cell>
          <cell r="AA46">
            <v>27</v>
          </cell>
          <cell r="AB46">
            <v>12</v>
          </cell>
          <cell r="AC46">
            <v>60</v>
          </cell>
        </row>
        <row r="47">
          <cell r="B47" t="str">
            <v>Langue non-hu +</v>
          </cell>
          <cell r="J47">
            <v>14.5</v>
          </cell>
          <cell r="K47">
            <v>29</v>
          </cell>
          <cell r="L47">
            <v>0</v>
          </cell>
          <cell r="M47">
            <v>68</v>
          </cell>
          <cell r="Z47">
            <v>24</v>
          </cell>
          <cell r="AA47">
            <v>48</v>
          </cell>
          <cell r="AC47">
            <v>60</v>
          </cell>
        </row>
        <row r="48">
          <cell r="J48">
            <v>14.5</v>
          </cell>
          <cell r="K48">
            <v>29</v>
          </cell>
          <cell r="M48">
            <v>68</v>
          </cell>
          <cell r="Z48">
            <v>23</v>
          </cell>
          <cell r="AA48">
            <v>46</v>
          </cell>
          <cell r="AB48">
            <v>50</v>
          </cell>
          <cell r="AC48">
            <v>60</v>
          </cell>
        </row>
        <row r="49">
          <cell r="J49">
            <v>14.5</v>
          </cell>
          <cell r="K49">
            <v>29</v>
          </cell>
          <cell r="M49">
            <v>68</v>
          </cell>
          <cell r="Z49">
            <v>24</v>
          </cell>
          <cell r="AA49">
            <v>48</v>
          </cell>
          <cell r="AB49">
            <v>54</v>
          </cell>
          <cell r="AC49">
            <v>60</v>
          </cell>
        </row>
        <row r="50">
          <cell r="J50">
            <v>14.5</v>
          </cell>
          <cell r="K50">
            <v>29</v>
          </cell>
          <cell r="L50">
            <v>0</v>
          </cell>
          <cell r="M50">
            <v>80</v>
          </cell>
          <cell r="Z50">
            <v>13</v>
          </cell>
          <cell r="AA50">
            <v>26</v>
          </cell>
          <cell r="AB50">
            <v>50</v>
          </cell>
          <cell r="AC50">
            <v>60</v>
          </cell>
        </row>
        <row r="51">
          <cell r="J51">
            <v>18.5</v>
          </cell>
          <cell r="K51">
            <v>37</v>
          </cell>
          <cell r="L51">
            <v>57</v>
          </cell>
          <cell r="M51">
            <v>80</v>
          </cell>
          <cell r="Z51">
            <v>24</v>
          </cell>
          <cell r="AA51">
            <v>48</v>
          </cell>
          <cell r="AB51">
            <v>18</v>
          </cell>
          <cell r="AC51">
            <v>60</v>
          </cell>
        </row>
        <row r="52">
          <cell r="J52">
            <v>18.5</v>
          </cell>
          <cell r="K52">
            <v>37</v>
          </cell>
          <cell r="M52">
            <v>80</v>
          </cell>
          <cell r="Z52">
            <v>3</v>
          </cell>
          <cell r="AA52">
            <v>6</v>
          </cell>
          <cell r="AB52">
            <v>12</v>
          </cell>
          <cell r="AC52">
            <v>53</v>
          </cell>
        </row>
        <row r="53">
          <cell r="J53">
            <v>18.5</v>
          </cell>
          <cell r="K53">
            <v>37</v>
          </cell>
          <cell r="M53">
            <v>80</v>
          </cell>
          <cell r="Z53">
            <v>8</v>
          </cell>
          <cell r="AA53">
            <v>16</v>
          </cell>
          <cell r="AB53">
            <v>4</v>
          </cell>
          <cell r="AC53">
            <v>60</v>
          </cell>
        </row>
        <row r="54">
          <cell r="J54">
            <v>18.5</v>
          </cell>
          <cell r="K54">
            <v>37</v>
          </cell>
          <cell r="M54">
            <v>80</v>
          </cell>
          <cell r="Z54">
            <v>23</v>
          </cell>
          <cell r="AA54">
            <v>46</v>
          </cell>
          <cell r="AB54">
            <v>51</v>
          </cell>
          <cell r="AC54">
            <v>60</v>
          </cell>
        </row>
        <row r="55">
          <cell r="J55">
            <v>18.5</v>
          </cell>
          <cell r="K55">
            <v>37</v>
          </cell>
          <cell r="M55">
            <v>80</v>
          </cell>
          <cell r="Z55">
            <v>24</v>
          </cell>
          <cell r="AA55">
            <v>48</v>
          </cell>
          <cell r="AB55">
            <v>18</v>
          </cell>
          <cell r="AC55">
            <v>60</v>
          </cell>
        </row>
        <row r="56">
          <cell r="J56">
            <v>14.5</v>
          </cell>
          <cell r="K56">
            <v>29</v>
          </cell>
          <cell r="L56">
            <v>0</v>
          </cell>
          <cell r="M56">
            <v>74</v>
          </cell>
          <cell r="Z56">
            <v>13</v>
          </cell>
          <cell r="AA56">
            <v>26</v>
          </cell>
          <cell r="AB56">
            <v>53</v>
          </cell>
          <cell r="AC56">
            <v>60</v>
          </cell>
        </row>
        <row r="57">
          <cell r="J57">
            <v>14.5</v>
          </cell>
          <cell r="K57">
            <v>29</v>
          </cell>
          <cell r="M57">
            <v>74</v>
          </cell>
          <cell r="Z57">
            <v>8</v>
          </cell>
          <cell r="AA57">
            <v>16</v>
          </cell>
          <cell r="AB57">
            <v>4</v>
          </cell>
          <cell r="AC57">
            <v>51</v>
          </cell>
        </row>
        <row r="58">
          <cell r="J58">
            <v>14.5</v>
          </cell>
          <cell r="K58">
            <v>29</v>
          </cell>
          <cell r="M58">
            <v>74</v>
          </cell>
          <cell r="Z58">
            <v>8</v>
          </cell>
          <cell r="AA58">
            <v>16</v>
          </cell>
          <cell r="AB58">
            <v>4</v>
          </cell>
          <cell r="AC58">
            <v>54</v>
          </cell>
        </row>
        <row r="59">
          <cell r="J59">
            <v>14.5</v>
          </cell>
          <cell r="K59">
            <v>29</v>
          </cell>
          <cell r="M59">
            <v>74</v>
          </cell>
          <cell r="Z59">
            <v>6.5</v>
          </cell>
          <cell r="AA59">
            <v>13</v>
          </cell>
          <cell r="AB59">
            <v>4</v>
          </cell>
          <cell r="AC59">
            <v>50</v>
          </cell>
        </row>
        <row r="60">
          <cell r="J60">
            <v>3</v>
          </cell>
          <cell r="K60">
            <v>6</v>
          </cell>
          <cell r="L60">
            <v>0</v>
          </cell>
          <cell r="M60">
            <v>40</v>
          </cell>
          <cell r="Z60">
            <v>8</v>
          </cell>
          <cell r="AA60">
            <v>16</v>
          </cell>
          <cell r="AB60">
            <v>4</v>
          </cell>
          <cell r="AC60">
            <v>60</v>
          </cell>
        </row>
        <row r="61">
          <cell r="J61">
            <v>3</v>
          </cell>
          <cell r="K61">
            <v>6</v>
          </cell>
          <cell r="M61">
            <v>40</v>
          </cell>
          <cell r="Z61">
            <v>5</v>
          </cell>
          <cell r="AA61">
            <v>10</v>
          </cell>
          <cell r="AB61">
            <v>5</v>
          </cell>
          <cell r="AC61">
            <v>59</v>
          </cell>
        </row>
        <row r="62">
          <cell r="J62">
            <v>3</v>
          </cell>
          <cell r="K62">
            <v>6</v>
          </cell>
          <cell r="M62">
            <v>40</v>
          </cell>
          <cell r="Z62">
            <v>8</v>
          </cell>
          <cell r="AA62">
            <v>16</v>
          </cell>
          <cell r="AB62">
            <v>4</v>
          </cell>
          <cell r="AC62">
            <v>60</v>
          </cell>
        </row>
        <row r="63">
          <cell r="J63">
            <v>23</v>
          </cell>
          <cell r="K63">
            <v>46</v>
          </cell>
          <cell r="L63">
            <v>0</v>
          </cell>
          <cell r="M63">
            <v>80</v>
          </cell>
          <cell r="Z63">
            <v>6.5</v>
          </cell>
          <cell r="AA63">
            <v>13</v>
          </cell>
          <cell r="AB63">
            <v>40</v>
          </cell>
          <cell r="AC63">
            <v>59</v>
          </cell>
        </row>
        <row r="64">
          <cell r="J64">
            <v>9</v>
          </cell>
          <cell r="K64">
            <v>18</v>
          </cell>
          <cell r="L64">
            <v>0</v>
          </cell>
          <cell r="M64">
            <v>54</v>
          </cell>
          <cell r="Z64">
            <v>11</v>
          </cell>
          <cell r="AA64">
            <v>22</v>
          </cell>
          <cell r="AB64">
            <v>8</v>
          </cell>
          <cell r="AC64">
            <v>60</v>
          </cell>
        </row>
        <row r="65">
          <cell r="J65">
            <v>23</v>
          </cell>
          <cell r="K65">
            <v>46</v>
          </cell>
          <cell r="L65">
            <v>61</v>
          </cell>
          <cell r="M65">
            <v>77</v>
          </cell>
          <cell r="Z65">
            <v>18.5</v>
          </cell>
          <cell r="AA65">
            <v>37</v>
          </cell>
          <cell r="AB65">
            <v>11</v>
          </cell>
          <cell r="AC65">
            <v>60</v>
          </cell>
        </row>
        <row r="66">
          <cell r="J66">
            <v>13.5</v>
          </cell>
          <cell r="K66">
            <v>27</v>
          </cell>
          <cell r="L66">
            <v>0</v>
          </cell>
          <cell r="M66">
            <v>70</v>
          </cell>
          <cell r="Z66">
            <v>6.5</v>
          </cell>
          <cell r="AA66">
            <v>13</v>
          </cell>
          <cell r="AB66">
            <v>11</v>
          </cell>
          <cell r="AC66">
            <v>60</v>
          </cell>
        </row>
        <row r="67">
          <cell r="J67">
            <v>18.5</v>
          </cell>
          <cell r="K67">
            <v>37</v>
          </cell>
          <cell r="L67">
            <v>0</v>
          </cell>
          <cell r="M67">
            <v>71</v>
          </cell>
          <cell r="AB67">
            <v>1</v>
          </cell>
        </row>
        <row r="68">
          <cell r="J68">
            <v>14</v>
          </cell>
          <cell r="K68">
            <v>28</v>
          </cell>
          <cell r="L68">
            <v>62</v>
          </cell>
          <cell r="M68">
            <v>71</v>
          </cell>
        </row>
        <row r="69">
          <cell r="J69">
            <v>14</v>
          </cell>
          <cell r="K69">
            <v>28</v>
          </cell>
          <cell r="L69">
            <v>0</v>
          </cell>
          <cell r="M69">
            <v>68</v>
          </cell>
        </row>
        <row r="70">
          <cell r="J70">
            <v>23</v>
          </cell>
          <cell r="K70">
            <v>46</v>
          </cell>
          <cell r="L70">
            <v>0</v>
          </cell>
          <cell r="M70">
            <v>80</v>
          </cell>
        </row>
        <row r="71">
          <cell r="J71">
            <v>18.5</v>
          </cell>
          <cell r="K71">
            <v>37</v>
          </cell>
          <cell r="L71">
            <v>0</v>
          </cell>
          <cell r="M71">
            <v>80</v>
          </cell>
        </row>
        <row r="72">
          <cell r="J72">
            <v>18.5</v>
          </cell>
          <cell r="K72">
            <v>37</v>
          </cell>
          <cell r="M72">
            <v>80</v>
          </cell>
        </row>
      </sheetData>
      <sheetData sheetId="2">
        <row r="2">
          <cell r="C2" t="str">
            <v>pertes EN</v>
          </cell>
        </row>
        <row r="6">
          <cell r="G6" t="str">
            <v>&gt;39 = test</v>
          </cell>
        </row>
        <row r="10">
          <cell r="A10" t="str">
            <v>3354-6450</v>
          </cell>
          <cell r="D10" t="str">
            <v>11-22</v>
          </cell>
        </row>
        <row r="11">
          <cell r="A11" t="str">
            <v>6451-9675</v>
          </cell>
          <cell r="D11" t="str">
            <v>23-32</v>
          </cell>
        </row>
        <row r="12">
          <cell r="A12" t="str">
            <v>9676-12900</v>
          </cell>
          <cell r="D12" t="str">
            <v>34-43</v>
          </cell>
        </row>
        <row r="22">
          <cell r="E22" t="str">
            <v>2</v>
          </cell>
        </row>
        <row r="23">
          <cell r="E23">
            <v>0</v>
          </cell>
        </row>
        <row r="25">
          <cell r="E25">
            <v>0</v>
          </cell>
        </row>
        <row r="26">
          <cell r="E26">
            <v>0</v>
          </cell>
        </row>
        <row r="28">
          <cell r="E28" t="str">
            <v>Arme/armure cassé quand R=0</v>
          </cell>
        </row>
        <row r="29">
          <cell r="E29" t="str">
            <v>Réparation = entretien des armes (+Archerie/Forge/Armure/Cuir/Ebénisterie)</v>
          </cell>
        </row>
        <row r="32">
          <cell r="E32" t="str">
            <v>Résist 23</v>
          </cell>
        </row>
        <row r="34">
          <cell r="E34">
            <v>6</v>
          </cell>
          <cell r="J34">
            <v>20</v>
          </cell>
        </row>
        <row r="35">
          <cell r="E35">
            <v>10</v>
          </cell>
        </row>
        <row r="37">
          <cell r="E37">
            <v>-2</v>
          </cell>
        </row>
        <row r="38">
          <cell r="E38">
            <v>4</v>
          </cell>
        </row>
        <row r="40">
          <cell r="E40" t="str">
            <v>Résist 19</v>
          </cell>
        </row>
        <row r="41">
          <cell r="E41">
            <v>-1</v>
          </cell>
        </row>
      </sheetData>
      <sheetData sheetId="3">
        <row r="5">
          <cell r="J5" t="str">
            <v>N3</v>
          </cell>
        </row>
        <row r="6">
          <cell r="F6" t="str">
            <v>5-9</v>
          </cell>
          <cell r="G6">
            <v>29</v>
          </cell>
          <cell r="H6" t="str">
            <v>10-16</v>
          </cell>
        </row>
        <row r="10">
          <cell r="F10" t="str">
            <v>8-15</v>
          </cell>
          <cell r="H10" t="str">
            <v>16-22</v>
          </cell>
        </row>
        <row r="11">
          <cell r="J11" t="str">
            <v>Coma</v>
          </cell>
        </row>
        <row r="22">
          <cell r="E22">
            <v>40</v>
          </cell>
        </row>
        <row r="26">
          <cell r="E26">
            <v>104</v>
          </cell>
          <cell r="F26" t="str">
            <v>4-7</v>
          </cell>
          <cell r="H26" t="str">
            <v>8-14</v>
          </cell>
        </row>
        <row r="34">
          <cell r="E34">
            <v>59</v>
          </cell>
          <cell r="J34" t="str">
            <v>17+</v>
          </cell>
        </row>
        <row r="38">
          <cell r="E38">
            <v>59</v>
          </cell>
        </row>
        <row r="43">
          <cell r="B43" t="str">
            <v xml:space="preserve">T </v>
          </cell>
        </row>
        <row r="44">
          <cell r="B44" t="str">
            <v xml:space="preserve">E </v>
          </cell>
          <cell r="J44" t="str">
            <v>VD-10, Fin PG</v>
          </cell>
        </row>
        <row r="45">
          <cell r="B45" t="str">
            <v xml:space="preserve">C </v>
          </cell>
        </row>
        <row r="46">
          <cell r="B46" t="str">
            <v>Armure</v>
          </cell>
        </row>
        <row r="47">
          <cell r="B47" t="str">
            <v xml:space="preserve">T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"/>
      <sheetName val="Talents"/>
      <sheetName val="ArmURe"/>
      <sheetName val="Corps"/>
    </sheetNames>
    <definedNames>
      <definedName name="Armure" refersTo="='Talents'!$AB$67"/>
      <definedName name="artGraphique" refersTo="='Perso'!$F$6"/>
      <definedName name="attaque" refersTo="='Talents'!$AB$44"/>
      <definedName name="bea" refersTo="='Perso'!$E$40"/>
      <definedName name="BM" refersTo="='Perso'!$J$5"/>
      <definedName name="car" refersTo="='Perso'!$E$28"/>
      <definedName name="cha" refersTo="='Perso'!$E$41"/>
      <definedName name="charge" refersTo="='Talents'!$AB$46"/>
      <definedName name="com" refersTo="='Perso'!$E$34"/>
      <definedName name="coo" refersTo="='Perso'!$E$19"/>
      <definedName name="défense" refersTo="='Talents'!$AB$50"/>
      <definedName name="embuscade" refersTo="='Talents'!$AB$52"/>
      <definedName name="equ" refersTo="='Perso'!$E$23"/>
      <definedName name="esquive" refersTo="='Talents'!$AB$54"/>
      <definedName name="fat" refersTo="='Perso'!$E$17"/>
      <definedName name="Foi" refersTo="='Perso'!$G$6"/>
      <definedName name="fuite" refersTo="='Talents'!$AB$56"/>
      <definedName name="Goût" refersTo="='Perso'!$B$46"/>
      <definedName name="inu" refersTo="='Perso'!$E$35"/>
      <definedName name="man" refersTo="='Perso'!$E$20"/>
      <definedName name="mem" refersTo="='Perso'!$E$26"/>
      <definedName name="NEC" refersTo="='Perso'!$J$11"/>
      <definedName name="NEM" refersTo="='Perso'!$J$34"/>
      <definedName name="Nourriture" refersTo="='Perso'!$J$44"/>
      <definedName name="NS" refersTo="='Perso'!$I$5"/>
      <definedName name="obéissance" refersTo="='Talents'!$AB$61"/>
      <definedName name="Odorat" refersTo="='Perso'!$B$45"/>
      <definedName name="Ouïe" refersTo="='Perso'!$B$44"/>
      <definedName name="poids" refersTo="='Perso'!$D$2"/>
      <definedName name="pui" refersTo="='Perso'!$E$13"/>
      <definedName name="rai" refersTo="='Perso'!$E$25"/>
      <definedName name="rap" refersTo="='Perso'!$E$32"/>
      <definedName name="réaction" refersTo="='Talents'!$AB$63"/>
      <definedName name="res" refersTo="='Perso'!$E$29"/>
      <definedName name="rob" refersTo="='Perso'!$E$38"/>
      <definedName name="san" refersTo="='Perso'!$E$37"/>
      <definedName name="sop" refersTo="='Perso'!$E$22"/>
      <definedName name="sou" refersTo="='Perso'!$E$16"/>
      <definedName name="taille" refersTo="='Perso'!$C$2"/>
      <definedName name="Toucher" refersTo="='Perso'!$B$47"/>
      <definedName name="vitesse" refersTo="='Talents'!$AB$66"/>
      <definedName name="voi" refersTo="='Perso'!$E$31"/>
      <definedName name="Vue" refersTo="='Perso'!$B$43"/>
    </definedNames>
    <sheetDataSet>
      <sheetData sheetId="0">
        <row r="2">
          <cell r="B2" t="str">
            <v>5/2/979</v>
          </cell>
          <cell r="C2">
            <v>180</v>
          </cell>
          <cell r="D2">
            <v>80</v>
          </cell>
          <cell r="E2" t="str">
            <v xml:space="preserve">brun </v>
          </cell>
          <cell r="F2" t="str">
            <v>brun</v>
          </cell>
          <cell r="G2" t="str">
            <v>fine</v>
          </cell>
          <cell r="H2">
            <v>0</v>
          </cell>
          <cell r="I2" t="str">
            <v>barbichette</v>
          </cell>
          <cell r="J2" t="str">
            <v>mauvaise</v>
          </cell>
        </row>
        <row r="3">
          <cell r="A3" t="str">
            <v>Jem</v>
          </cell>
          <cell r="E3" t="str">
            <v>longs</v>
          </cell>
          <cell r="F3" t="str">
            <v>frisé</v>
          </cell>
          <cell r="H3" t="str">
            <v xml:space="preserve"> </v>
          </cell>
          <cell r="I3" t="str">
            <v>toison</v>
          </cell>
        </row>
        <row r="5">
          <cell r="A5" t="str">
            <v>capricieux</v>
          </cell>
          <cell r="B5" t="str">
            <v>âge+3 !</v>
          </cell>
          <cell r="D5" t="str">
            <v>allergie puce (forte)</v>
          </cell>
          <cell r="G5" t="str">
            <v>EE/EI</v>
          </cell>
          <cell r="H5" t="str">
            <v xml:space="preserve"> </v>
          </cell>
          <cell r="I5">
            <v>2</v>
          </cell>
          <cell r="J5">
            <v>80</v>
          </cell>
        </row>
        <row r="6">
          <cell r="A6" t="str">
            <v xml:space="preserve"> </v>
          </cell>
          <cell r="B6" t="str">
            <v xml:space="preserve"> </v>
          </cell>
          <cell r="D6">
            <v>0</v>
          </cell>
          <cell r="F6">
            <v>11.8</v>
          </cell>
          <cell r="G6">
            <v>40</v>
          </cell>
          <cell r="H6" t="str">
            <v>Gav'Reel</v>
          </cell>
          <cell r="I6" t="str">
            <v>sombre</v>
          </cell>
          <cell r="J6" t="str">
            <v>sorcier</v>
          </cell>
        </row>
        <row r="11">
          <cell r="J11">
            <v>5</v>
          </cell>
        </row>
        <row r="12">
          <cell r="J12">
            <v>7.4</v>
          </cell>
        </row>
        <row r="13">
          <cell r="C13" t="str">
            <v>pui</v>
          </cell>
          <cell r="D13">
            <v>17</v>
          </cell>
          <cell r="E13">
            <v>34</v>
          </cell>
          <cell r="F13">
            <v>2</v>
          </cell>
          <cell r="G13">
            <v>34</v>
          </cell>
          <cell r="J13">
            <v>5.6999999999999993</v>
          </cell>
        </row>
        <row r="14">
          <cell r="C14" t="str">
            <v>pou</v>
          </cell>
          <cell r="D14">
            <v>17</v>
          </cell>
          <cell r="E14">
            <v>22</v>
          </cell>
          <cell r="G14">
            <v>32</v>
          </cell>
          <cell r="J14">
            <v>22</v>
          </cell>
        </row>
        <row r="15">
          <cell r="C15" t="str">
            <v>En</v>
          </cell>
          <cell r="J15">
            <v>6</v>
          </cell>
        </row>
        <row r="16">
          <cell r="C16" t="str">
            <v>sou</v>
          </cell>
          <cell r="D16">
            <v>7</v>
          </cell>
          <cell r="E16">
            <v>21</v>
          </cell>
          <cell r="G16">
            <v>21</v>
          </cell>
          <cell r="J16">
            <v>28</v>
          </cell>
        </row>
        <row r="17">
          <cell r="C17" t="str">
            <v>fat</v>
          </cell>
          <cell r="D17">
            <v>9</v>
          </cell>
          <cell r="E17">
            <v>27</v>
          </cell>
          <cell r="G17">
            <v>27</v>
          </cell>
          <cell r="J17">
            <v>6.15</v>
          </cell>
        </row>
        <row r="18">
          <cell r="C18" t="str">
            <v>D</v>
          </cell>
          <cell r="J18">
            <v>35</v>
          </cell>
        </row>
        <row r="19">
          <cell r="C19" t="str">
            <v>coo</v>
          </cell>
          <cell r="D19">
            <v>15</v>
          </cell>
          <cell r="E19">
            <v>31</v>
          </cell>
          <cell r="G19">
            <v>45</v>
          </cell>
          <cell r="J19">
            <v>7</v>
          </cell>
        </row>
        <row r="20">
          <cell r="C20" t="str">
            <v>man</v>
          </cell>
          <cell r="D20">
            <v>15</v>
          </cell>
          <cell r="E20">
            <v>45</v>
          </cell>
          <cell r="G20">
            <v>45</v>
          </cell>
          <cell r="J20">
            <v>22.75</v>
          </cell>
        </row>
        <row r="21">
          <cell r="C21" t="str">
            <v>A</v>
          </cell>
          <cell r="J21">
            <v>7.2750000000000004</v>
          </cell>
        </row>
        <row r="22">
          <cell r="C22" t="str">
            <v>sop</v>
          </cell>
          <cell r="D22">
            <v>9</v>
          </cell>
          <cell r="E22">
            <v>19</v>
          </cell>
          <cell r="G22">
            <v>19</v>
          </cell>
          <cell r="J22">
            <v>5.5</v>
          </cell>
        </row>
        <row r="23">
          <cell r="C23" t="str">
            <v>equ</v>
          </cell>
          <cell r="D23">
            <v>9</v>
          </cell>
          <cell r="E23">
            <v>15</v>
          </cell>
          <cell r="G23">
            <v>19</v>
          </cell>
          <cell r="J23">
            <v>36.700000000000003</v>
          </cell>
        </row>
        <row r="24">
          <cell r="C24" t="str">
            <v>I</v>
          </cell>
          <cell r="J24">
            <v>26.175000000000001</v>
          </cell>
        </row>
        <row r="25">
          <cell r="C25" t="str">
            <v>rai</v>
          </cell>
          <cell r="D25">
            <v>21</v>
          </cell>
          <cell r="E25">
            <v>82</v>
          </cell>
          <cell r="G25">
            <v>82</v>
          </cell>
          <cell r="J25">
            <v>15</v>
          </cell>
        </row>
        <row r="26">
          <cell r="C26" t="str">
            <v>mem</v>
          </cell>
          <cell r="D26">
            <v>21</v>
          </cell>
          <cell r="E26">
            <v>82</v>
          </cell>
          <cell r="G26">
            <v>82</v>
          </cell>
          <cell r="J26">
            <v>9.8000000000000007</v>
          </cell>
        </row>
        <row r="27">
          <cell r="C27" t="str">
            <v>V</v>
          </cell>
          <cell r="D27">
            <v>13</v>
          </cell>
          <cell r="E27">
            <v>14</v>
          </cell>
          <cell r="J27">
            <v>4</v>
          </cell>
        </row>
        <row r="28">
          <cell r="C28" t="str">
            <v>car</v>
          </cell>
          <cell r="D28">
            <v>15</v>
          </cell>
          <cell r="E28">
            <v>73</v>
          </cell>
          <cell r="G28">
            <v>77</v>
          </cell>
          <cell r="J28">
            <v>8</v>
          </cell>
        </row>
        <row r="29">
          <cell r="C29" t="str">
            <v>res</v>
          </cell>
          <cell r="D29">
            <v>19</v>
          </cell>
          <cell r="E29">
            <v>85</v>
          </cell>
          <cell r="G29">
            <v>92</v>
          </cell>
          <cell r="J29">
            <v>45</v>
          </cell>
        </row>
        <row r="30">
          <cell r="C30" t="str">
            <v>E</v>
          </cell>
          <cell r="J30">
            <v>32</v>
          </cell>
        </row>
        <row r="31">
          <cell r="C31" t="str">
            <v>voi</v>
          </cell>
          <cell r="D31">
            <v>12</v>
          </cell>
          <cell r="E31">
            <v>24</v>
          </cell>
          <cell r="G31">
            <v>24</v>
          </cell>
          <cell r="J31">
            <v>64</v>
          </cell>
        </row>
        <row r="32">
          <cell r="C32" t="str">
            <v>rap</v>
          </cell>
          <cell r="D32">
            <v>12</v>
          </cell>
          <cell r="E32">
            <v>24</v>
          </cell>
          <cell r="G32">
            <v>24</v>
          </cell>
          <cell r="J32">
            <v>96</v>
          </cell>
        </row>
        <row r="33">
          <cell r="C33" t="str">
            <v>Em</v>
          </cell>
          <cell r="J33">
            <v>10789</v>
          </cell>
        </row>
        <row r="34">
          <cell r="C34" t="str">
            <v>com</v>
          </cell>
          <cell r="D34">
            <v>15</v>
          </cell>
          <cell r="E34">
            <v>41</v>
          </cell>
          <cell r="G34">
            <v>59</v>
          </cell>
          <cell r="J34">
            <v>6</v>
          </cell>
        </row>
        <row r="35">
          <cell r="C35" t="str">
            <v>inu</v>
          </cell>
          <cell r="D35">
            <v>15</v>
          </cell>
          <cell r="E35">
            <v>35</v>
          </cell>
          <cell r="G35">
            <v>59</v>
          </cell>
          <cell r="J35">
            <v>66</v>
          </cell>
        </row>
        <row r="36">
          <cell r="C36" t="str">
            <v>C</v>
          </cell>
          <cell r="J36">
            <v>25.400000000000002</v>
          </cell>
        </row>
        <row r="37">
          <cell r="C37" t="str">
            <v>san</v>
          </cell>
          <cell r="D37">
            <v>13</v>
          </cell>
          <cell r="E37">
            <v>39</v>
          </cell>
          <cell r="G37">
            <v>39</v>
          </cell>
          <cell r="J37">
            <v>23</v>
          </cell>
        </row>
        <row r="38">
          <cell r="C38" t="str">
            <v>rob</v>
          </cell>
          <cell r="D38">
            <v>13</v>
          </cell>
          <cell r="E38">
            <v>39</v>
          </cell>
          <cell r="G38">
            <v>39</v>
          </cell>
          <cell r="J38">
            <v>152</v>
          </cell>
        </row>
        <row r="39">
          <cell r="C39" t="str">
            <v>Ap</v>
          </cell>
          <cell r="J39" t="str">
            <v>19 /+ 6</v>
          </cell>
        </row>
        <row r="40">
          <cell r="C40" t="str">
            <v>bea</v>
          </cell>
          <cell r="D40">
            <v>13</v>
          </cell>
          <cell r="E40">
            <v>35</v>
          </cell>
          <cell r="G40">
            <v>35</v>
          </cell>
          <cell r="J40">
            <v>18</v>
          </cell>
        </row>
        <row r="41">
          <cell r="C41" t="str">
            <v>cha</v>
          </cell>
          <cell r="D41">
            <v>17</v>
          </cell>
          <cell r="E41">
            <v>46</v>
          </cell>
          <cell r="G41">
            <v>47</v>
          </cell>
          <cell r="J41">
            <v>119</v>
          </cell>
        </row>
        <row r="42">
          <cell r="J42">
            <v>6</v>
          </cell>
        </row>
        <row r="43">
          <cell r="B43">
            <v>79</v>
          </cell>
          <cell r="J43">
            <v>72</v>
          </cell>
        </row>
        <row r="44">
          <cell r="B44">
            <v>77</v>
          </cell>
          <cell r="J44" t="str">
            <v>2 PdN/j</v>
          </cell>
        </row>
        <row r="45">
          <cell r="B45">
            <v>50</v>
          </cell>
          <cell r="J45" t="str">
            <v>3,5 km/h</v>
          </cell>
        </row>
        <row r="46">
          <cell r="B46">
            <v>46</v>
          </cell>
          <cell r="J46">
            <v>6</v>
          </cell>
        </row>
        <row r="47">
          <cell r="B47">
            <v>47</v>
          </cell>
          <cell r="J47" t="str">
            <v>2,7m / 0,9m</v>
          </cell>
        </row>
      </sheetData>
      <sheetData sheetId="1">
        <row r="2">
          <cell r="C2" t="str">
            <v>equ</v>
          </cell>
          <cell r="D2" t="str">
            <v>equ</v>
          </cell>
          <cell r="J2">
            <v>4</v>
          </cell>
          <cell r="K2">
            <v>8</v>
          </cell>
          <cell r="L2">
            <v>0</v>
          </cell>
          <cell r="M2">
            <v>24</v>
          </cell>
          <cell r="Z2">
            <v>5</v>
          </cell>
          <cell r="AA2">
            <v>10</v>
          </cell>
          <cell r="AC2">
            <v>33</v>
          </cell>
        </row>
        <row r="3">
          <cell r="J3">
            <v>7</v>
          </cell>
          <cell r="K3">
            <v>14</v>
          </cell>
          <cell r="L3">
            <v>0</v>
          </cell>
          <cell r="M3">
            <v>41</v>
          </cell>
          <cell r="Z3">
            <v>20.5</v>
          </cell>
          <cell r="AA3">
            <v>41</v>
          </cell>
          <cell r="AB3">
            <v>0</v>
          </cell>
          <cell r="AC3">
            <v>80</v>
          </cell>
        </row>
        <row r="4">
          <cell r="J4">
            <v>20.5</v>
          </cell>
          <cell r="K4">
            <v>41</v>
          </cell>
          <cell r="L4">
            <v>0</v>
          </cell>
          <cell r="M4">
            <v>80</v>
          </cell>
          <cell r="Z4">
            <v>20.5</v>
          </cell>
          <cell r="AA4">
            <v>41</v>
          </cell>
          <cell r="AB4">
            <v>0</v>
          </cell>
          <cell r="AC4">
            <v>80</v>
          </cell>
        </row>
        <row r="5">
          <cell r="I5">
            <v>3.5</v>
          </cell>
          <cell r="J5">
            <v>11.5</v>
          </cell>
          <cell r="K5">
            <v>23</v>
          </cell>
          <cell r="M5">
            <v>78</v>
          </cell>
          <cell r="Z5">
            <v>11.5</v>
          </cell>
          <cell r="AA5">
            <v>23</v>
          </cell>
          <cell r="AB5">
            <v>0</v>
          </cell>
          <cell r="AC5">
            <v>80</v>
          </cell>
        </row>
        <row r="6">
          <cell r="F6">
            <v>31</v>
          </cell>
          <cell r="G6">
            <v>41</v>
          </cell>
          <cell r="J6">
            <v>8</v>
          </cell>
          <cell r="K6">
            <v>16</v>
          </cell>
          <cell r="M6">
            <v>62</v>
          </cell>
          <cell r="Z6">
            <v>8.5</v>
          </cell>
          <cell r="AA6">
            <v>17</v>
          </cell>
          <cell r="AB6">
            <v>0</v>
          </cell>
          <cell r="AC6">
            <v>50</v>
          </cell>
        </row>
        <row r="7">
          <cell r="J7">
            <v>8</v>
          </cell>
          <cell r="K7">
            <v>16</v>
          </cell>
          <cell r="L7">
            <v>0</v>
          </cell>
          <cell r="M7">
            <v>50</v>
          </cell>
          <cell r="Z7">
            <v>20.5</v>
          </cell>
          <cell r="AA7">
            <v>41</v>
          </cell>
          <cell r="AB7">
            <v>0</v>
          </cell>
          <cell r="AC7">
            <v>80</v>
          </cell>
        </row>
        <row r="8">
          <cell r="J8">
            <v>10.5</v>
          </cell>
          <cell r="K8">
            <v>21</v>
          </cell>
          <cell r="L8">
            <v>0</v>
          </cell>
          <cell r="M8">
            <v>80</v>
          </cell>
          <cell r="Z8">
            <v>21.5</v>
          </cell>
          <cell r="AA8">
            <v>43</v>
          </cell>
          <cell r="AB8">
            <v>0</v>
          </cell>
          <cell r="AC8">
            <v>80</v>
          </cell>
        </row>
        <row r="9">
          <cell r="J9">
            <v>6</v>
          </cell>
          <cell r="K9">
            <v>12</v>
          </cell>
          <cell r="L9">
            <v>0</v>
          </cell>
          <cell r="M9">
            <v>51</v>
          </cell>
          <cell r="Z9">
            <v>11.5</v>
          </cell>
          <cell r="AA9">
            <v>23</v>
          </cell>
          <cell r="AB9">
            <v>0</v>
          </cell>
          <cell r="AC9">
            <v>72</v>
          </cell>
        </row>
        <row r="10">
          <cell r="J10">
            <v>11.5</v>
          </cell>
          <cell r="K10">
            <v>23</v>
          </cell>
          <cell r="L10">
            <v>0</v>
          </cell>
          <cell r="M10">
            <v>76</v>
          </cell>
          <cell r="Z10">
            <v>20.5</v>
          </cell>
          <cell r="AA10">
            <v>41</v>
          </cell>
          <cell r="AB10">
            <v>22</v>
          </cell>
          <cell r="AC10">
            <v>80</v>
          </cell>
        </row>
        <row r="11">
          <cell r="J11">
            <v>10.5</v>
          </cell>
          <cell r="K11">
            <v>21</v>
          </cell>
          <cell r="L11">
            <v>0</v>
          </cell>
          <cell r="M11">
            <v>62</v>
          </cell>
          <cell r="Z11">
            <v>18.5</v>
          </cell>
          <cell r="AA11">
            <v>37</v>
          </cell>
          <cell r="AB11">
            <v>75</v>
          </cell>
          <cell r="AC11">
            <v>80</v>
          </cell>
        </row>
        <row r="12">
          <cell r="J12">
            <v>20.5</v>
          </cell>
          <cell r="K12">
            <v>41</v>
          </cell>
          <cell r="L12">
            <v>0</v>
          </cell>
          <cell r="M12">
            <v>80</v>
          </cell>
          <cell r="Z12">
            <v>5</v>
          </cell>
          <cell r="AA12">
            <v>10</v>
          </cell>
          <cell r="AB12">
            <v>0</v>
          </cell>
          <cell r="AC12">
            <v>35</v>
          </cell>
        </row>
        <row r="13">
          <cell r="E13" t="str">
            <v>coo</v>
          </cell>
          <cell r="J13">
            <v>5</v>
          </cell>
          <cell r="K13">
            <v>10</v>
          </cell>
          <cell r="L13">
            <v>0</v>
          </cell>
          <cell r="M13">
            <v>33</v>
          </cell>
          <cell r="Z13">
            <v>6</v>
          </cell>
          <cell r="AA13">
            <v>12</v>
          </cell>
          <cell r="AB13">
            <v>15</v>
          </cell>
          <cell r="AC13">
            <v>77</v>
          </cell>
        </row>
        <row r="14">
          <cell r="J14">
            <v>6</v>
          </cell>
          <cell r="K14">
            <v>12</v>
          </cell>
          <cell r="L14">
            <v>0</v>
          </cell>
          <cell r="M14">
            <v>65</v>
          </cell>
          <cell r="Z14">
            <v>11.5</v>
          </cell>
          <cell r="AA14">
            <v>23</v>
          </cell>
          <cell r="AB14">
            <v>0</v>
          </cell>
          <cell r="AC14">
            <v>59</v>
          </cell>
        </row>
        <row r="15">
          <cell r="J15">
            <v>5.5</v>
          </cell>
          <cell r="K15">
            <v>11</v>
          </cell>
          <cell r="L15">
            <v>0</v>
          </cell>
          <cell r="M15">
            <v>58</v>
          </cell>
          <cell r="Z15">
            <v>7</v>
          </cell>
          <cell r="AA15">
            <v>14</v>
          </cell>
          <cell r="AB15">
            <v>0</v>
          </cell>
          <cell r="AC15">
            <v>63</v>
          </cell>
        </row>
        <row r="16">
          <cell r="E16" t="str">
            <v>sop</v>
          </cell>
          <cell r="J16">
            <v>5.5</v>
          </cell>
          <cell r="K16">
            <v>11</v>
          </cell>
          <cell r="L16">
            <v>0</v>
          </cell>
          <cell r="M16">
            <v>32</v>
          </cell>
          <cell r="Z16">
            <v>9</v>
          </cell>
          <cell r="AA16">
            <v>18</v>
          </cell>
          <cell r="AB16">
            <v>0</v>
          </cell>
          <cell r="AC16">
            <v>68</v>
          </cell>
        </row>
        <row r="17">
          <cell r="E17" t="str">
            <v>man</v>
          </cell>
          <cell r="J17">
            <v>18.5</v>
          </cell>
          <cell r="K17">
            <v>37</v>
          </cell>
          <cell r="L17">
            <v>0</v>
          </cell>
          <cell r="M17">
            <v>78</v>
          </cell>
          <cell r="Z17">
            <v>20.5</v>
          </cell>
          <cell r="AA17">
            <v>41</v>
          </cell>
          <cell r="AB17">
            <v>0</v>
          </cell>
          <cell r="AC17">
            <v>50</v>
          </cell>
        </row>
        <row r="18">
          <cell r="J18">
            <v>18.5</v>
          </cell>
          <cell r="K18">
            <v>37</v>
          </cell>
          <cell r="L18">
            <v>40</v>
          </cell>
          <cell r="M18">
            <v>80</v>
          </cell>
          <cell r="Z18">
            <v>5.5</v>
          </cell>
          <cell r="AA18">
            <v>11</v>
          </cell>
          <cell r="AC18">
            <v>62</v>
          </cell>
        </row>
        <row r="19">
          <cell r="E19" t="str">
            <v>sou</v>
          </cell>
          <cell r="J19">
            <v>5.5</v>
          </cell>
          <cell r="K19">
            <v>11</v>
          </cell>
          <cell r="L19">
            <v>0</v>
          </cell>
          <cell r="M19">
            <v>63</v>
          </cell>
          <cell r="Z19">
            <v>5.5</v>
          </cell>
          <cell r="AA19">
            <v>11</v>
          </cell>
          <cell r="AC19">
            <v>62</v>
          </cell>
        </row>
        <row r="20">
          <cell r="E20" t="str">
            <v>inu</v>
          </cell>
          <cell r="J20">
            <v>20.5</v>
          </cell>
          <cell r="K20">
            <v>41</v>
          </cell>
          <cell r="L20">
            <v>0</v>
          </cell>
          <cell r="M20">
            <v>80</v>
          </cell>
          <cell r="Z20">
            <v>5.5</v>
          </cell>
          <cell r="AA20">
            <v>11</v>
          </cell>
          <cell r="AC20">
            <v>62</v>
          </cell>
        </row>
        <row r="21">
          <cell r="J21">
            <v>18.5</v>
          </cell>
          <cell r="K21">
            <v>37</v>
          </cell>
          <cell r="L21">
            <v>47</v>
          </cell>
          <cell r="M21">
            <v>77</v>
          </cell>
          <cell r="Z21">
            <v>5.5</v>
          </cell>
          <cell r="AA21">
            <v>11</v>
          </cell>
          <cell r="AC21">
            <v>62</v>
          </cell>
        </row>
        <row r="22">
          <cell r="E22" t="str">
            <v>cha</v>
          </cell>
          <cell r="J22">
            <v>6</v>
          </cell>
          <cell r="K22">
            <v>12</v>
          </cell>
          <cell r="L22">
            <v>0</v>
          </cell>
          <cell r="M22">
            <v>66</v>
          </cell>
          <cell r="Z22">
            <v>5.5</v>
          </cell>
          <cell r="AA22">
            <v>11</v>
          </cell>
          <cell r="AC22">
            <v>62</v>
          </cell>
        </row>
        <row r="23">
          <cell r="E23" t="str">
            <v>sop</v>
          </cell>
          <cell r="J23">
            <v>5.5</v>
          </cell>
          <cell r="K23">
            <v>11</v>
          </cell>
          <cell r="L23">
            <v>0</v>
          </cell>
          <cell r="M23">
            <v>32</v>
          </cell>
          <cell r="Z23">
            <v>5.5</v>
          </cell>
          <cell r="AA23">
            <v>11</v>
          </cell>
          <cell r="AC23">
            <v>62</v>
          </cell>
        </row>
        <row r="24">
          <cell r="J24">
            <v>11.5</v>
          </cell>
          <cell r="K24">
            <v>23</v>
          </cell>
          <cell r="L24">
            <v>0</v>
          </cell>
          <cell r="M24">
            <v>80</v>
          </cell>
          <cell r="Z24">
            <v>5.5</v>
          </cell>
          <cell r="AA24">
            <v>11</v>
          </cell>
          <cell r="AC24">
            <v>62</v>
          </cell>
        </row>
        <row r="25">
          <cell r="E25" t="str">
            <v>man</v>
          </cell>
          <cell r="J25">
            <v>2.5</v>
          </cell>
          <cell r="K25">
            <v>5</v>
          </cell>
          <cell r="L25">
            <v>0</v>
          </cell>
          <cell r="M25">
            <v>36</v>
          </cell>
          <cell r="Z25">
            <v>5.5</v>
          </cell>
          <cell r="AA25">
            <v>11</v>
          </cell>
          <cell r="AC25">
            <v>62</v>
          </cell>
        </row>
        <row r="26">
          <cell r="E26" t="str">
            <v>sop</v>
          </cell>
          <cell r="J26">
            <v>11.5</v>
          </cell>
          <cell r="K26">
            <v>23</v>
          </cell>
          <cell r="L26">
            <v>0</v>
          </cell>
          <cell r="M26">
            <v>75</v>
          </cell>
          <cell r="Z26">
            <v>5.5</v>
          </cell>
          <cell r="AA26">
            <v>11</v>
          </cell>
          <cell r="AC26">
            <v>62</v>
          </cell>
        </row>
        <row r="27">
          <cell r="J27">
            <v>7</v>
          </cell>
          <cell r="K27">
            <v>14</v>
          </cell>
          <cell r="L27">
            <v>0</v>
          </cell>
          <cell r="M27">
            <v>66</v>
          </cell>
          <cell r="Z27">
            <v>5.5</v>
          </cell>
          <cell r="AA27">
            <v>11</v>
          </cell>
          <cell r="AC27">
            <v>62</v>
          </cell>
        </row>
        <row r="28">
          <cell r="E28" t="str">
            <v>sop</v>
          </cell>
          <cell r="J28">
            <v>11.5</v>
          </cell>
          <cell r="K28">
            <v>23</v>
          </cell>
          <cell r="L28">
            <v>0</v>
          </cell>
          <cell r="M28">
            <v>52</v>
          </cell>
          <cell r="Z28">
            <v>5.5</v>
          </cell>
          <cell r="AA28">
            <v>11</v>
          </cell>
          <cell r="AC28">
            <v>62</v>
          </cell>
        </row>
        <row r="29">
          <cell r="E29" t="str">
            <v>com</v>
          </cell>
          <cell r="J29">
            <v>20.5</v>
          </cell>
          <cell r="K29">
            <v>41</v>
          </cell>
          <cell r="L29">
            <v>0</v>
          </cell>
          <cell r="M29">
            <v>80</v>
          </cell>
          <cell r="Z29">
            <v>5.5</v>
          </cell>
          <cell r="AA29">
            <v>11</v>
          </cell>
          <cell r="AC29">
            <v>62</v>
          </cell>
        </row>
        <row r="30">
          <cell r="J30">
            <v>5</v>
          </cell>
          <cell r="K30">
            <v>10</v>
          </cell>
          <cell r="L30">
            <v>0</v>
          </cell>
          <cell r="M30">
            <v>36</v>
          </cell>
          <cell r="Z30">
            <v>5.5</v>
          </cell>
          <cell r="AA30">
            <v>11</v>
          </cell>
          <cell r="AC30">
            <v>62</v>
          </cell>
        </row>
        <row r="31">
          <cell r="E31" t="str">
            <v>voi</v>
          </cell>
          <cell r="J31">
            <v>20.5</v>
          </cell>
          <cell r="K31">
            <v>41</v>
          </cell>
          <cell r="L31">
            <v>0</v>
          </cell>
          <cell r="M31">
            <v>80</v>
          </cell>
          <cell r="Z31">
            <v>18.5</v>
          </cell>
          <cell r="AA31">
            <v>37</v>
          </cell>
          <cell r="AB31">
            <v>0</v>
          </cell>
          <cell r="AC31">
            <v>80</v>
          </cell>
        </row>
        <row r="32">
          <cell r="E32" t="str">
            <v>rai</v>
          </cell>
          <cell r="J32">
            <v>5</v>
          </cell>
          <cell r="K32">
            <v>10</v>
          </cell>
          <cell r="L32">
            <v>27</v>
          </cell>
          <cell r="M32">
            <v>52</v>
          </cell>
          <cell r="Z32">
            <v>8.5</v>
          </cell>
          <cell r="AA32">
            <v>17</v>
          </cell>
          <cell r="AB32">
            <v>43</v>
          </cell>
          <cell r="AC32">
            <v>50</v>
          </cell>
        </row>
        <row r="33">
          <cell r="J33">
            <v>8</v>
          </cell>
          <cell r="K33">
            <v>16</v>
          </cell>
          <cell r="M33">
            <v>53</v>
          </cell>
          <cell r="Z33">
            <v>9</v>
          </cell>
          <cell r="AA33">
            <v>18</v>
          </cell>
          <cell r="AB33">
            <v>0</v>
          </cell>
          <cell r="AC33">
            <v>80</v>
          </cell>
        </row>
        <row r="34">
          <cell r="E34" t="str">
            <v>inu</v>
          </cell>
          <cell r="J34">
            <v>18.5</v>
          </cell>
          <cell r="K34">
            <v>37</v>
          </cell>
          <cell r="L34">
            <v>0</v>
          </cell>
          <cell r="M34">
            <v>80</v>
          </cell>
          <cell r="Z34">
            <v>20.5</v>
          </cell>
          <cell r="AA34">
            <v>41</v>
          </cell>
          <cell r="AB34">
            <v>0</v>
          </cell>
          <cell r="AC34">
            <v>80</v>
          </cell>
        </row>
        <row r="35">
          <cell r="E35" t="str">
            <v>man</v>
          </cell>
          <cell r="J35">
            <v>20.5</v>
          </cell>
          <cell r="K35">
            <v>41</v>
          </cell>
          <cell r="L35">
            <v>0</v>
          </cell>
          <cell r="M35">
            <v>80</v>
          </cell>
          <cell r="Z35">
            <v>11.5</v>
          </cell>
          <cell r="AA35">
            <v>23</v>
          </cell>
          <cell r="AB35">
            <v>0</v>
          </cell>
          <cell r="AC35">
            <v>50</v>
          </cell>
        </row>
        <row r="36">
          <cell r="J36">
            <v>5</v>
          </cell>
          <cell r="K36">
            <v>10</v>
          </cell>
          <cell r="L36">
            <v>23</v>
          </cell>
          <cell r="M36">
            <v>35</v>
          </cell>
          <cell r="AC36">
            <v>0</v>
          </cell>
        </row>
        <row r="37">
          <cell r="E37" t="str">
            <v>com</v>
          </cell>
          <cell r="J37">
            <v>11.5</v>
          </cell>
          <cell r="K37">
            <v>23</v>
          </cell>
          <cell r="L37">
            <v>20</v>
          </cell>
          <cell r="M37">
            <v>55</v>
          </cell>
        </row>
        <row r="38">
          <cell r="E38" t="str">
            <v>com</v>
          </cell>
          <cell r="J38">
            <v>20.5</v>
          </cell>
          <cell r="K38">
            <v>41</v>
          </cell>
          <cell r="L38">
            <v>0</v>
          </cell>
          <cell r="M38">
            <v>80</v>
          </cell>
        </row>
        <row r="39">
          <cell r="J39">
            <v>20.5</v>
          </cell>
          <cell r="K39">
            <v>41</v>
          </cell>
          <cell r="L39">
            <v>0</v>
          </cell>
          <cell r="M39">
            <v>80</v>
          </cell>
        </row>
        <row r="40">
          <cell r="E40" t="str">
            <v>inu</v>
          </cell>
          <cell r="J40">
            <v>20.5</v>
          </cell>
          <cell r="K40">
            <v>41</v>
          </cell>
          <cell r="L40">
            <v>0</v>
          </cell>
          <cell r="M40">
            <v>80</v>
          </cell>
          <cell r="Z40" t="str">
            <v>N1</v>
          </cell>
          <cell r="AA40" t="str">
            <v>N2</v>
          </cell>
          <cell r="AC40" t="str">
            <v>N3</v>
          </cell>
        </row>
        <row r="41">
          <cell r="E41" t="str">
            <v>inu</v>
          </cell>
          <cell r="J41">
            <v>10.5</v>
          </cell>
          <cell r="K41">
            <v>21</v>
          </cell>
          <cell r="L41">
            <v>0</v>
          </cell>
          <cell r="M41">
            <v>80</v>
          </cell>
          <cell r="Z41">
            <v>8</v>
          </cell>
          <cell r="AA41">
            <v>16</v>
          </cell>
          <cell r="AB41">
            <v>10</v>
          </cell>
          <cell r="AC41">
            <v>50</v>
          </cell>
        </row>
        <row r="42">
          <cell r="J42">
            <v>10.5</v>
          </cell>
          <cell r="K42">
            <v>21</v>
          </cell>
          <cell r="L42">
            <v>0</v>
          </cell>
          <cell r="M42">
            <v>49</v>
          </cell>
          <cell r="Z42">
            <v>8.5</v>
          </cell>
          <cell r="AA42">
            <v>17</v>
          </cell>
          <cell r="AB42">
            <v>6</v>
          </cell>
          <cell r="AC42">
            <v>50</v>
          </cell>
        </row>
        <row r="43">
          <cell r="B43" t="str">
            <v xml:space="preserve">Jeu </v>
          </cell>
          <cell r="J43">
            <v>20.5</v>
          </cell>
          <cell r="K43">
            <v>41</v>
          </cell>
          <cell r="L43">
            <v>0</v>
          </cell>
          <cell r="M43">
            <v>80</v>
          </cell>
          <cell r="Z43">
            <v>8</v>
          </cell>
          <cell r="AA43">
            <v>16</v>
          </cell>
          <cell r="AB43">
            <v>8</v>
          </cell>
          <cell r="AC43">
            <v>43</v>
          </cell>
        </row>
        <row r="44">
          <cell r="B44" t="str">
            <v>Joaillerie</v>
          </cell>
          <cell r="J44">
            <v>11.5</v>
          </cell>
          <cell r="K44">
            <v>23</v>
          </cell>
          <cell r="L44">
            <v>0</v>
          </cell>
          <cell r="M44">
            <v>80</v>
          </cell>
          <cell r="Z44">
            <v>5.5</v>
          </cell>
          <cell r="AA44">
            <v>11</v>
          </cell>
          <cell r="AB44">
            <v>28</v>
          </cell>
          <cell r="AC44">
            <v>38</v>
          </cell>
        </row>
        <row r="45">
          <cell r="B45" t="str">
            <v xml:space="preserve">Langue Divine + </v>
          </cell>
          <cell r="J45">
            <v>9</v>
          </cell>
          <cell r="K45">
            <v>18</v>
          </cell>
          <cell r="L45">
            <v>61</v>
          </cell>
          <cell r="M45">
            <v>67</v>
          </cell>
          <cell r="Z45">
            <v>8.5</v>
          </cell>
          <cell r="AA45">
            <v>17</v>
          </cell>
          <cell r="AB45">
            <v>6</v>
          </cell>
          <cell r="AC45">
            <v>47</v>
          </cell>
        </row>
        <row r="46">
          <cell r="B46" t="str">
            <v>+</v>
          </cell>
          <cell r="J46">
            <v>9</v>
          </cell>
          <cell r="K46">
            <v>18</v>
          </cell>
          <cell r="M46">
            <v>67</v>
          </cell>
          <cell r="Z46">
            <v>5.5</v>
          </cell>
          <cell r="AA46">
            <v>11</v>
          </cell>
          <cell r="AB46">
            <v>4</v>
          </cell>
          <cell r="AC46">
            <v>44</v>
          </cell>
        </row>
        <row r="47">
          <cell r="B47" t="str">
            <v>Langue non-hu +</v>
          </cell>
          <cell r="J47">
            <v>20.5</v>
          </cell>
          <cell r="K47">
            <v>41</v>
          </cell>
          <cell r="L47">
            <v>0</v>
          </cell>
          <cell r="M47">
            <v>80</v>
          </cell>
          <cell r="Z47">
            <v>8</v>
          </cell>
          <cell r="AA47">
            <v>16</v>
          </cell>
          <cell r="AC47">
            <v>36</v>
          </cell>
        </row>
        <row r="48">
          <cell r="J48">
            <v>20.5</v>
          </cell>
          <cell r="K48">
            <v>41</v>
          </cell>
          <cell r="M48">
            <v>80</v>
          </cell>
          <cell r="Z48">
            <v>11.5</v>
          </cell>
          <cell r="AA48">
            <v>23</v>
          </cell>
          <cell r="AB48">
            <v>8</v>
          </cell>
          <cell r="AC48">
            <v>50</v>
          </cell>
        </row>
        <row r="49">
          <cell r="J49">
            <v>20.5</v>
          </cell>
          <cell r="K49">
            <v>41</v>
          </cell>
          <cell r="M49">
            <v>80</v>
          </cell>
          <cell r="Z49">
            <v>8</v>
          </cell>
          <cell r="AA49">
            <v>16</v>
          </cell>
          <cell r="AB49">
            <v>8</v>
          </cell>
          <cell r="AC49">
            <v>44</v>
          </cell>
        </row>
        <row r="50">
          <cell r="J50">
            <v>20.5</v>
          </cell>
          <cell r="K50">
            <v>41</v>
          </cell>
          <cell r="L50">
            <v>0</v>
          </cell>
          <cell r="M50">
            <v>80</v>
          </cell>
          <cell r="Z50">
            <v>5</v>
          </cell>
          <cell r="AA50">
            <v>10</v>
          </cell>
          <cell r="AB50">
            <v>35</v>
          </cell>
          <cell r="AC50">
            <v>35</v>
          </cell>
        </row>
        <row r="51">
          <cell r="J51">
            <v>20.5</v>
          </cell>
          <cell r="K51">
            <v>41</v>
          </cell>
          <cell r="L51">
            <v>80</v>
          </cell>
          <cell r="M51">
            <v>80</v>
          </cell>
          <cell r="Z51">
            <v>8</v>
          </cell>
          <cell r="AA51">
            <v>16</v>
          </cell>
          <cell r="AB51">
            <v>8</v>
          </cell>
          <cell r="AC51">
            <v>50</v>
          </cell>
        </row>
        <row r="52">
          <cell r="J52">
            <v>20.5</v>
          </cell>
          <cell r="K52">
            <v>41</v>
          </cell>
          <cell r="M52">
            <v>80</v>
          </cell>
          <cell r="Z52">
            <v>9</v>
          </cell>
          <cell r="AA52">
            <v>18</v>
          </cell>
          <cell r="AB52">
            <v>8</v>
          </cell>
          <cell r="AC52">
            <v>50</v>
          </cell>
        </row>
        <row r="53">
          <cell r="J53">
            <v>20.5</v>
          </cell>
          <cell r="K53">
            <v>41</v>
          </cell>
          <cell r="M53">
            <v>80</v>
          </cell>
          <cell r="Z53">
            <v>8.5</v>
          </cell>
          <cell r="AA53">
            <v>17</v>
          </cell>
          <cell r="AB53">
            <v>11</v>
          </cell>
          <cell r="AC53">
            <v>50</v>
          </cell>
        </row>
        <row r="54">
          <cell r="J54">
            <v>20.5</v>
          </cell>
          <cell r="K54">
            <v>41</v>
          </cell>
          <cell r="M54">
            <v>80</v>
          </cell>
          <cell r="Z54">
            <v>11.5</v>
          </cell>
          <cell r="AA54">
            <v>23</v>
          </cell>
          <cell r="AB54">
            <v>19</v>
          </cell>
          <cell r="AC54">
            <v>50</v>
          </cell>
        </row>
        <row r="55">
          <cell r="J55">
            <v>20.5</v>
          </cell>
          <cell r="K55">
            <v>41</v>
          </cell>
          <cell r="M55">
            <v>80</v>
          </cell>
          <cell r="Z55">
            <v>8</v>
          </cell>
          <cell r="AA55">
            <v>16</v>
          </cell>
          <cell r="AB55">
            <v>8</v>
          </cell>
          <cell r="AC55">
            <v>40</v>
          </cell>
        </row>
        <row r="56">
          <cell r="J56">
            <v>20.5</v>
          </cell>
          <cell r="K56">
            <v>41</v>
          </cell>
          <cell r="L56">
            <v>36</v>
          </cell>
          <cell r="M56">
            <v>80</v>
          </cell>
          <cell r="Z56">
            <v>5</v>
          </cell>
          <cell r="AA56">
            <v>10</v>
          </cell>
          <cell r="AB56">
            <v>7</v>
          </cell>
          <cell r="AC56">
            <v>30</v>
          </cell>
        </row>
        <row r="57">
          <cell r="J57">
            <v>20.5</v>
          </cell>
          <cell r="K57">
            <v>41</v>
          </cell>
          <cell r="M57">
            <v>80</v>
          </cell>
          <cell r="Z57">
            <v>8.5</v>
          </cell>
          <cell r="AA57">
            <v>17</v>
          </cell>
          <cell r="AB57">
            <v>5.5</v>
          </cell>
          <cell r="AC57">
            <v>42</v>
          </cell>
        </row>
        <row r="58">
          <cell r="J58">
            <v>20.5</v>
          </cell>
          <cell r="K58">
            <v>41</v>
          </cell>
          <cell r="M58">
            <v>80</v>
          </cell>
          <cell r="Z58">
            <v>8.5</v>
          </cell>
          <cell r="AA58">
            <v>17</v>
          </cell>
          <cell r="AB58">
            <v>5.5</v>
          </cell>
          <cell r="AC58">
            <v>50</v>
          </cell>
        </row>
        <row r="59">
          <cell r="J59">
            <v>20.5</v>
          </cell>
          <cell r="K59">
            <v>41</v>
          </cell>
          <cell r="M59">
            <v>80</v>
          </cell>
          <cell r="Z59">
            <v>5.5</v>
          </cell>
          <cell r="AA59">
            <v>11</v>
          </cell>
          <cell r="AB59">
            <v>29</v>
          </cell>
          <cell r="AC59">
            <v>41</v>
          </cell>
        </row>
        <row r="60">
          <cell r="J60">
            <v>10.5</v>
          </cell>
          <cell r="K60">
            <v>21</v>
          </cell>
          <cell r="L60">
            <v>0</v>
          </cell>
          <cell r="M60">
            <v>63</v>
          </cell>
          <cell r="Z60">
            <v>8.5</v>
          </cell>
          <cell r="AA60">
            <v>17</v>
          </cell>
          <cell r="AB60">
            <v>5.5</v>
          </cell>
          <cell r="AC60">
            <v>41</v>
          </cell>
        </row>
        <row r="61">
          <cell r="J61">
            <v>10.5</v>
          </cell>
          <cell r="K61">
            <v>21</v>
          </cell>
          <cell r="M61">
            <v>63</v>
          </cell>
          <cell r="Z61">
            <v>11.5</v>
          </cell>
          <cell r="AA61">
            <v>23</v>
          </cell>
          <cell r="AB61">
            <v>32</v>
          </cell>
          <cell r="AC61">
            <v>50</v>
          </cell>
        </row>
        <row r="62">
          <cell r="J62">
            <v>10.5</v>
          </cell>
          <cell r="K62">
            <v>21</v>
          </cell>
          <cell r="M62">
            <v>63</v>
          </cell>
          <cell r="Z62">
            <v>8.5</v>
          </cell>
          <cell r="AA62">
            <v>17</v>
          </cell>
          <cell r="AB62">
            <v>5.5</v>
          </cell>
          <cell r="AC62">
            <v>47</v>
          </cell>
        </row>
        <row r="63">
          <cell r="J63">
            <v>11.5</v>
          </cell>
          <cell r="K63">
            <v>23</v>
          </cell>
          <cell r="L63">
            <v>0</v>
          </cell>
          <cell r="M63">
            <v>52</v>
          </cell>
          <cell r="Z63">
            <v>6</v>
          </cell>
          <cell r="AA63">
            <v>12</v>
          </cell>
          <cell r="AB63">
            <v>20</v>
          </cell>
          <cell r="AC63">
            <v>50</v>
          </cell>
        </row>
        <row r="64">
          <cell r="J64">
            <v>14</v>
          </cell>
          <cell r="K64">
            <v>28</v>
          </cell>
          <cell r="L64">
            <v>67</v>
          </cell>
          <cell r="M64">
            <v>80</v>
          </cell>
          <cell r="Z64">
            <v>10</v>
          </cell>
          <cell r="AA64">
            <v>20</v>
          </cell>
          <cell r="AB64">
            <v>15</v>
          </cell>
          <cell r="AC64">
            <v>50</v>
          </cell>
        </row>
        <row r="65">
          <cell r="J65">
            <v>11.5</v>
          </cell>
          <cell r="K65">
            <v>23</v>
          </cell>
          <cell r="L65">
            <v>0</v>
          </cell>
          <cell r="M65">
            <v>48</v>
          </cell>
          <cell r="Z65">
            <v>20.5</v>
          </cell>
          <cell r="AA65">
            <v>41</v>
          </cell>
          <cell r="AB65">
            <v>13.5</v>
          </cell>
          <cell r="AC65">
            <v>50</v>
          </cell>
        </row>
        <row r="66">
          <cell r="J66">
            <v>5.5</v>
          </cell>
          <cell r="K66">
            <v>11</v>
          </cell>
          <cell r="L66">
            <v>0</v>
          </cell>
          <cell r="M66">
            <v>40</v>
          </cell>
          <cell r="Z66">
            <v>6</v>
          </cell>
          <cell r="AA66">
            <v>12</v>
          </cell>
          <cell r="AB66">
            <v>9</v>
          </cell>
          <cell r="AC66">
            <v>39</v>
          </cell>
        </row>
        <row r="67">
          <cell r="J67">
            <v>20.5</v>
          </cell>
          <cell r="K67">
            <v>41</v>
          </cell>
          <cell r="L67">
            <v>21</v>
          </cell>
          <cell r="M67">
            <v>80</v>
          </cell>
          <cell r="AB67">
            <v>1</v>
          </cell>
        </row>
        <row r="68">
          <cell r="J68">
            <v>7</v>
          </cell>
          <cell r="K68">
            <v>14</v>
          </cell>
          <cell r="L68">
            <v>0</v>
          </cell>
          <cell r="M68">
            <v>68</v>
          </cell>
        </row>
        <row r="69">
          <cell r="J69">
            <v>7</v>
          </cell>
          <cell r="K69">
            <v>14</v>
          </cell>
          <cell r="L69">
            <v>0</v>
          </cell>
          <cell r="M69">
            <v>47</v>
          </cell>
        </row>
        <row r="70">
          <cell r="J70">
            <v>11.5</v>
          </cell>
          <cell r="K70">
            <v>23</v>
          </cell>
          <cell r="L70">
            <v>0</v>
          </cell>
          <cell r="M70">
            <v>80</v>
          </cell>
        </row>
        <row r="71">
          <cell r="J71">
            <v>20.5</v>
          </cell>
          <cell r="K71">
            <v>41</v>
          </cell>
          <cell r="L71">
            <v>0</v>
          </cell>
          <cell r="M71">
            <v>80</v>
          </cell>
        </row>
        <row r="72">
          <cell r="J72">
            <v>20.5</v>
          </cell>
          <cell r="K72">
            <v>41</v>
          </cell>
          <cell r="M72">
            <v>80</v>
          </cell>
        </row>
      </sheetData>
      <sheetData sheetId="2">
        <row r="2">
          <cell r="C2" t="str">
            <v>pertes EN</v>
          </cell>
        </row>
        <row r="6">
          <cell r="G6" t="str">
            <v>&gt;33 = test</v>
          </cell>
        </row>
        <row r="10">
          <cell r="A10" t="str">
            <v>2805-5395</v>
          </cell>
          <cell r="D10" t="str">
            <v>8-16</v>
          </cell>
        </row>
        <row r="11">
          <cell r="A11" t="str">
            <v>5396-8092</v>
          </cell>
          <cell r="D11" t="str">
            <v>17-24</v>
          </cell>
        </row>
        <row r="12">
          <cell r="A12" t="str">
            <v>8093-10789</v>
          </cell>
          <cell r="D12" t="str">
            <v>25-32</v>
          </cell>
        </row>
        <row r="22">
          <cell r="E22" t="str">
            <v>2</v>
          </cell>
        </row>
        <row r="23">
          <cell r="E23">
            <v>0</v>
          </cell>
        </row>
        <row r="25">
          <cell r="E25">
            <v>0</v>
          </cell>
        </row>
        <row r="26">
          <cell r="E26">
            <v>0</v>
          </cell>
        </row>
        <row r="28">
          <cell r="E28" t="str">
            <v>Arme/armure cassé quand R=0</v>
          </cell>
        </row>
        <row r="29">
          <cell r="E29" t="str">
            <v>Réparation = entretien des armes (+Archerie/Forge/Armure/Cuir/Ebénisterie)</v>
          </cell>
        </row>
        <row r="32">
          <cell r="E32" t="str">
            <v>Résist 50</v>
          </cell>
        </row>
        <row r="34">
          <cell r="E34">
            <v>2</v>
          </cell>
          <cell r="J34">
            <v>10</v>
          </cell>
        </row>
        <row r="35">
          <cell r="E35">
            <v>5</v>
          </cell>
        </row>
        <row r="37">
          <cell r="E37">
            <v>0</v>
          </cell>
        </row>
        <row r="38">
          <cell r="E38">
            <v>0</v>
          </cell>
        </row>
        <row r="40">
          <cell r="E40" t="str">
            <v xml:space="preserve">Résist </v>
          </cell>
        </row>
        <row r="41">
          <cell r="E41">
            <v>0</v>
          </cell>
        </row>
      </sheetData>
      <sheetData sheetId="3">
        <row r="5">
          <cell r="J5" t="str">
            <v>N3</v>
          </cell>
        </row>
        <row r="6">
          <cell r="F6" t="str">
            <v>4-6</v>
          </cell>
          <cell r="G6">
            <v>44</v>
          </cell>
          <cell r="H6" t="str">
            <v>7-12</v>
          </cell>
        </row>
        <row r="10">
          <cell r="F10" t="str">
            <v>6-10</v>
          </cell>
          <cell r="H10" t="str">
            <v>11-16</v>
          </cell>
        </row>
        <row r="11">
          <cell r="J11" t="str">
            <v>Coma</v>
          </cell>
        </row>
        <row r="22">
          <cell r="E22">
            <v>49</v>
          </cell>
        </row>
        <row r="26">
          <cell r="E26">
            <v>46</v>
          </cell>
          <cell r="F26" t="str">
            <v>3-5</v>
          </cell>
          <cell r="H26" t="str">
            <v>6-11</v>
          </cell>
        </row>
        <row r="34">
          <cell r="E34">
            <v>34</v>
          </cell>
          <cell r="J34" t="str">
            <v>13+</v>
          </cell>
        </row>
        <row r="38">
          <cell r="E38">
            <v>34</v>
          </cell>
        </row>
        <row r="43">
          <cell r="B43" t="str">
            <v>T 2</v>
          </cell>
        </row>
        <row r="44">
          <cell r="B44" t="str">
            <v>E 1</v>
          </cell>
          <cell r="J44" t="str">
            <v>VD-10, Fin PG</v>
          </cell>
        </row>
        <row r="45">
          <cell r="B45" t="str">
            <v>C 1</v>
          </cell>
        </row>
        <row r="46">
          <cell r="B46" t="str">
            <v>Armure</v>
          </cell>
        </row>
        <row r="47">
          <cell r="B47" t="str">
            <v>T 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zoomScale="130" zoomScaleNormal="130" workbookViewId="0">
      <selection activeCell="G7" sqref="G7"/>
    </sheetView>
  </sheetViews>
  <sheetFormatPr baseColWidth="10" defaultColWidth="9.08984375" defaultRowHeight="13" x14ac:dyDescent="0.3"/>
  <cols>
    <col min="1" max="1" width="8.6328125" style="1" bestFit="1" customWidth="1"/>
    <col min="2" max="2" width="6.36328125" style="1" customWidth="1"/>
    <col min="3" max="3" width="11.54296875" style="1" bestFit="1" customWidth="1"/>
    <col min="4" max="4" width="6.08984375" style="1" customWidth="1"/>
    <col min="5" max="5" width="10.90625" style="1" bestFit="1" customWidth="1"/>
    <col min="6" max="6" width="5.6328125" style="1" customWidth="1"/>
    <col min="7" max="7" width="11.54296875" style="1" bestFit="1" customWidth="1"/>
    <col min="8" max="8" width="5.453125" style="1" customWidth="1"/>
    <col min="9" max="9" width="11.54296875" style="1" bestFit="1" customWidth="1"/>
    <col min="10" max="10" width="7.90625" style="1" customWidth="1"/>
    <col min="11" max="11" width="3.90625" style="1" customWidth="1"/>
    <col min="12" max="12" width="19.90625" style="1" bestFit="1" customWidth="1"/>
    <col min="13" max="13" width="9.08984375" style="1" bestFit="1" customWidth="1"/>
    <col min="14" max="14" width="3.6328125" style="629" customWidth="1"/>
    <col min="15" max="15" width="3.6328125" style="634" customWidth="1"/>
    <col min="16" max="16" width="5" style="629" bestFit="1" customWidth="1"/>
    <col min="17" max="21" width="3.6328125" style="629" customWidth="1"/>
    <col min="22" max="16384" width="9.08984375" style="1"/>
  </cols>
  <sheetData>
    <row r="1" spans="1:21" ht="13.5" thickBot="1" x14ac:dyDescent="0.35">
      <c r="A1" s="649" t="s">
        <v>100</v>
      </c>
      <c r="B1" s="650">
        <v>1000</v>
      </c>
      <c r="C1" s="1" t="str">
        <f>[4]Perso!$A$3</f>
        <v>Jem</v>
      </c>
      <c r="E1" s="1" t="str">
        <f>[1]Perso!$A$3</f>
        <v>Raoul</v>
      </c>
      <c r="G1" s="1" t="str">
        <f>[2]Perso!$A$3</f>
        <v>Arnaud</v>
      </c>
      <c r="I1" s="1" t="str">
        <f>[3]Perso!$A$3</f>
        <v>Kar</v>
      </c>
      <c r="J1" s="1" t="s">
        <v>1536</v>
      </c>
      <c r="M1" s="1" t="s">
        <v>1129</v>
      </c>
      <c r="N1" s="629" t="s">
        <v>1133</v>
      </c>
      <c r="O1" s="634" t="s">
        <v>1136</v>
      </c>
      <c r="P1" s="629" t="s">
        <v>1127</v>
      </c>
      <c r="Q1" s="629" t="s">
        <v>1130</v>
      </c>
      <c r="R1" s="629" t="s">
        <v>1131</v>
      </c>
      <c r="S1" s="629" t="s">
        <v>1132</v>
      </c>
      <c r="T1" s="629" t="s">
        <v>139</v>
      </c>
      <c r="U1" s="629" t="s">
        <v>140</v>
      </c>
    </row>
    <row r="2" spans="1:21" ht="12" customHeight="1" x14ac:dyDescent="0.3">
      <c r="A2" s="94" t="s">
        <v>313</v>
      </c>
      <c r="B2" s="76"/>
      <c r="C2" s="6"/>
      <c r="D2" s="429"/>
      <c r="E2" s="6"/>
      <c r="F2" s="429"/>
      <c r="G2" s="6"/>
      <c r="H2" s="430"/>
      <c r="I2" s="6"/>
      <c r="J2" s="654"/>
      <c r="K2" s="1" t="str">
        <f>LEFT(C1,3)</f>
        <v>Jem</v>
      </c>
      <c r="L2" s="633" t="str">
        <f>PerA!X32</f>
        <v>marteau DOR</v>
      </c>
      <c r="M2" s="628" t="str">
        <f>PerA!Z32</f>
        <v>54cm/4kg</v>
      </c>
      <c r="N2" s="629">
        <f>PerA!AB32</f>
        <v>50</v>
      </c>
      <c r="O2" s="634">
        <v>0</v>
      </c>
      <c r="P2" s="629">
        <f>PerA!AB33-ROUND(O2/5,0)+C28</f>
        <v>-1</v>
      </c>
      <c r="Q2" s="629">
        <f>PerA!AA34-ROUND(O2/3,0)</f>
        <v>6</v>
      </c>
      <c r="R2" s="629">
        <f>PerA!AB34-ROUND(O2/3,0)</f>
        <v>2</v>
      </c>
      <c r="S2" s="629">
        <f>PerA!AB35-O2</f>
        <v>5</v>
      </c>
      <c r="T2" s="630">
        <f>PerA!AE34+C26</f>
        <v>8.1596638655462179</v>
      </c>
      <c r="U2" s="630">
        <f>PerA!AF34+C27</f>
        <v>9</v>
      </c>
    </row>
    <row r="3" spans="1:21" ht="12" customHeight="1" x14ac:dyDescent="0.3">
      <c r="A3" s="193" t="s">
        <v>314</v>
      </c>
      <c r="B3" s="76">
        <v>20</v>
      </c>
      <c r="C3" s="4"/>
      <c r="D3" s="76">
        <v>23</v>
      </c>
      <c r="E3" s="4"/>
      <c r="F3" s="76">
        <v>24</v>
      </c>
      <c r="G3" s="4"/>
      <c r="H3" s="300">
        <v>37</v>
      </c>
      <c r="I3" s="4"/>
      <c r="J3" s="655"/>
      <c r="L3" s="628">
        <f>PerA!X36</f>
        <v>0</v>
      </c>
    </row>
    <row r="4" spans="1:21" ht="12" customHeight="1" x14ac:dyDescent="0.3">
      <c r="A4" s="193" t="s">
        <v>315</v>
      </c>
      <c r="B4" s="76">
        <v>1</v>
      </c>
      <c r="C4" s="4"/>
      <c r="D4" s="76">
        <v>2</v>
      </c>
      <c r="E4" s="4"/>
      <c r="F4" s="76"/>
      <c r="G4" s="4"/>
      <c r="H4" s="300">
        <v>8</v>
      </c>
      <c r="I4" s="4"/>
      <c r="J4" s="655"/>
      <c r="L4" s="628">
        <f>PerA!X40</f>
        <v>0</v>
      </c>
    </row>
    <row r="5" spans="1:21" ht="12" customHeight="1" thickBot="1" x14ac:dyDescent="0.35">
      <c r="A5" s="193" t="s">
        <v>316</v>
      </c>
      <c r="B5" s="76">
        <v>400</v>
      </c>
      <c r="C5" s="4"/>
      <c r="D5" s="76">
        <v>895</v>
      </c>
      <c r="E5" s="4"/>
      <c r="F5" s="76">
        <v>705</v>
      </c>
      <c r="G5" s="4"/>
      <c r="H5" s="300">
        <v>1102</v>
      </c>
      <c r="I5" s="4"/>
      <c r="J5" s="656">
        <v>354</v>
      </c>
      <c r="L5" s="628" t="str">
        <f>PerA!X44</f>
        <v>mêlée</v>
      </c>
    </row>
    <row r="6" spans="1:21" ht="12" customHeight="1" thickBot="1" x14ac:dyDescent="0.35">
      <c r="A6" s="193" t="s">
        <v>1083</v>
      </c>
      <c r="B6" s="431" t="str">
        <f>[4]!Nourriture</f>
        <v>2 PdN/j</v>
      </c>
      <c r="C6" s="344" t="s">
        <v>1084</v>
      </c>
      <c r="D6" s="431" t="str">
        <f>[1]!Nourriture</f>
        <v>2 PdN/j</v>
      </c>
      <c r="E6" s="344" t="s">
        <v>1084</v>
      </c>
      <c r="F6" s="431" t="str">
        <f>[2]!Nourriture</f>
        <v>5 PdN/j</v>
      </c>
      <c r="G6" s="344" t="s">
        <v>1084</v>
      </c>
      <c r="H6" s="432" t="str">
        <f>[3]!Nourriture</f>
        <v>3 PdN/j</v>
      </c>
      <c r="I6" s="344" t="s">
        <v>1084</v>
      </c>
      <c r="J6" s="342" t="s">
        <v>1555</v>
      </c>
      <c r="L6" s="628">
        <f>PerA!X48</f>
        <v>0</v>
      </c>
    </row>
    <row r="7" spans="1:21" ht="12" customHeight="1" x14ac:dyDescent="0.3">
      <c r="A7" s="94" t="s">
        <v>488</v>
      </c>
      <c r="B7" s="429"/>
      <c r="C7" s="598" t="s">
        <v>1056</v>
      </c>
      <c r="D7" s="429"/>
      <c r="E7" s="598"/>
      <c r="F7" s="429">
        <v>55</v>
      </c>
      <c r="G7" s="493" t="s">
        <v>1761</v>
      </c>
      <c r="H7" s="430"/>
      <c r="I7" s="493" t="s">
        <v>1553</v>
      </c>
      <c r="J7" s="649" t="s">
        <v>1556</v>
      </c>
      <c r="L7" s="628">
        <f>PerA!X52</f>
        <v>0</v>
      </c>
    </row>
    <row r="8" spans="1:21" ht="12" customHeight="1" x14ac:dyDescent="0.3">
      <c r="A8" s="193" t="s">
        <v>489</v>
      </c>
      <c r="B8" s="76"/>
      <c r="C8" s="599"/>
      <c r="D8" s="76"/>
      <c r="E8" s="599"/>
      <c r="F8" s="76"/>
      <c r="G8" s="494"/>
      <c r="H8" s="300"/>
      <c r="I8" s="494"/>
    </row>
    <row r="9" spans="1:21" ht="12" customHeight="1" thickBot="1" x14ac:dyDescent="0.35">
      <c r="A9" s="193" t="s">
        <v>490</v>
      </c>
      <c r="B9" s="76"/>
      <c r="C9" s="600"/>
      <c r="D9" s="76"/>
      <c r="E9" s="599"/>
      <c r="F9" s="76"/>
      <c r="G9" s="494"/>
      <c r="H9" s="300"/>
      <c r="I9" s="494"/>
    </row>
    <row r="10" spans="1:21" ht="12" customHeight="1" thickBot="1" x14ac:dyDescent="0.35">
      <c r="A10" s="433" t="s">
        <v>491</v>
      </c>
      <c r="B10" s="180"/>
      <c r="C10" s="495"/>
      <c r="D10" s="180"/>
      <c r="E10" s="495"/>
      <c r="F10" s="180"/>
      <c r="G10" s="495"/>
      <c r="H10" s="434"/>
      <c r="I10" s="495"/>
      <c r="J10" s="294" t="s">
        <v>1181</v>
      </c>
      <c r="L10" s="1" t="s">
        <v>1557</v>
      </c>
    </row>
    <row r="11" spans="1:21" ht="12" customHeight="1" x14ac:dyDescent="0.3">
      <c r="A11" s="193" t="s">
        <v>52</v>
      </c>
      <c r="B11" s="435" t="str">
        <f>[4]ArmURe!$D$10</f>
        <v>8-16</v>
      </c>
      <c r="C11" s="373" t="str">
        <f>[4]ArmURe!$A$10</f>
        <v>2805-5395</v>
      </c>
      <c r="D11" s="435" t="str">
        <f>[1]ArmURe!$D$10</f>
        <v>14-26</v>
      </c>
      <c r="E11" s="373" t="str">
        <f>[1]ArmURe!$A$10</f>
        <v>3836-7376</v>
      </c>
      <c r="F11" s="435" t="str">
        <f>[2]ArmURe!$D$10</f>
        <v>21-40</v>
      </c>
      <c r="G11" s="373" t="str">
        <f>[2]ArmURe!$A$10</f>
        <v>7030-13519</v>
      </c>
      <c r="H11" s="435" t="str">
        <f>[3]ArmURe!$D$10</f>
        <v>11-22</v>
      </c>
      <c r="I11" s="373" t="str">
        <f>[3]ArmURe!$A$10</f>
        <v>3354-6450</v>
      </c>
      <c r="J11" s="645" t="s">
        <v>1176</v>
      </c>
      <c r="L11" s="629" t="s">
        <v>1558</v>
      </c>
      <c r="M11" s="629" t="s">
        <v>1559</v>
      </c>
    </row>
    <row r="12" spans="1:21" ht="12" customHeight="1" x14ac:dyDescent="0.3">
      <c r="A12" s="193" t="s">
        <v>53</v>
      </c>
      <c r="B12" s="436" t="str">
        <f>[4]ArmURe!$D$11</f>
        <v>17-24</v>
      </c>
      <c r="C12" s="374" t="str">
        <f>[4]ArmURe!$A$11</f>
        <v>5396-8092</v>
      </c>
      <c r="D12" s="436" t="str">
        <f>[1]ArmURe!$D$11</f>
        <v>28-39</v>
      </c>
      <c r="E12" s="374" t="str">
        <f>[1]ArmURe!$A$11</f>
        <v>7377-11064</v>
      </c>
      <c r="F12" s="436" t="str">
        <f>[2]ArmURe!$D$11</f>
        <v>42-60</v>
      </c>
      <c r="G12" s="374" t="str">
        <f>[2]ArmURe!$A$11</f>
        <v>13520-20279</v>
      </c>
      <c r="H12" s="436" t="str">
        <f>[3]ArmURe!$D$11</f>
        <v>23-32</v>
      </c>
      <c r="I12" s="374" t="str">
        <f>[3]ArmURe!$A$11</f>
        <v>6451-9675</v>
      </c>
      <c r="J12" s="646" t="s">
        <v>1177</v>
      </c>
      <c r="L12" s="629" t="s">
        <v>1560</v>
      </c>
      <c r="M12" s="629" t="s">
        <v>1561</v>
      </c>
    </row>
    <row r="13" spans="1:21" ht="12" customHeight="1" x14ac:dyDescent="0.3">
      <c r="A13" s="193"/>
      <c r="B13" s="437" t="str">
        <f>[4]ArmURe!$D$12</f>
        <v>25-32</v>
      </c>
      <c r="C13" s="375" t="str">
        <f>[4]ArmURe!$A$12</f>
        <v>8093-10789</v>
      </c>
      <c r="D13" s="437" t="str">
        <f>[1]ArmURe!$D$12</f>
        <v>41-52</v>
      </c>
      <c r="E13" s="375" t="str">
        <f>[1]ArmURe!$A$12</f>
        <v>11065-14752</v>
      </c>
      <c r="F13" s="437" t="str">
        <f>[2]ArmURe!$D$12</f>
        <v>62-80</v>
      </c>
      <c r="G13" s="375" t="str">
        <f>[2]ArmURe!$A$12</f>
        <v>20280-27038</v>
      </c>
      <c r="H13" s="437" t="str">
        <f>[3]ArmURe!$D$12</f>
        <v>34-43</v>
      </c>
      <c r="I13" s="375" t="str">
        <f>[3]ArmURe!$A$12</f>
        <v>9676-12900</v>
      </c>
      <c r="J13" s="647" t="s">
        <v>1178</v>
      </c>
      <c r="L13" s="629" t="s">
        <v>1562</v>
      </c>
      <c r="M13" s="629" t="s">
        <v>1563</v>
      </c>
    </row>
    <row r="14" spans="1:21" ht="12" customHeight="1" thickBot="1" x14ac:dyDescent="0.35">
      <c r="A14" s="193" t="s">
        <v>1032</v>
      </c>
      <c r="B14" s="438">
        <f>EquA!L2</f>
        <v>14.899999999999999</v>
      </c>
      <c r="C14" s="295">
        <f>EquA!M2</f>
        <v>1150</v>
      </c>
      <c r="D14" s="438">
        <f>EquB!L2</f>
        <v>19.600000000000009</v>
      </c>
      <c r="E14" s="295">
        <f>EquB!M2</f>
        <v>3110</v>
      </c>
      <c r="F14" s="438">
        <f>EquC!L2</f>
        <v>17.899999999999999</v>
      </c>
      <c r="G14" s="295">
        <f>EquC!M2</f>
        <v>3450</v>
      </c>
      <c r="H14" s="438">
        <f>EquD!L2</f>
        <v>16.78</v>
      </c>
      <c r="I14" s="295">
        <f>EquD!M2</f>
        <v>4300</v>
      </c>
      <c r="J14" s="648" t="s">
        <v>1179</v>
      </c>
      <c r="L14" s="657">
        <v>16.78</v>
      </c>
      <c r="M14" s="657">
        <v>4300</v>
      </c>
    </row>
    <row r="15" spans="1:21" ht="12" customHeight="1" x14ac:dyDescent="0.3">
      <c r="A15" s="193" t="s">
        <v>54</v>
      </c>
      <c r="B15" s="438">
        <f>EquA!I1</f>
        <v>18.38</v>
      </c>
      <c r="C15" s="295">
        <f>EquA!M1</f>
        <v>1310</v>
      </c>
      <c r="D15" s="438">
        <f>EquB!I1</f>
        <v>25.000000000000007</v>
      </c>
      <c r="E15" s="295">
        <f>EquB!M1</f>
        <v>3335</v>
      </c>
      <c r="F15" s="438">
        <f>EquC!I1</f>
        <v>56</v>
      </c>
      <c r="G15" s="295">
        <f>EquC!M1</f>
        <v>12100</v>
      </c>
      <c r="H15" s="438">
        <f>EquD!I1</f>
        <v>45.77</v>
      </c>
      <c r="I15" s="295">
        <f>EquD!M1</f>
        <v>4987.5</v>
      </c>
      <c r="L15" s="657">
        <v>45.77</v>
      </c>
      <c r="M15" s="657">
        <v>4987.5</v>
      </c>
    </row>
    <row r="16" spans="1:21" ht="11" customHeight="1" x14ac:dyDescent="0.3">
      <c r="A16" s="616" t="s">
        <v>998</v>
      </c>
      <c r="B16" s="632"/>
      <c r="C16" s="624" t="s">
        <v>1150</v>
      </c>
      <c r="D16" s="632"/>
      <c r="E16" s="624"/>
      <c r="F16" s="632"/>
      <c r="G16" s="624"/>
      <c r="H16" s="632"/>
      <c r="I16" s="624"/>
      <c r="J16" s="343"/>
    </row>
    <row r="17" spans="1:10" ht="11" customHeight="1" x14ac:dyDescent="0.3">
      <c r="A17" s="617" t="s">
        <v>997</v>
      </c>
      <c r="B17" s="632"/>
      <c r="C17" s="620" t="s">
        <v>1150</v>
      </c>
      <c r="D17" s="632"/>
      <c r="E17" s="620"/>
      <c r="F17" s="632"/>
      <c r="G17" s="620"/>
      <c r="H17" s="632"/>
      <c r="I17" s="620"/>
      <c r="J17" s="615"/>
    </row>
    <row r="18" spans="1:10" ht="11" customHeight="1" x14ac:dyDescent="0.3">
      <c r="A18" s="616" t="s">
        <v>999</v>
      </c>
      <c r="B18" s="632"/>
      <c r="C18" s="624" t="s">
        <v>1151</v>
      </c>
      <c r="D18" s="632"/>
      <c r="E18" s="624"/>
      <c r="F18" s="632"/>
      <c r="G18" s="624"/>
      <c r="H18" s="632"/>
      <c r="I18" s="624"/>
      <c r="J18" s="343"/>
    </row>
    <row r="19" spans="1:10" ht="11" customHeight="1" x14ac:dyDescent="0.3">
      <c r="A19" s="617" t="s">
        <v>1000</v>
      </c>
      <c r="B19" s="618">
        <f>PerA!G41</f>
        <v>119</v>
      </c>
      <c r="C19" s="632"/>
      <c r="D19" s="618">
        <f>PerB!G41</f>
        <v>91</v>
      </c>
      <c r="E19" s="632"/>
      <c r="F19" s="618">
        <f>PerC!G41</f>
        <v>88</v>
      </c>
      <c r="G19" s="632"/>
      <c r="H19" s="618">
        <f>PerD!G41</f>
        <v>80</v>
      </c>
      <c r="I19" s="632"/>
      <c r="J19" s="615"/>
    </row>
    <row r="20" spans="1:10" ht="11" customHeight="1" x14ac:dyDescent="0.3">
      <c r="A20" s="616" t="s">
        <v>1001</v>
      </c>
      <c r="B20" s="619">
        <f>PerA!G41</f>
        <v>119</v>
      </c>
      <c r="C20" s="632">
        <v>5</v>
      </c>
      <c r="D20" s="619">
        <f>PerB!G41</f>
        <v>91</v>
      </c>
      <c r="E20" s="632"/>
      <c r="F20" s="619">
        <f>PerC!G41</f>
        <v>88</v>
      </c>
      <c r="G20" s="632"/>
      <c r="H20" s="619">
        <f>PerD!G41</f>
        <v>80</v>
      </c>
      <c r="I20" s="632"/>
      <c r="J20" s="343"/>
    </row>
    <row r="21" spans="1:10" ht="11" customHeight="1" x14ac:dyDescent="0.3">
      <c r="A21" s="617" t="s">
        <v>2</v>
      </c>
      <c r="B21" s="620">
        <f>(PerA!H11+PerA!G15)*3</f>
        <v>33</v>
      </c>
      <c r="C21" s="632">
        <v>2</v>
      </c>
      <c r="D21" s="620">
        <f>(PerB!H11+PerB!G15)*3</f>
        <v>45</v>
      </c>
      <c r="E21" s="632"/>
      <c r="F21" s="620">
        <f>(PerC!H11+PerC!G15)*3</f>
        <v>51</v>
      </c>
      <c r="G21" s="632"/>
      <c r="H21" s="620">
        <f>(PerD!H11+PerD!G15)*3</f>
        <v>39</v>
      </c>
      <c r="I21" s="632"/>
      <c r="J21" s="615"/>
    </row>
    <row r="22" spans="1:10" ht="11" customHeight="1" x14ac:dyDescent="0.3">
      <c r="A22" s="616" t="s">
        <v>50</v>
      </c>
      <c r="B22" s="619">
        <f>PerA!G14+PerA!G15</f>
        <v>28</v>
      </c>
      <c r="C22" s="632">
        <v>5</v>
      </c>
      <c r="D22" s="619">
        <f>PerB!G14+PerB!G15</f>
        <v>41</v>
      </c>
      <c r="E22" s="632"/>
      <c r="F22" s="619">
        <f>PerC!G14+PerC!G15</f>
        <v>57</v>
      </c>
      <c r="G22" s="632"/>
      <c r="H22" s="619">
        <f>PerD!G14+PerD!G15</f>
        <v>38</v>
      </c>
      <c r="I22" s="632"/>
      <c r="J22" s="343"/>
    </row>
    <row r="23" spans="1:10" ht="11" customHeight="1" x14ac:dyDescent="0.3">
      <c r="A23" s="617" t="s">
        <v>51</v>
      </c>
      <c r="B23" s="618">
        <f>PerA!G38</f>
        <v>152</v>
      </c>
      <c r="C23" s="632">
        <v>100</v>
      </c>
      <c r="D23" s="618">
        <f>PerB!G38</f>
        <v>0</v>
      </c>
      <c r="E23" s="632"/>
      <c r="F23" s="618">
        <f>PerC!G38</f>
        <v>0</v>
      </c>
      <c r="G23" s="632"/>
      <c r="H23" s="618">
        <f>PerD!G38</f>
        <v>0</v>
      </c>
      <c r="I23" s="632"/>
      <c r="J23" s="615"/>
    </row>
    <row r="24" spans="1:10" ht="11" customHeight="1" x14ac:dyDescent="0.3">
      <c r="A24" s="616" t="s">
        <v>1126</v>
      </c>
      <c r="B24" s="619">
        <f>C14</f>
        <v>1150</v>
      </c>
      <c r="C24" s="632">
        <v>0</v>
      </c>
      <c r="D24" s="619">
        <f>E14</f>
        <v>3110</v>
      </c>
      <c r="E24" s="632"/>
      <c r="F24" s="619">
        <f>G14</f>
        <v>3450</v>
      </c>
      <c r="G24" s="632"/>
      <c r="H24" s="619">
        <f>I14</f>
        <v>4300</v>
      </c>
      <c r="I24" s="632"/>
      <c r="J24" s="343"/>
    </row>
    <row r="25" spans="1:10" ht="11" customHeight="1" x14ac:dyDescent="0.3">
      <c r="A25" s="617" t="s">
        <v>309</v>
      </c>
      <c r="B25" s="618">
        <f>B14</f>
        <v>14.899999999999999</v>
      </c>
      <c r="C25" s="632"/>
      <c r="D25" s="618">
        <f>D14</f>
        <v>19.600000000000009</v>
      </c>
      <c r="E25" s="632"/>
      <c r="F25" s="618">
        <f>F14</f>
        <v>17.899999999999999</v>
      </c>
      <c r="G25" s="632"/>
      <c r="H25" s="618">
        <f>H14</f>
        <v>16.78</v>
      </c>
      <c r="I25" s="632"/>
      <c r="J25" s="615"/>
    </row>
    <row r="26" spans="1:10" ht="11" customHeight="1" x14ac:dyDescent="0.3">
      <c r="A26" s="621" t="s">
        <v>1134</v>
      </c>
      <c r="B26" s="631">
        <v>1</v>
      </c>
      <c r="C26" s="622">
        <f>B26-B16*4-C19/5-(C20*20/B20)-C21-C22</f>
        <v>-6.8403361344537821</v>
      </c>
      <c r="D26" s="631"/>
      <c r="E26" s="622">
        <f>D26-E16-E19/5-(E20*20/D20)-E21-E22</f>
        <v>0</v>
      </c>
      <c r="F26" s="631"/>
      <c r="G26" s="622">
        <f>F26-G16-G19/5-(G20*20/F20)-G21-G22</f>
        <v>0</v>
      </c>
      <c r="H26" s="631"/>
      <c r="I26" s="622">
        <f>H26-I16-I19/5-(I20*20/H20)-I21-I22</f>
        <v>0</v>
      </c>
      <c r="J26" s="623"/>
    </row>
    <row r="27" spans="1:10" ht="11" customHeight="1" x14ac:dyDescent="0.3">
      <c r="A27" s="617" t="s">
        <v>1135</v>
      </c>
      <c r="B27" s="631"/>
      <c r="C27" s="618"/>
      <c r="D27" s="631"/>
      <c r="E27" s="618"/>
      <c r="F27" s="631"/>
      <c r="G27" s="618"/>
      <c r="H27" s="631"/>
      <c r="I27" s="618"/>
      <c r="J27" s="615"/>
    </row>
    <row r="28" spans="1:10" ht="11" customHeight="1" x14ac:dyDescent="0.3">
      <c r="A28" s="621" t="s">
        <v>1127</v>
      </c>
      <c r="B28" s="631"/>
      <c r="C28" s="625"/>
      <c r="D28" s="631"/>
      <c r="E28" s="625"/>
      <c r="F28" s="631"/>
      <c r="G28" s="625"/>
      <c r="H28" s="631"/>
      <c r="I28" s="625"/>
      <c r="J28" s="623"/>
    </row>
    <row r="29" spans="1:10" ht="11" customHeight="1" x14ac:dyDescent="0.3">
      <c r="A29" s="617" t="s">
        <v>166</v>
      </c>
      <c r="B29" s="631"/>
      <c r="C29" s="618"/>
      <c r="D29" s="631"/>
      <c r="E29" s="620"/>
      <c r="F29" s="631"/>
      <c r="G29" s="620"/>
      <c r="H29" s="631"/>
      <c r="I29" s="620"/>
      <c r="J29" s="615"/>
    </row>
    <row r="30" spans="1:10" ht="11" customHeight="1" x14ac:dyDescent="0.3">
      <c r="A30" s="621" t="s">
        <v>135</v>
      </c>
      <c r="B30" s="631"/>
      <c r="C30" s="625"/>
      <c r="D30" s="631"/>
      <c r="E30" s="625"/>
      <c r="F30" s="631"/>
      <c r="G30" s="625"/>
      <c r="H30" s="631"/>
      <c r="I30" s="625"/>
      <c r="J30" s="623"/>
    </row>
    <row r="31" spans="1:10" ht="11" customHeight="1" x14ac:dyDescent="0.3">
      <c r="A31" s="623" t="s">
        <v>1128</v>
      </c>
      <c r="B31" s="626"/>
      <c r="C31" s="627"/>
      <c r="D31" s="626"/>
      <c r="E31" s="627"/>
      <c r="F31" s="626"/>
      <c r="G31" s="627"/>
      <c r="H31" s="626"/>
      <c r="I31" s="627"/>
      <c r="J31" s="623"/>
    </row>
    <row r="32" spans="1:10" ht="11" customHeight="1" thickBot="1" x14ac:dyDescent="0.35">
      <c r="B32" s="481" t="s">
        <v>65</v>
      </c>
      <c r="C32" s="482" t="s">
        <v>1089</v>
      </c>
      <c r="D32" s="481" t="s">
        <v>65</v>
      </c>
      <c r="E32" s="482" t="s">
        <v>1089</v>
      </c>
      <c r="F32" s="481" t="s">
        <v>65</v>
      </c>
      <c r="G32" s="482" t="s">
        <v>1089</v>
      </c>
      <c r="H32" s="481" t="s">
        <v>65</v>
      </c>
      <c r="I32" s="482" t="s">
        <v>1089</v>
      </c>
      <c r="J32" s="3"/>
    </row>
    <row r="33" spans="1:11" ht="12" customHeight="1" thickBot="1" x14ac:dyDescent="0.35">
      <c r="A33" s="2" t="s">
        <v>66</v>
      </c>
      <c r="B33" s="483"/>
      <c r="C33" s="474" t="str">
        <f>[4]Corps!$F$6&amp;"/"&amp;[4]Corps!$H$6</f>
        <v>4-6/7-12</v>
      </c>
      <c r="D33" s="475" t="str">
        <f>PerB!AJ8</f>
        <v xml:space="preserve"> </v>
      </c>
      <c r="E33" s="476" t="str">
        <f>[1]Corps!$F$6&amp;"/"&amp;[1]Corps!$H$6</f>
        <v>6-10/11-18</v>
      </c>
      <c r="F33" s="475"/>
      <c r="G33" s="476" t="str">
        <f>[2]Corps!$F$6&amp;"/"&amp;[2]Corps!$H$6</f>
        <v>8-15/16-23</v>
      </c>
      <c r="H33" s="475"/>
      <c r="I33" s="476" t="str">
        <f>[3]Corps!$F$6&amp;"/"&amp;[3]Corps!$H$6</f>
        <v>5-9/10-16</v>
      </c>
      <c r="J33" s="3"/>
    </row>
    <row r="34" spans="1:11" ht="12" customHeight="1" thickBot="1" x14ac:dyDescent="0.35">
      <c r="A34" s="2" t="s">
        <v>55</v>
      </c>
      <c r="B34" s="477"/>
      <c r="C34" s="474" t="str">
        <f>[4]Corps!$F$10&amp;"/"&amp;[4]Corps!$H$10</f>
        <v>6-10/11-16</v>
      </c>
      <c r="D34" s="475"/>
      <c r="E34" s="476" t="str">
        <f>[1]Corps!$F$10&amp;"/"&amp;[1]Corps!$H$10</f>
        <v>8-16/17-24</v>
      </c>
      <c r="F34" s="477"/>
      <c r="G34" s="476" t="str">
        <f>[2]Corps!$F$10&amp;"/"&amp;[2]Corps!$H$10</f>
        <v>12-24/25-32</v>
      </c>
      <c r="H34" s="477"/>
      <c r="I34" s="476" t="str">
        <f>[3]Corps!$F$10&amp;"/"&amp;[3]Corps!$H$10</f>
        <v>8-15/16-22</v>
      </c>
      <c r="J34" s="3"/>
    </row>
    <row r="35" spans="1:11" ht="12" customHeight="1" thickBot="1" x14ac:dyDescent="0.35">
      <c r="A35" s="2" t="s">
        <v>56</v>
      </c>
      <c r="B35" s="477"/>
      <c r="C35" s="476" t="str">
        <f>C33</f>
        <v>4-6/7-12</v>
      </c>
      <c r="D35" s="475"/>
      <c r="E35" s="476" t="str">
        <f>E33</f>
        <v>6-10/11-18</v>
      </c>
      <c r="F35" s="477"/>
      <c r="G35" s="476" t="str">
        <f>G33</f>
        <v>8-15/16-23</v>
      </c>
      <c r="H35" s="477"/>
      <c r="I35" s="476" t="str">
        <f>I33</f>
        <v>5-9/10-16</v>
      </c>
      <c r="J35" s="3"/>
    </row>
    <row r="36" spans="1:11" ht="12" customHeight="1" thickBot="1" x14ac:dyDescent="0.35">
      <c r="A36" s="2" t="s">
        <v>57</v>
      </c>
      <c r="B36" s="477"/>
      <c r="C36" s="476" t="str">
        <f>C33</f>
        <v>4-6/7-12</v>
      </c>
      <c r="D36" s="475"/>
      <c r="E36" s="476" t="str">
        <f>E33</f>
        <v>6-10/11-18</v>
      </c>
      <c r="F36" s="477"/>
      <c r="G36" s="476" t="str">
        <f>G33</f>
        <v>8-15/16-23</v>
      </c>
      <c r="H36" s="477"/>
      <c r="I36" s="476" t="str">
        <f>I33</f>
        <v>5-9/10-16</v>
      </c>
      <c r="J36" s="3"/>
    </row>
    <row r="37" spans="1:11" ht="12" customHeight="1" thickBot="1" x14ac:dyDescent="0.35">
      <c r="A37" s="2" t="s">
        <v>58</v>
      </c>
      <c r="B37" s="477"/>
      <c r="C37" s="476" t="str">
        <f>C33</f>
        <v>4-6/7-12</v>
      </c>
      <c r="D37" s="475"/>
      <c r="E37" s="476" t="str">
        <f>E33</f>
        <v>6-10/11-18</v>
      </c>
      <c r="F37" s="477"/>
      <c r="G37" s="476" t="str">
        <f>G33</f>
        <v>8-15/16-23</v>
      </c>
      <c r="H37" s="477"/>
      <c r="I37" s="476" t="str">
        <f>I33</f>
        <v>5-9/10-16</v>
      </c>
      <c r="J37" s="3"/>
    </row>
    <row r="38" spans="1:11" ht="12" customHeight="1" thickBot="1" x14ac:dyDescent="0.35">
      <c r="A38" s="2" t="s">
        <v>59</v>
      </c>
      <c r="B38" s="477"/>
      <c r="C38" s="474" t="str">
        <f>[4]Corps!$F$26&amp;"/"&amp;[4]Corps!$H$26</f>
        <v>3-5/6-11</v>
      </c>
      <c r="D38" s="475"/>
      <c r="E38" s="476" t="str">
        <f>[1]Corps!$F$26&amp;"/"&amp;[1]Corps!$H$26</f>
        <v>4-7/8-15</v>
      </c>
      <c r="F38" s="477"/>
      <c r="G38" s="476" t="str">
        <f>[2]Corps!$F$26&amp;"/"&amp;[2]Corps!$H$26</f>
        <v>6-11/12-19</v>
      </c>
      <c r="H38" s="477"/>
      <c r="I38" s="476" t="str">
        <f>[3]Corps!$F$26&amp;"/"&amp;[3]Corps!$H$26</f>
        <v>4-7/8-14</v>
      </c>
      <c r="J38" s="3"/>
    </row>
    <row r="39" spans="1:11" ht="12" customHeight="1" thickBot="1" x14ac:dyDescent="0.35">
      <c r="A39" s="2" t="s">
        <v>60</v>
      </c>
      <c r="B39" s="477"/>
      <c r="C39" s="476" t="str">
        <f>C38</f>
        <v>3-5/6-11</v>
      </c>
      <c r="D39" s="475"/>
      <c r="E39" s="476" t="str">
        <f>E38</f>
        <v>4-7/8-15</v>
      </c>
      <c r="F39" s="477"/>
      <c r="G39" s="476" t="str">
        <f>G38</f>
        <v>6-11/12-19</v>
      </c>
      <c r="H39" s="477"/>
      <c r="I39" s="476" t="str">
        <f>I38</f>
        <v>4-7/8-14</v>
      </c>
      <c r="J39" s="3"/>
    </row>
    <row r="40" spans="1:11" ht="12" customHeight="1" thickBot="1" x14ac:dyDescent="0.35">
      <c r="A40" s="2" t="s">
        <v>61</v>
      </c>
      <c r="B40" s="477"/>
      <c r="C40" s="476" t="str">
        <f>C37</f>
        <v>4-6/7-12</v>
      </c>
      <c r="D40" s="475"/>
      <c r="E40" s="476" t="str">
        <f>E37</f>
        <v>6-10/11-18</v>
      </c>
      <c r="F40" s="477"/>
      <c r="G40" s="476" t="str">
        <f>G37</f>
        <v>8-15/16-23</v>
      </c>
      <c r="H40" s="477"/>
      <c r="I40" s="476" t="str">
        <f>I37</f>
        <v>5-9/10-16</v>
      </c>
      <c r="J40" s="3"/>
    </row>
    <row r="41" spans="1:11" ht="12" customHeight="1" thickBot="1" x14ac:dyDescent="0.35">
      <c r="A41" s="2" t="s">
        <v>62</v>
      </c>
      <c r="B41" s="477"/>
      <c r="C41" s="476" t="str">
        <f>C40</f>
        <v>4-6/7-12</v>
      </c>
      <c r="D41" s="475"/>
      <c r="E41" s="476" t="str">
        <f>E40</f>
        <v>6-10/11-18</v>
      </c>
      <c r="F41" s="477"/>
      <c r="G41" s="476" t="str">
        <f>G40</f>
        <v>8-15/16-23</v>
      </c>
      <c r="H41" s="477"/>
      <c r="I41" s="476" t="str">
        <f>I40</f>
        <v>5-9/10-16</v>
      </c>
      <c r="J41" s="3"/>
    </row>
    <row r="42" spans="1:11" ht="12" customHeight="1" thickBot="1" x14ac:dyDescent="0.35">
      <c r="A42" s="2" t="s">
        <v>63</v>
      </c>
      <c r="B42" s="477"/>
      <c r="C42" s="476" t="str">
        <f>C39</f>
        <v>3-5/6-11</v>
      </c>
      <c r="D42" s="475"/>
      <c r="E42" s="476" t="str">
        <f>E39</f>
        <v>4-7/8-15</v>
      </c>
      <c r="F42" s="477"/>
      <c r="G42" s="476" t="str">
        <f>G39</f>
        <v>6-11/12-19</v>
      </c>
      <c r="H42" s="477"/>
      <c r="I42" s="476" t="str">
        <f>I39</f>
        <v>4-7/8-14</v>
      </c>
      <c r="J42" s="3"/>
    </row>
    <row r="43" spans="1:11" ht="12" customHeight="1" thickBot="1" x14ac:dyDescent="0.35">
      <c r="A43" s="2" t="s">
        <v>64</v>
      </c>
      <c r="B43" s="477"/>
      <c r="C43" s="476" t="str">
        <f>C42</f>
        <v>3-5/6-11</v>
      </c>
      <c r="D43" s="475"/>
      <c r="E43" s="476" t="str">
        <f>E42</f>
        <v>4-7/8-15</v>
      </c>
      <c r="F43" s="477"/>
      <c r="G43" s="476" t="str">
        <f>G42</f>
        <v>6-11/12-19</v>
      </c>
      <c r="H43" s="477"/>
      <c r="I43" s="476" t="str">
        <f>I42</f>
        <v>4-7/8-14</v>
      </c>
      <c r="J43" s="3"/>
    </row>
    <row r="44" spans="1:11" x14ac:dyDescent="0.3">
      <c r="A44" s="324" t="s">
        <v>1098</v>
      </c>
      <c r="B44" s="301" t="s">
        <v>1039</v>
      </c>
      <c r="C44" s="520" t="str">
        <f>IF([4]!Armure&gt;0,"X","")</f>
        <v>X</v>
      </c>
      <c r="D44" s="307"/>
      <c r="E44" s="520" t="str">
        <f>IF([1]!Armure&gt;0,"X","")</f>
        <v>X</v>
      </c>
      <c r="F44" s="307"/>
      <c r="G44" s="520" t="str">
        <f>IF([2]!Armure&gt;0,"X","")</f>
        <v>X</v>
      </c>
      <c r="H44" s="307"/>
      <c r="I44" s="520" t="str">
        <f>IF([3]!Armure&gt;0,"X","")</f>
        <v>X</v>
      </c>
      <c r="J44" s="3"/>
      <c r="K44" s="343"/>
    </row>
    <row r="45" spans="1:11" x14ac:dyDescent="0.3">
      <c r="A45" s="330" t="s">
        <v>1099</v>
      </c>
      <c r="B45" s="302" t="s">
        <v>1040</v>
      </c>
      <c r="C45" s="521" t="str">
        <f>IF([4]!Armure&gt;1,"X","")</f>
        <v/>
      </c>
      <c r="D45" s="308"/>
      <c r="E45" s="521" t="str">
        <f>IF([1]!Armure&gt;1,"X","")</f>
        <v/>
      </c>
      <c r="F45" s="308"/>
      <c r="G45" s="521" t="str">
        <f>IF([2]!Armure&gt;1,"X","")</f>
        <v/>
      </c>
      <c r="H45" s="308"/>
      <c r="I45" s="521" t="str">
        <f>IF([3]!Armure&gt;1,"X","")</f>
        <v/>
      </c>
      <c r="J45" s="3"/>
      <c r="K45" s="343"/>
    </row>
    <row r="46" spans="1:11" ht="13.5" thickBot="1" x14ac:dyDescent="0.35">
      <c r="A46" s="518" t="s">
        <v>1100</v>
      </c>
      <c r="B46" s="303" t="s">
        <v>1041</v>
      </c>
      <c r="C46" s="521" t="str">
        <f>IF([4]!Armure&gt;2,"X","")</f>
        <v/>
      </c>
      <c r="D46" s="309"/>
      <c r="E46" s="521" t="str">
        <f>IF([1]!Armure&gt;2,"X","")</f>
        <v/>
      </c>
      <c r="F46" s="309"/>
      <c r="G46" s="521" t="str">
        <f>IF([2]!Armure&gt;2,"X","")</f>
        <v/>
      </c>
      <c r="H46" s="309"/>
      <c r="I46" s="521" t="str">
        <f>IF([3]!Armure&gt;2,"X","")</f>
        <v/>
      </c>
      <c r="J46" s="3"/>
      <c r="K46" s="343"/>
    </row>
    <row r="47" spans="1:11" x14ac:dyDescent="0.3">
      <c r="A47" s="324" t="s">
        <v>1119</v>
      </c>
      <c r="B47" s="304" t="s">
        <v>1042</v>
      </c>
      <c r="C47" s="521" t="str">
        <f>IF([4]!attaque&gt;9,"X","")</f>
        <v>X</v>
      </c>
      <c r="D47" s="307"/>
      <c r="E47" s="521" t="str">
        <f>IF([1]!attaque&gt;9,"X","")</f>
        <v>X</v>
      </c>
      <c r="F47" s="307"/>
      <c r="G47" s="521" t="str">
        <f>IF([2]!attaque&gt;9,"X","")</f>
        <v>X</v>
      </c>
      <c r="H47" s="307"/>
      <c r="I47" s="521" t="str">
        <f>IF([3]!attaque&gt;9,"X","")</f>
        <v>X</v>
      </c>
      <c r="J47" s="3"/>
      <c r="K47" s="343"/>
    </row>
    <row r="48" spans="1:11" x14ac:dyDescent="0.3">
      <c r="A48" s="330" t="s">
        <v>1120</v>
      </c>
      <c r="B48" s="305" t="s">
        <v>1043</v>
      </c>
      <c r="C48" s="521" t="str">
        <f>IF([4]!attaque&gt;19,"X","")</f>
        <v>X</v>
      </c>
      <c r="D48" s="308"/>
      <c r="E48" s="521" t="str">
        <f>IF([1]!attaque&gt;19,"X","")</f>
        <v>X</v>
      </c>
      <c r="F48" s="308"/>
      <c r="G48" s="521" t="str">
        <f>IF([2]!attaque&gt;19,"X","")</f>
        <v>X</v>
      </c>
      <c r="H48" s="308"/>
      <c r="I48" s="521" t="str">
        <f>IF([3]!attaque&gt;19,"X","")</f>
        <v>X</v>
      </c>
      <c r="J48" s="3"/>
      <c r="K48" s="343"/>
    </row>
    <row r="49" spans="1:11" x14ac:dyDescent="0.3">
      <c r="A49" s="330" t="s">
        <v>1121</v>
      </c>
      <c r="B49" s="305" t="s">
        <v>1044</v>
      </c>
      <c r="C49" s="521" t="str">
        <f>IF([4]!attaque&gt;29,"X","")</f>
        <v/>
      </c>
      <c r="D49" s="308"/>
      <c r="E49" s="521" t="str">
        <f>IF([1]!attaque&gt;29,"X","")</f>
        <v>X</v>
      </c>
      <c r="F49" s="308"/>
      <c r="G49" s="521" t="str">
        <f>IF([2]!attaque&gt;29,"X","")</f>
        <v>X</v>
      </c>
      <c r="H49" s="308"/>
      <c r="I49" s="521" t="str">
        <f>IF([3]!attaque&gt;29,"X","")</f>
        <v>X</v>
      </c>
      <c r="J49" s="3"/>
      <c r="K49" s="343"/>
    </row>
    <row r="50" spans="1:11" x14ac:dyDescent="0.3">
      <c r="A50" s="330" t="s">
        <v>1121</v>
      </c>
      <c r="B50" s="305" t="s">
        <v>1045</v>
      </c>
      <c r="C50" s="521" t="str">
        <f>IF([4]!attaque&gt;29,"X","")</f>
        <v/>
      </c>
      <c r="D50" s="308"/>
      <c r="E50" s="521" t="str">
        <f>IF([1]!attaque&gt;29,"X","")</f>
        <v>X</v>
      </c>
      <c r="F50" s="308"/>
      <c r="G50" s="521" t="str">
        <f>IF([2]!attaque&gt;29,"X","")</f>
        <v>X</v>
      </c>
      <c r="H50" s="308"/>
      <c r="I50" s="521" t="str">
        <f>IF([3]!attaque&gt;29,"X","")</f>
        <v>X</v>
      </c>
      <c r="J50" s="3"/>
      <c r="K50" s="343"/>
    </row>
    <row r="51" spans="1:11" ht="13.5" thickBot="1" x14ac:dyDescent="0.35">
      <c r="A51" s="518" t="s">
        <v>1122</v>
      </c>
      <c r="B51" s="303" t="s">
        <v>1046</v>
      </c>
      <c r="C51" s="521" t="str">
        <f>IF([4]!attaque&gt;49,"X","")</f>
        <v/>
      </c>
      <c r="D51" s="309"/>
      <c r="E51" s="521" t="str">
        <f>IF([1]!attaque&gt;49,"X","")</f>
        <v>X</v>
      </c>
      <c r="F51" s="309"/>
      <c r="G51" s="521" t="str">
        <f>IF([2]!attaque&gt;49,"X","")</f>
        <v>X</v>
      </c>
      <c r="H51" s="309"/>
      <c r="I51" s="521" t="str">
        <f>IF([3]!attaque&gt;49,"X","")</f>
        <v>X</v>
      </c>
      <c r="J51" s="3"/>
      <c r="K51" s="343"/>
    </row>
    <row r="52" spans="1:11" x14ac:dyDescent="0.3">
      <c r="A52" s="324" t="s">
        <v>1104</v>
      </c>
      <c r="B52" s="304" t="s">
        <v>1047</v>
      </c>
      <c r="C52" s="521" t="str">
        <f>IF([4]!charge&gt;9,"X","")</f>
        <v/>
      </c>
      <c r="D52" s="307"/>
      <c r="E52" s="521" t="str">
        <f>IF([1]!charge&gt;9,"X","")</f>
        <v/>
      </c>
      <c r="F52" s="307"/>
      <c r="G52" s="521" t="str">
        <f>IF([2]!charge&gt;9,"X","")</f>
        <v>X</v>
      </c>
      <c r="H52" s="307"/>
      <c r="I52" s="521" t="str">
        <f>IF([3]!charge&gt;9,"X","")</f>
        <v>X</v>
      </c>
      <c r="J52" s="3"/>
      <c r="K52" s="343"/>
    </row>
    <row r="53" spans="1:11" ht="13.5" thickBot="1" x14ac:dyDescent="0.35">
      <c r="A53" s="518" t="s">
        <v>1105</v>
      </c>
      <c r="B53" s="303" t="s">
        <v>1048</v>
      </c>
      <c r="C53" s="521" t="str">
        <f>IF([4]!charge&gt;29,"X","")</f>
        <v/>
      </c>
      <c r="D53" s="309"/>
      <c r="E53" s="521" t="str">
        <f>IF([1]!charge&gt;29,"X","")</f>
        <v/>
      </c>
      <c r="F53" s="309"/>
      <c r="G53" s="521" t="str">
        <f>IF([2]!charge&gt;29,"X","")</f>
        <v>X</v>
      </c>
      <c r="H53" s="309"/>
      <c r="I53" s="521" t="str">
        <f>IF([3]!charge&gt;29,"X","")</f>
        <v/>
      </c>
      <c r="J53" s="3"/>
      <c r="K53" s="343"/>
    </row>
    <row r="54" spans="1:11" x14ac:dyDescent="0.3">
      <c r="A54" s="324" t="s">
        <v>1101</v>
      </c>
      <c r="B54" s="304" t="s">
        <v>1049</v>
      </c>
      <c r="C54" s="521" t="str">
        <f>IF([4]!défense&gt;9,"X","")</f>
        <v>X</v>
      </c>
      <c r="D54" s="307"/>
      <c r="E54" s="521" t="str">
        <f>IF([1]!défense&gt;9,"X","")</f>
        <v>X</v>
      </c>
      <c r="F54" s="307"/>
      <c r="G54" s="521" t="str">
        <f>IF([2]!défense&gt;9,"X","")</f>
        <v>X</v>
      </c>
      <c r="H54" s="307"/>
      <c r="I54" s="521" t="str">
        <f>IF([3]!défense&gt;9,"X","")</f>
        <v>X</v>
      </c>
      <c r="J54" s="3"/>
      <c r="K54" s="343"/>
    </row>
    <row r="55" spans="1:11" x14ac:dyDescent="0.3">
      <c r="A55" s="330" t="s">
        <v>1101</v>
      </c>
      <c r="B55" s="305" t="s">
        <v>1050</v>
      </c>
      <c r="C55" s="521" t="str">
        <f>IF([4]!défense&gt;9,"X","")</f>
        <v>X</v>
      </c>
      <c r="D55" s="308"/>
      <c r="E55" s="521" t="str">
        <f>IF([1]!défense&gt;9,"X","")</f>
        <v>X</v>
      </c>
      <c r="F55" s="308"/>
      <c r="G55" s="521" t="str">
        <f>IF([2]!défense&gt;9,"X","")</f>
        <v>X</v>
      </c>
      <c r="H55" s="308"/>
      <c r="I55" s="521" t="str">
        <f>IF([3]!défense&gt;9,"X","")</f>
        <v>X</v>
      </c>
      <c r="J55" s="3"/>
      <c r="K55" s="343"/>
    </row>
    <row r="56" spans="1:11" x14ac:dyDescent="0.3">
      <c r="A56" s="330" t="s">
        <v>1102</v>
      </c>
      <c r="B56" s="305" t="s">
        <v>1051</v>
      </c>
      <c r="C56" s="521" t="str">
        <f>IF([4]!défense&gt;19,"X","")</f>
        <v>X</v>
      </c>
      <c r="D56" s="308"/>
      <c r="E56" s="521" t="str">
        <f>IF([1]!défense&gt;19,"X","")</f>
        <v>X</v>
      </c>
      <c r="F56" s="308"/>
      <c r="G56" s="521" t="str">
        <f>IF([2]!défense&gt;19,"X","")</f>
        <v>X</v>
      </c>
      <c r="H56" s="308"/>
      <c r="I56" s="521" t="str">
        <f>IF([3]!défense&gt;19,"X","")</f>
        <v>X</v>
      </c>
      <c r="J56" s="3"/>
      <c r="K56" s="343"/>
    </row>
    <row r="57" spans="1:11" ht="13.5" thickBot="1" x14ac:dyDescent="0.35">
      <c r="A57" s="518" t="s">
        <v>1103</v>
      </c>
      <c r="B57" s="303" t="s">
        <v>1052</v>
      </c>
      <c r="C57" s="521" t="str">
        <f>IF([4]!défense&gt;29,"X","")</f>
        <v>X</v>
      </c>
      <c r="D57" s="309"/>
      <c r="E57" s="521" t="str">
        <f>IF([1]!défense&gt;29,"X","")</f>
        <v>X</v>
      </c>
      <c r="F57" s="309"/>
      <c r="G57" s="521" t="str">
        <f>IF([2]!défense&gt;29,"X","")</f>
        <v>X</v>
      </c>
      <c r="H57" s="309"/>
      <c r="I57" s="521" t="str">
        <f>IF([3]!défense&gt;29,"X","")</f>
        <v>X</v>
      </c>
      <c r="J57" s="3"/>
      <c r="K57" s="343"/>
    </row>
    <row r="58" spans="1:11" x14ac:dyDescent="0.3">
      <c r="A58" s="324" t="s">
        <v>1107</v>
      </c>
      <c r="B58" s="304" t="s">
        <v>1106</v>
      </c>
      <c r="C58" s="521" t="str">
        <f>IF([4]!embuscade&gt;9,"X","")</f>
        <v/>
      </c>
      <c r="D58" s="307"/>
      <c r="E58" s="521" t="str">
        <f>IF([1]!embuscade&gt;9,"X","")</f>
        <v>X</v>
      </c>
      <c r="F58" s="307"/>
      <c r="G58" s="521" t="str">
        <f>IF([2]!embuscade&gt;9,"X","")</f>
        <v>X</v>
      </c>
      <c r="H58" s="307"/>
      <c r="I58" s="521" t="str">
        <f>IF([3]!embuscade&gt;9,"X","")</f>
        <v>X</v>
      </c>
      <c r="J58" s="3"/>
      <c r="K58" s="343"/>
    </row>
    <row r="59" spans="1:11" ht="13.5" thickBot="1" x14ac:dyDescent="0.35">
      <c r="A59" s="518" t="s">
        <v>1108</v>
      </c>
      <c r="B59" s="303" t="s">
        <v>1053</v>
      </c>
      <c r="C59" s="521" t="str">
        <f>IF([4]!embuscade&gt;19,"X","")</f>
        <v/>
      </c>
      <c r="D59" s="309"/>
      <c r="E59" s="521" t="str">
        <f>IF([1]!embuscade&gt;19,"X","")</f>
        <v>X</v>
      </c>
      <c r="F59" s="309"/>
      <c r="G59" s="521" t="str">
        <f>IF([2]!embuscade&gt;19,"X","")</f>
        <v>X</v>
      </c>
      <c r="H59" s="309"/>
      <c r="I59" s="521" t="str">
        <f>IF([3]!embuscade&gt;19,"X","")</f>
        <v/>
      </c>
      <c r="J59" s="3"/>
      <c r="K59" s="343"/>
    </row>
    <row r="60" spans="1:11" x14ac:dyDescent="0.3">
      <c r="A60" s="324" t="s">
        <v>1109</v>
      </c>
      <c r="B60" s="304" t="s">
        <v>304</v>
      </c>
      <c r="C60" s="521" t="str">
        <f>IF([4]!esquive&gt;9,"X","")</f>
        <v>X</v>
      </c>
      <c r="D60" s="307"/>
      <c r="E60" s="521" t="str">
        <f>IF([1]!esquive&gt;9,"X","")</f>
        <v>X</v>
      </c>
      <c r="F60" s="307"/>
      <c r="G60" s="521" t="str">
        <f>IF([2]!esquive&gt;9,"X","")</f>
        <v>X</v>
      </c>
      <c r="H60" s="307"/>
      <c r="I60" s="521" t="str">
        <f>IF([3]!esquive&gt;9,"X","")</f>
        <v>X</v>
      </c>
      <c r="J60" s="3"/>
      <c r="K60" s="343"/>
    </row>
    <row r="61" spans="1:11" x14ac:dyDescent="0.3">
      <c r="A61" s="330" t="s">
        <v>1110</v>
      </c>
      <c r="B61" s="305" t="s">
        <v>1054</v>
      </c>
      <c r="C61" s="521" t="str">
        <f>IF([4]!esquive&gt;19,"X","")</f>
        <v/>
      </c>
      <c r="D61" s="308"/>
      <c r="E61" s="521" t="str">
        <f>IF([1]!esquive&gt;19,"X","")</f>
        <v>X</v>
      </c>
      <c r="F61" s="308"/>
      <c r="G61" s="521" t="str">
        <f>IF([2]!esquive&gt;19,"X","")</f>
        <v>X</v>
      </c>
      <c r="H61" s="308"/>
      <c r="I61" s="521" t="str">
        <f>IF([3]!esquive&gt;19,"X","")</f>
        <v>X</v>
      </c>
      <c r="J61" s="3"/>
      <c r="K61" s="343"/>
    </row>
    <row r="62" spans="1:11" x14ac:dyDescent="0.3">
      <c r="A62" s="330" t="s">
        <v>1111</v>
      </c>
      <c r="B62" s="305" t="s">
        <v>1055</v>
      </c>
      <c r="C62" s="521" t="str">
        <f>IF([4]!esquive&gt;29,"X","")</f>
        <v/>
      </c>
      <c r="D62" s="308"/>
      <c r="E62" s="521" t="str">
        <f>IF([1]!esquive&gt;29,"X","")</f>
        <v>X</v>
      </c>
      <c r="F62" s="308"/>
      <c r="G62" s="521" t="str">
        <f>IF([2]!esquive&gt;29,"X","")</f>
        <v>X</v>
      </c>
      <c r="H62" s="308"/>
      <c r="I62" s="521" t="str">
        <f>IF([3]!esquive&gt;29,"X","")</f>
        <v>X</v>
      </c>
      <c r="J62" s="3"/>
      <c r="K62" s="343"/>
    </row>
    <row r="63" spans="1:11" ht="13.5" thickBot="1" x14ac:dyDescent="0.35">
      <c r="A63" s="518" t="s">
        <v>1112</v>
      </c>
      <c r="B63" s="303" t="s">
        <v>1056</v>
      </c>
      <c r="C63" s="521" t="str">
        <f>IF([4]!esquive&gt;39,"X","")</f>
        <v/>
      </c>
      <c r="D63" s="309"/>
      <c r="E63" s="521" t="str">
        <f>IF([1]!esquive&gt;39,"X","")</f>
        <v>X</v>
      </c>
      <c r="F63" s="309"/>
      <c r="G63" s="521" t="str">
        <f>IF([2]!esquive&gt;39,"X","")</f>
        <v>X</v>
      </c>
      <c r="H63" s="309"/>
      <c r="I63" s="521" t="str">
        <f>IF([3]!esquive&gt;39,"X","")</f>
        <v>X</v>
      </c>
      <c r="J63" s="3"/>
      <c r="K63" s="343"/>
    </row>
    <row r="64" spans="1:11" ht="13.5" thickBot="1" x14ac:dyDescent="0.35">
      <c r="A64" s="519" t="s">
        <v>1113</v>
      </c>
      <c r="B64" s="306" t="s">
        <v>1057</v>
      </c>
      <c r="C64" s="521" t="str">
        <f>IF([4]!fuite&gt;9,"X","")</f>
        <v/>
      </c>
      <c r="D64" s="310"/>
      <c r="E64" s="521" t="str">
        <f>IF([1]!fuite&gt;9,"X","")</f>
        <v>X</v>
      </c>
      <c r="F64" s="310"/>
      <c r="G64" s="521" t="str">
        <f>IF([2]!fuite&gt;9,"X","")</f>
        <v>X</v>
      </c>
      <c r="H64" s="310"/>
      <c r="I64" s="521" t="str">
        <f>IF([3]!fuite&gt;9,"X","")</f>
        <v>X</v>
      </c>
      <c r="J64" s="3"/>
      <c r="K64" s="343"/>
    </row>
    <row r="65" spans="1:11" x14ac:dyDescent="0.3">
      <c r="A65" s="324" t="s">
        <v>1114</v>
      </c>
      <c r="B65" s="304" t="s">
        <v>1058</v>
      </c>
      <c r="C65" s="521" t="str">
        <f>IF([4]!obéissance&gt;9,"X","")</f>
        <v>X</v>
      </c>
      <c r="D65" s="307"/>
      <c r="E65" s="521" t="str">
        <f>IF([1]!obéissance&gt;9,"X","")</f>
        <v/>
      </c>
      <c r="F65" s="307"/>
      <c r="G65" s="521" t="str">
        <f>IF([2]!obéissance&gt;9,"X","")</f>
        <v>X</v>
      </c>
      <c r="H65" s="307"/>
      <c r="I65" s="521" t="str">
        <f>IF([3]!obéissance&gt;9,"X","")</f>
        <v/>
      </c>
      <c r="J65" s="3"/>
      <c r="K65" s="343"/>
    </row>
    <row r="66" spans="1:11" ht="13.5" thickBot="1" x14ac:dyDescent="0.35">
      <c r="A66" s="518" t="s">
        <v>1115</v>
      </c>
      <c r="B66" s="303" t="s">
        <v>1059</v>
      </c>
      <c r="C66" s="521" t="str">
        <f>IF([4]!obéissance&gt;19,"X","")</f>
        <v>X</v>
      </c>
      <c r="D66" s="309"/>
      <c r="E66" s="521" t="str">
        <f>IF([1]!obéissance&gt;19,"X","")</f>
        <v/>
      </c>
      <c r="F66" s="309"/>
      <c r="G66" s="521" t="str">
        <f>IF([2]!obéissance&gt;19,"X","")</f>
        <v/>
      </c>
      <c r="H66" s="309"/>
      <c r="I66" s="521" t="str">
        <f>IF([3]!obéissance&gt;19,"X","")</f>
        <v/>
      </c>
      <c r="J66" s="3"/>
      <c r="K66" s="343"/>
    </row>
    <row r="67" spans="1:11" ht="13.5" thickBot="1" x14ac:dyDescent="0.35">
      <c r="A67" s="519" t="s">
        <v>1116</v>
      </c>
      <c r="B67" s="306" t="s">
        <v>1060</v>
      </c>
      <c r="C67" s="521" t="str">
        <f>IF([4]!réaction&gt;19,"X","")</f>
        <v>X</v>
      </c>
      <c r="D67" s="310"/>
      <c r="E67" s="521" t="str">
        <f>IF([1]!réaction&gt;19,"X","")</f>
        <v>X</v>
      </c>
      <c r="F67" s="310"/>
      <c r="G67" s="521" t="str">
        <f>IF([2]!réaction&gt;19,"X","")</f>
        <v>X</v>
      </c>
      <c r="H67" s="310"/>
      <c r="I67" s="521" t="str">
        <f>IF([3]!réaction&gt;19,"X","")</f>
        <v>X</v>
      </c>
      <c r="J67" s="3"/>
      <c r="K67" s="343"/>
    </row>
    <row r="68" spans="1:11" x14ac:dyDescent="0.3">
      <c r="A68" s="324" t="s">
        <v>1117</v>
      </c>
      <c r="B68" s="304" t="s">
        <v>1061</v>
      </c>
      <c r="C68" s="521" t="str">
        <f>IF([4]!vitesse&gt;19,"X","")</f>
        <v/>
      </c>
      <c r="D68" s="307"/>
      <c r="E68" s="521" t="str">
        <f>IF([1]!vitesse&gt;19,"X","")</f>
        <v>X</v>
      </c>
      <c r="F68" s="307"/>
      <c r="G68" s="521" t="str">
        <f>IF([2]!vitesse&gt;19,"X","")</f>
        <v>X</v>
      </c>
      <c r="H68" s="307"/>
      <c r="I68" s="521" t="str">
        <f>IF([3]!vitesse&gt;19,"X","")</f>
        <v/>
      </c>
      <c r="J68" s="3"/>
      <c r="K68" s="343"/>
    </row>
    <row r="69" spans="1:11" ht="13.5" thickBot="1" x14ac:dyDescent="0.35">
      <c r="A69" s="518" t="s">
        <v>1118</v>
      </c>
      <c r="B69" s="303" t="s">
        <v>1062</v>
      </c>
      <c r="C69" s="522" t="str">
        <f>IF([4]!vitesse&gt;9,"X","")</f>
        <v/>
      </c>
      <c r="D69" s="309"/>
      <c r="E69" s="522" t="str">
        <f>IF([1]!vitesse&gt;9,"X","")</f>
        <v>X</v>
      </c>
      <c r="F69" s="309"/>
      <c r="G69" s="522" t="str">
        <f>IF([2]!vitesse&gt;9,"X","")</f>
        <v>X</v>
      </c>
      <c r="H69" s="309"/>
      <c r="I69" s="522" t="str">
        <f>IF([3]!vitesse&gt;9,"X","")</f>
        <v>X</v>
      </c>
      <c r="J69" s="3"/>
      <c r="K69" s="343"/>
    </row>
    <row r="70" spans="1:11" x14ac:dyDescent="0.3">
      <c r="J70" s="343"/>
      <c r="K70" s="343"/>
    </row>
  </sheetData>
  <phoneticPr fontId="0" type="noConversion"/>
  <conditionalFormatting sqref="J44:J69">
    <cfRule type="cellIs" dxfId="9" priority="26" operator="equal">
      <formula>"X"</formula>
    </cfRule>
  </conditionalFormatting>
  <conditionalFormatting sqref="J44">
    <cfRule type="containsText" dxfId="8" priority="27" operator="containsText" text="X">
      <formula>NOT(ISERROR(SEARCH("X",J44)))</formula>
    </cfRule>
  </conditionalFormatting>
  <conditionalFormatting sqref="C44:C69">
    <cfRule type="cellIs" dxfId="7" priority="20" operator="equal">
      <formula>"X"</formula>
    </cfRule>
  </conditionalFormatting>
  <conditionalFormatting sqref="C44:C46">
    <cfRule type="containsText" dxfId="6" priority="21" operator="containsText" text="X">
      <formula>NOT(ISERROR(SEARCH("X",C44)))</formula>
    </cfRule>
  </conditionalFormatting>
  <conditionalFormatting sqref="G44:G69">
    <cfRule type="cellIs" dxfId="5" priority="5" operator="equal">
      <formula>"X"</formula>
    </cfRule>
  </conditionalFormatting>
  <conditionalFormatting sqref="G44:G46">
    <cfRule type="containsText" dxfId="4" priority="6" operator="containsText" text="X">
      <formula>NOT(ISERROR(SEARCH("X",G44)))</formula>
    </cfRule>
  </conditionalFormatting>
  <conditionalFormatting sqref="E44:E69">
    <cfRule type="cellIs" dxfId="3" priority="7" operator="equal">
      <formula>"X"</formula>
    </cfRule>
  </conditionalFormatting>
  <conditionalFormatting sqref="E44:E46">
    <cfRule type="containsText" dxfId="2" priority="8" operator="containsText" text="X">
      <formula>NOT(ISERROR(SEARCH("X",E44)))</formula>
    </cfRule>
  </conditionalFormatting>
  <conditionalFormatting sqref="I44:I69">
    <cfRule type="cellIs" dxfId="1" priority="1" operator="equal">
      <formula>"X"</formula>
    </cfRule>
  </conditionalFormatting>
  <conditionalFormatting sqref="I44:I46">
    <cfRule type="containsText" dxfId="0" priority="2" operator="containsText" text="X">
      <formula>NOT(ISERROR(SEARCH("X",I44)))</formula>
    </cfRule>
  </conditionalFormatting>
  <pageMargins left="0.25" right="0.25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="160" zoomScaleNormal="160" workbookViewId="0">
      <selection activeCell="D49" sqref="D49:N66"/>
    </sheetView>
  </sheetViews>
  <sheetFormatPr baseColWidth="10" defaultColWidth="9.08984375" defaultRowHeight="10.25" customHeight="1" x14ac:dyDescent="0.25"/>
  <cols>
    <col min="1" max="1" width="13.54296875" style="23" bestFit="1" customWidth="1"/>
    <col min="2" max="2" width="3.6328125" style="54" bestFit="1" customWidth="1"/>
    <col min="3" max="3" width="8" style="291" customWidth="1"/>
    <col min="4" max="4" width="14.08984375" bestFit="1" customWidth="1"/>
    <col min="5" max="5" width="3" style="5" bestFit="1" customWidth="1"/>
    <col min="6" max="6" width="5.08984375" style="293" bestFit="1" customWidth="1"/>
    <col min="7" max="7" width="13.6328125" bestFit="1" customWidth="1"/>
    <col min="8" max="8" width="3" style="5" bestFit="1" customWidth="1"/>
    <col min="9" max="9" width="5.08984375" style="293" bestFit="1" customWidth="1"/>
    <col min="10" max="10" width="11.6328125" bestFit="1" customWidth="1"/>
    <col min="11" max="11" width="3" style="5" bestFit="1" customWidth="1"/>
    <col min="12" max="12" width="5.08984375" style="293" bestFit="1" customWidth="1"/>
    <col min="13" max="13" width="15.6328125" bestFit="1" customWidth="1"/>
    <col min="14" max="14" width="3" style="5" bestFit="1" customWidth="1"/>
    <col min="15" max="15" width="5.08984375" style="293" bestFit="1" customWidth="1"/>
  </cols>
  <sheetData>
    <row r="1" spans="1:15" ht="10.25" customHeight="1" x14ac:dyDescent="0.25">
      <c r="A1" s="7" t="s">
        <v>317</v>
      </c>
      <c r="B1" s="8" t="s">
        <v>318</v>
      </c>
      <c r="C1" s="7" t="s">
        <v>1137</v>
      </c>
      <c r="D1" s="7" t="s">
        <v>317</v>
      </c>
      <c r="E1" s="8" t="s">
        <v>318</v>
      </c>
      <c r="F1" s="7" t="s">
        <v>1137</v>
      </c>
      <c r="G1" s="7" t="s">
        <v>317</v>
      </c>
      <c r="H1" s="8" t="s">
        <v>318</v>
      </c>
      <c r="I1" s="7" t="s">
        <v>1137</v>
      </c>
      <c r="J1" s="7" t="s">
        <v>317</v>
      </c>
      <c r="K1" s="8" t="s">
        <v>318</v>
      </c>
      <c r="L1" s="7" t="s">
        <v>1137</v>
      </c>
      <c r="M1" s="7" t="s">
        <v>317</v>
      </c>
      <c r="N1" s="8" t="s">
        <v>318</v>
      </c>
      <c r="O1" s="7" t="s">
        <v>1137</v>
      </c>
    </row>
    <row r="2" spans="1:15" ht="10.25" customHeight="1" x14ac:dyDescent="0.25">
      <c r="A2" s="9" t="s">
        <v>931</v>
      </c>
      <c r="B2" s="10">
        <v>5</v>
      </c>
      <c r="C2" s="311"/>
      <c r="D2" s="21" t="s">
        <v>947</v>
      </c>
      <c r="E2" s="22">
        <v>11</v>
      </c>
      <c r="F2" s="311"/>
      <c r="G2" s="17" t="s">
        <v>376</v>
      </c>
      <c r="H2" s="18">
        <v>13</v>
      </c>
      <c r="I2" s="311"/>
      <c r="J2" s="15" t="s">
        <v>408</v>
      </c>
      <c r="K2" s="16">
        <v>12</v>
      </c>
      <c r="L2" s="311"/>
      <c r="M2" s="11" t="s">
        <v>977</v>
      </c>
      <c r="N2" s="12">
        <v>4</v>
      </c>
      <c r="O2" s="311"/>
    </row>
    <row r="3" spans="1:15" ht="10.25" customHeight="1" x14ac:dyDescent="0.25">
      <c r="A3" s="11" t="s">
        <v>932</v>
      </c>
      <c r="B3" s="12">
        <v>14</v>
      </c>
      <c r="C3" s="311"/>
      <c r="D3" s="11" t="s">
        <v>343</v>
      </c>
      <c r="E3" s="12">
        <v>15</v>
      </c>
      <c r="F3" s="311"/>
      <c r="G3" s="13" t="s">
        <v>377</v>
      </c>
      <c r="H3" s="14">
        <v>8</v>
      </c>
      <c r="I3" s="311"/>
      <c r="J3" s="11" t="s">
        <v>962</v>
      </c>
      <c r="K3" s="12">
        <v>7</v>
      </c>
      <c r="L3" s="311"/>
      <c r="M3" s="11" t="s">
        <v>433</v>
      </c>
      <c r="N3" s="12">
        <v>14</v>
      </c>
      <c r="O3" s="311"/>
    </row>
    <row r="4" spans="1:15" ht="10.25" customHeight="1" x14ac:dyDescent="0.25">
      <c r="A4" s="13" t="s">
        <v>933</v>
      </c>
      <c r="B4" s="14">
        <v>17</v>
      </c>
      <c r="C4" s="311"/>
      <c r="D4" s="19" t="s">
        <v>344</v>
      </c>
      <c r="E4" s="20">
        <v>8</v>
      </c>
      <c r="F4" s="311"/>
      <c r="G4" s="17" t="s">
        <v>378</v>
      </c>
      <c r="H4" s="18">
        <v>7</v>
      </c>
      <c r="I4" s="311"/>
      <c r="J4" s="11" t="s">
        <v>409</v>
      </c>
      <c r="K4" s="12">
        <v>9</v>
      </c>
      <c r="L4" s="311"/>
      <c r="M4" s="15" t="s">
        <v>434</v>
      </c>
      <c r="N4" s="16">
        <v>15</v>
      </c>
      <c r="O4" s="311"/>
    </row>
    <row r="5" spans="1:15" ht="10.25" customHeight="1" x14ac:dyDescent="0.25">
      <c r="A5" s="15" t="s">
        <v>934</v>
      </c>
      <c r="B5" s="16">
        <v>10</v>
      </c>
      <c r="C5" s="311"/>
      <c r="D5" s="19" t="s">
        <v>345</v>
      </c>
      <c r="E5" s="20">
        <v>14</v>
      </c>
      <c r="F5" s="311"/>
      <c r="G5" s="21" t="s">
        <v>379</v>
      </c>
      <c r="H5" s="22">
        <v>11</v>
      </c>
      <c r="I5" s="311"/>
      <c r="J5" s="11" t="s">
        <v>963</v>
      </c>
      <c r="K5" s="12">
        <v>10</v>
      </c>
      <c r="L5" s="311"/>
      <c r="M5" s="15" t="s">
        <v>435</v>
      </c>
      <c r="N5" s="16">
        <v>13</v>
      </c>
      <c r="O5" s="311"/>
    </row>
    <row r="6" spans="1:15" ht="10.25" customHeight="1" x14ac:dyDescent="0.25">
      <c r="A6" s="17" t="s">
        <v>319</v>
      </c>
      <c r="B6" s="18">
        <v>24</v>
      </c>
      <c r="C6" s="311"/>
      <c r="D6" s="17" t="s">
        <v>346</v>
      </c>
      <c r="E6" s="18">
        <v>10</v>
      </c>
      <c r="F6" s="311"/>
      <c r="G6" s="19" t="s">
        <v>380</v>
      </c>
      <c r="H6" s="20">
        <v>19</v>
      </c>
      <c r="I6" s="311"/>
      <c r="J6" s="9" t="s">
        <v>964</v>
      </c>
      <c r="K6" s="10">
        <v>5</v>
      </c>
      <c r="L6" s="311"/>
      <c r="M6" s="11" t="s">
        <v>436</v>
      </c>
      <c r="N6" s="12">
        <v>11</v>
      </c>
      <c r="O6" s="311"/>
    </row>
    <row r="7" spans="1:15" ht="10.25" customHeight="1" x14ac:dyDescent="0.25">
      <c r="A7" s="9" t="s">
        <v>935</v>
      </c>
      <c r="B7" s="10">
        <v>3</v>
      </c>
      <c r="C7" s="311"/>
      <c r="D7" s="15" t="s">
        <v>347</v>
      </c>
      <c r="E7" s="16">
        <v>7</v>
      </c>
      <c r="F7" s="311"/>
      <c r="G7" s="11" t="s">
        <v>381</v>
      </c>
      <c r="H7" s="12">
        <v>12</v>
      </c>
      <c r="I7" s="311"/>
      <c r="J7" s="11" t="s">
        <v>965</v>
      </c>
      <c r="K7" s="12">
        <v>13</v>
      </c>
      <c r="L7" s="311"/>
      <c r="M7" s="13" t="s">
        <v>978</v>
      </c>
      <c r="N7" s="14">
        <v>8</v>
      </c>
      <c r="O7" s="311"/>
    </row>
    <row r="8" spans="1:15" ht="10.25" customHeight="1" x14ac:dyDescent="0.25">
      <c r="A8" s="15" t="s">
        <v>936</v>
      </c>
      <c r="B8" s="16">
        <v>6</v>
      </c>
      <c r="C8" s="311"/>
      <c r="D8" s="17" t="s">
        <v>948</v>
      </c>
      <c r="E8" s="18">
        <v>13</v>
      </c>
      <c r="F8" s="311"/>
      <c r="G8" s="15" t="s">
        <v>382</v>
      </c>
      <c r="H8" s="16">
        <v>11</v>
      </c>
      <c r="I8" s="311"/>
      <c r="J8" s="9" t="s">
        <v>966</v>
      </c>
      <c r="K8" s="10">
        <v>6</v>
      </c>
      <c r="L8" s="311"/>
      <c r="M8" s="11" t="s">
        <v>437</v>
      </c>
      <c r="N8" s="12">
        <v>9</v>
      </c>
      <c r="O8" s="311"/>
    </row>
    <row r="9" spans="1:15" ht="10.25" customHeight="1" x14ac:dyDescent="0.25">
      <c r="A9" s="19" t="s">
        <v>937</v>
      </c>
      <c r="B9" s="20">
        <v>14</v>
      </c>
      <c r="C9" s="311"/>
      <c r="D9" s="11" t="s">
        <v>949</v>
      </c>
      <c r="E9" s="12">
        <v>11</v>
      </c>
      <c r="F9" s="311"/>
      <c r="G9" s="13" t="s">
        <v>383</v>
      </c>
      <c r="H9" s="14">
        <v>14</v>
      </c>
      <c r="I9" s="311"/>
      <c r="J9" s="11" t="s">
        <v>967</v>
      </c>
      <c r="K9" s="12">
        <v>6</v>
      </c>
      <c r="L9" s="311"/>
      <c r="M9" s="9" t="s">
        <v>438</v>
      </c>
      <c r="N9" s="10">
        <v>3</v>
      </c>
      <c r="O9" s="311"/>
    </row>
    <row r="10" spans="1:15" ht="10.25" customHeight="1" x14ac:dyDescent="0.25">
      <c r="A10" s="19" t="s">
        <v>320</v>
      </c>
      <c r="B10" s="20">
        <v>19</v>
      </c>
      <c r="C10" s="311"/>
      <c r="D10" s="9" t="s">
        <v>950</v>
      </c>
      <c r="E10" s="10">
        <v>2</v>
      </c>
      <c r="F10" s="311"/>
      <c r="G10" s="15" t="s">
        <v>384</v>
      </c>
      <c r="H10" s="16">
        <v>13</v>
      </c>
      <c r="I10" s="311"/>
      <c r="J10" s="9" t="s">
        <v>968</v>
      </c>
      <c r="K10" s="10">
        <v>4</v>
      </c>
      <c r="L10" s="311"/>
      <c r="M10" s="15" t="s">
        <v>439</v>
      </c>
      <c r="N10" s="16">
        <v>7</v>
      </c>
      <c r="O10" s="311"/>
    </row>
    <row r="11" spans="1:15" ht="10.25" customHeight="1" x14ac:dyDescent="0.25">
      <c r="A11" s="19" t="s">
        <v>321</v>
      </c>
      <c r="B11" s="20">
        <v>22</v>
      </c>
      <c r="C11" s="311"/>
      <c r="D11" s="17" t="s">
        <v>951</v>
      </c>
      <c r="E11" s="18">
        <v>11</v>
      </c>
      <c r="F11" s="311"/>
      <c r="G11" s="15" t="s">
        <v>385</v>
      </c>
      <c r="H11" s="16">
        <v>8</v>
      </c>
      <c r="I11" s="311"/>
      <c r="J11" s="15" t="s">
        <v>410</v>
      </c>
      <c r="K11" s="16">
        <v>9</v>
      </c>
      <c r="L11" s="311"/>
      <c r="M11" s="17" t="s">
        <v>440</v>
      </c>
      <c r="N11" s="18">
        <v>15</v>
      </c>
      <c r="O11" s="311"/>
    </row>
    <row r="12" spans="1:15" ht="10.25" customHeight="1" x14ac:dyDescent="0.25">
      <c r="A12" s="19" t="s">
        <v>322</v>
      </c>
      <c r="B12" s="20">
        <v>17</v>
      </c>
      <c r="C12" s="311"/>
      <c r="D12" s="11" t="s">
        <v>348</v>
      </c>
      <c r="E12" s="12">
        <v>13</v>
      </c>
      <c r="F12" s="311"/>
      <c r="G12" s="17" t="s">
        <v>386</v>
      </c>
      <c r="H12" s="18">
        <v>10</v>
      </c>
      <c r="I12" s="311"/>
      <c r="J12" s="21" t="s">
        <v>411</v>
      </c>
      <c r="K12" s="22">
        <v>7</v>
      </c>
      <c r="L12" s="311"/>
      <c r="M12" s="21" t="s">
        <v>441</v>
      </c>
      <c r="N12" s="22">
        <v>12</v>
      </c>
      <c r="O12" s="311"/>
    </row>
    <row r="13" spans="1:15" ht="10.25" customHeight="1" x14ac:dyDescent="0.25">
      <c r="A13" s="9" t="s">
        <v>938</v>
      </c>
      <c r="B13" s="10">
        <v>2</v>
      </c>
      <c r="C13" s="311"/>
      <c r="D13" s="11" t="s">
        <v>349</v>
      </c>
      <c r="E13" s="12">
        <v>8</v>
      </c>
      <c r="F13" s="311"/>
      <c r="G13" s="21" t="s">
        <v>387</v>
      </c>
      <c r="H13" s="22">
        <v>5</v>
      </c>
      <c r="I13" s="311"/>
      <c r="J13" s="19" t="s">
        <v>412</v>
      </c>
      <c r="K13" s="20">
        <v>25</v>
      </c>
      <c r="L13" s="311"/>
      <c r="M13" s="9" t="s">
        <v>979</v>
      </c>
      <c r="N13" s="10">
        <v>4</v>
      </c>
      <c r="O13" s="311"/>
    </row>
    <row r="14" spans="1:15" ht="10.25" customHeight="1" x14ac:dyDescent="0.25">
      <c r="A14" s="21" t="s">
        <v>323</v>
      </c>
      <c r="B14" s="22">
        <v>9</v>
      </c>
      <c r="C14" s="311"/>
      <c r="D14" s="11" t="s">
        <v>350</v>
      </c>
      <c r="E14" s="12">
        <v>5</v>
      </c>
      <c r="F14" s="311"/>
      <c r="G14" s="15" t="s">
        <v>388</v>
      </c>
      <c r="H14" s="16">
        <v>7</v>
      </c>
      <c r="I14" s="311"/>
      <c r="J14" s="17" t="s">
        <v>969</v>
      </c>
      <c r="K14" s="18">
        <v>3</v>
      </c>
      <c r="L14" s="311"/>
      <c r="M14" s="11" t="s">
        <v>442</v>
      </c>
      <c r="N14" s="12">
        <v>11</v>
      </c>
      <c r="O14" s="311"/>
    </row>
    <row r="15" spans="1:15" ht="10.25" customHeight="1" x14ac:dyDescent="0.25">
      <c r="A15" s="21" t="s">
        <v>324</v>
      </c>
      <c r="B15" s="22">
        <v>14</v>
      </c>
      <c r="C15" s="311"/>
      <c r="D15" s="11" t="s">
        <v>351</v>
      </c>
      <c r="E15" s="12">
        <v>12</v>
      </c>
      <c r="F15" s="311"/>
      <c r="G15" s="17" t="s">
        <v>389</v>
      </c>
      <c r="H15" s="18">
        <v>9</v>
      </c>
      <c r="I15" s="311"/>
      <c r="J15" s="17" t="s">
        <v>970</v>
      </c>
      <c r="K15" s="18">
        <v>7</v>
      </c>
      <c r="L15" s="311"/>
      <c r="M15" s="17" t="s">
        <v>443</v>
      </c>
      <c r="N15" s="18">
        <v>3</v>
      </c>
      <c r="O15" s="311"/>
    </row>
    <row r="16" spans="1:15" ht="10.25" customHeight="1" x14ac:dyDescent="0.25">
      <c r="A16" s="11" t="s">
        <v>325</v>
      </c>
      <c r="B16" s="12">
        <v>10</v>
      </c>
      <c r="C16" s="311"/>
      <c r="D16" s="11" t="s">
        <v>352</v>
      </c>
      <c r="E16" s="12">
        <v>12</v>
      </c>
      <c r="F16" s="311"/>
      <c r="G16" s="17" t="s">
        <v>390</v>
      </c>
      <c r="H16" s="18">
        <v>13</v>
      </c>
      <c r="I16" s="311"/>
      <c r="J16" s="21" t="s">
        <v>413</v>
      </c>
      <c r="K16" s="22">
        <v>23</v>
      </c>
      <c r="L16" s="311"/>
      <c r="M16" s="17" t="s">
        <v>444</v>
      </c>
      <c r="N16" s="18">
        <v>9</v>
      </c>
      <c r="O16" s="311"/>
    </row>
    <row r="17" spans="1:15" ht="10.25" customHeight="1" x14ac:dyDescent="0.25">
      <c r="A17" s="11" t="s">
        <v>326</v>
      </c>
      <c r="B17" s="12">
        <v>11</v>
      </c>
      <c r="C17" s="311"/>
      <c r="D17" s="11" t="s">
        <v>353</v>
      </c>
      <c r="E17" s="12">
        <v>14</v>
      </c>
      <c r="F17" s="311"/>
      <c r="G17" s="17" t="s">
        <v>391</v>
      </c>
      <c r="H17" s="18">
        <v>20</v>
      </c>
      <c r="I17" s="311"/>
      <c r="J17" s="15" t="s">
        <v>414</v>
      </c>
      <c r="K17" s="16">
        <v>14</v>
      </c>
      <c r="L17" s="311"/>
      <c r="M17" s="17" t="s">
        <v>445</v>
      </c>
      <c r="N17" s="18">
        <v>17</v>
      </c>
      <c r="O17" s="311"/>
    </row>
    <row r="18" spans="1:15" ht="10.25" customHeight="1" x14ac:dyDescent="0.25">
      <c r="A18" s="19" t="s">
        <v>327</v>
      </c>
      <c r="B18" s="20">
        <v>7</v>
      </c>
      <c r="C18" s="311"/>
      <c r="D18" s="11" t="s">
        <v>354</v>
      </c>
      <c r="E18" s="12">
        <v>8</v>
      </c>
      <c r="F18" s="311"/>
      <c r="G18" s="17" t="s">
        <v>392</v>
      </c>
      <c r="H18" s="18">
        <v>10</v>
      </c>
      <c r="I18" s="311"/>
      <c r="J18" s="11" t="s">
        <v>415</v>
      </c>
      <c r="K18" s="12">
        <v>9</v>
      </c>
      <c r="L18" s="311"/>
      <c r="M18" s="11" t="s">
        <v>446</v>
      </c>
      <c r="N18" s="12">
        <v>27</v>
      </c>
      <c r="O18" s="311"/>
    </row>
    <row r="19" spans="1:15" ht="10.25" customHeight="1" x14ac:dyDescent="0.25">
      <c r="A19" s="19" t="s">
        <v>328</v>
      </c>
      <c r="B19" s="20">
        <v>8</v>
      </c>
      <c r="C19" s="311"/>
      <c r="D19" s="11" t="s">
        <v>355</v>
      </c>
      <c r="E19" s="12">
        <v>17</v>
      </c>
      <c r="F19" s="311"/>
      <c r="G19" s="17" t="s">
        <v>393</v>
      </c>
      <c r="H19" s="18">
        <v>14</v>
      </c>
      <c r="I19" s="311"/>
      <c r="J19" s="17" t="s">
        <v>416</v>
      </c>
      <c r="K19" s="18">
        <v>4</v>
      </c>
      <c r="L19" s="311"/>
      <c r="M19" s="15" t="s">
        <v>447</v>
      </c>
      <c r="N19" s="16">
        <v>14</v>
      </c>
      <c r="O19" s="311"/>
    </row>
    <row r="20" spans="1:15" ht="10.25" customHeight="1" x14ac:dyDescent="0.25">
      <c r="A20" s="19" t="s">
        <v>329</v>
      </c>
      <c r="B20" s="20">
        <v>7</v>
      </c>
      <c r="C20" s="311"/>
      <c r="D20" s="11" t="s">
        <v>356</v>
      </c>
      <c r="E20" s="12">
        <v>9</v>
      </c>
      <c r="F20" s="311"/>
      <c r="G20" s="11" t="s">
        <v>954</v>
      </c>
      <c r="H20" s="12">
        <v>5</v>
      </c>
      <c r="I20" s="311"/>
      <c r="J20" s="11" t="s">
        <v>417</v>
      </c>
      <c r="K20" s="12">
        <v>5</v>
      </c>
      <c r="L20" s="311"/>
      <c r="M20" s="13" t="s">
        <v>448</v>
      </c>
      <c r="N20" s="14">
        <v>11</v>
      </c>
      <c r="O20" s="311"/>
    </row>
    <row r="21" spans="1:15" ht="10.25" customHeight="1" x14ac:dyDescent="0.25">
      <c r="A21" s="9" t="s">
        <v>939</v>
      </c>
      <c r="B21" s="10">
        <v>4</v>
      </c>
      <c r="C21" s="311"/>
      <c r="D21" s="11" t="s">
        <v>357</v>
      </c>
      <c r="E21" s="12">
        <v>16</v>
      </c>
      <c r="F21" s="311"/>
      <c r="G21" s="11" t="s">
        <v>955</v>
      </c>
      <c r="H21" s="12">
        <v>6</v>
      </c>
      <c r="I21" s="311"/>
      <c r="J21" s="17" t="s">
        <v>418</v>
      </c>
      <c r="K21" s="18">
        <v>8</v>
      </c>
      <c r="L21" s="311"/>
      <c r="M21" s="17" t="s">
        <v>449</v>
      </c>
      <c r="N21" s="18">
        <v>7</v>
      </c>
      <c r="O21" s="311"/>
    </row>
    <row r="22" spans="1:15" ht="10.25" customHeight="1" x14ac:dyDescent="0.25">
      <c r="A22" s="9" t="s">
        <v>940</v>
      </c>
      <c r="B22" s="10">
        <v>4</v>
      </c>
      <c r="C22" s="311"/>
      <c r="D22" s="11" t="s">
        <v>358</v>
      </c>
      <c r="E22" s="12">
        <v>12</v>
      </c>
      <c r="F22" s="311"/>
      <c r="G22" s="9" t="s">
        <v>956</v>
      </c>
      <c r="H22" s="10">
        <v>8</v>
      </c>
      <c r="I22" s="311"/>
      <c r="J22" s="21" t="s">
        <v>419</v>
      </c>
      <c r="K22" s="22">
        <v>17</v>
      </c>
      <c r="L22" s="311"/>
      <c r="M22" s="17" t="s">
        <v>450</v>
      </c>
      <c r="N22" s="18">
        <v>7</v>
      </c>
      <c r="O22" s="311"/>
    </row>
    <row r="23" spans="1:15" ht="10.25" customHeight="1" x14ac:dyDescent="0.25">
      <c r="A23" s="15" t="s">
        <v>941</v>
      </c>
      <c r="B23" s="16">
        <v>8</v>
      </c>
      <c r="C23" s="311"/>
      <c r="D23" s="19" t="s">
        <v>359</v>
      </c>
      <c r="E23" s="20">
        <v>11</v>
      </c>
      <c r="F23" s="311"/>
      <c r="G23" s="11" t="s">
        <v>394</v>
      </c>
      <c r="H23" s="12">
        <v>2</v>
      </c>
      <c r="I23" s="311"/>
      <c r="J23" s="19" t="s">
        <v>420</v>
      </c>
      <c r="K23" s="20">
        <v>8</v>
      </c>
      <c r="L23" s="311"/>
      <c r="M23" s="13" t="s">
        <v>451</v>
      </c>
      <c r="N23" s="14">
        <v>8</v>
      </c>
      <c r="O23" s="311"/>
    </row>
    <row r="24" spans="1:15" ht="10.25" customHeight="1" x14ac:dyDescent="0.25">
      <c r="A24" s="15" t="s">
        <v>942</v>
      </c>
      <c r="B24" s="16">
        <v>7</v>
      </c>
      <c r="C24" s="311"/>
      <c r="D24" s="9" t="s">
        <v>952</v>
      </c>
      <c r="E24" s="10">
        <v>30</v>
      </c>
      <c r="F24" s="311"/>
      <c r="G24" s="15" t="s">
        <v>395</v>
      </c>
      <c r="H24" s="16">
        <v>6</v>
      </c>
      <c r="I24" s="311"/>
      <c r="J24" s="15" t="s">
        <v>421</v>
      </c>
      <c r="K24" s="16">
        <v>12</v>
      </c>
      <c r="L24" s="311"/>
      <c r="M24" s="9" t="s">
        <v>452</v>
      </c>
      <c r="N24" s="10">
        <v>7</v>
      </c>
      <c r="O24" s="311"/>
    </row>
    <row r="25" spans="1:15" ht="10.25" customHeight="1" x14ac:dyDescent="0.25">
      <c r="A25" s="15" t="s">
        <v>330</v>
      </c>
      <c r="B25" s="16">
        <v>7</v>
      </c>
      <c r="C25" s="311"/>
      <c r="D25" s="17" t="s">
        <v>360</v>
      </c>
      <c r="E25" s="18">
        <v>7</v>
      </c>
      <c r="F25" s="311"/>
      <c r="G25" s="19" t="s">
        <v>396</v>
      </c>
      <c r="H25" s="20">
        <v>10</v>
      </c>
      <c r="I25" s="311"/>
      <c r="J25" s="9" t="s">
        <v>971</v>
      </c>
      <c r="K25" s="10">
        <v>3</v>
      </c>
      <c r="L25" s="311"/>
      <c r="M25" s="19" t="s">
        <v>453</v>
      </c>
      <c r="N25" s="20">
        <v>18</v>
      </c>
      <c r="O25" s="311"/>
    </row>
    <row r="26" spans="1:15" ht="10.25" customHeight="1" x14ac:dyDescent="0.25">
      <c r="A26" s="9" t="s">
        <v>331</v>
      </c>
      <c r="B26" s="10">
        <v>3</v>
      </c>
      <c r="C26" s="311"/>
      <c r="D26" s="15" t="s">
        <v>361</v>
      </c>
      <c r="E26" s="16">
        <v>12</v>
      </c>
      <c r="F26" s="311"/>
      <c r="G26" s="11" t="s">
        <v>397</v>
      </c>
      <c r="H26" s="12">
        <v>6</v>
      </c>
      <c r="I26" s="311"/>
      <c r="J26" s="21" t="s">
        <v>422</v>
      </c>
      <c r="K26" s="22">
        <v>11</v>
      </c>
      <c r="L26" s="311"/>
      <c r="M26" s="19" t="s">
        <v>454</v>
      </c>
      <c r="N26" s="20">
        <v>11</v>
      </c>
      <c r="O26" s="311"/>
    </row>
    <row r="27" spans="1:15" ht="10.25" customHeight="1" x14ac:dyDescent="0.25">
      <c r="A27" s="19" t="s">
        <v>332</v>
      </c>
      <c r="B27" s="20">
        <v>11</v>
      </c>
      <c r="C27" s="311"/>
      <c r="D27" s="21" t="s">
        <v>362</v>
      </c>
      <c r="E27" s="22">
        <v>14</v>
      </c>
      <c r="F27" s="311"/>
      <c r="G27" s="19" t="s">
        <v>398</v>
      </c>
      <c r="H27" s="20">
        <v>8</v>
      </c>
      <c r="I27" s="311"/>
      <c r="J27" s="15" t="s">
        <v>423</v>
      </c>
      <c r="K27" s="16">
        <v>8</v>
      </c>
      <c r="L27" s="311"/>
      <c r="M27" s="15" t="s">
        <v>455</v>
      </c>
      <c r="N27" s="16">
        <v>11</v>
      </c>
      <c r="O27" s="311"/>
    </row>
    <row r="28" spans="1:15" ht="10.25" customHeight="1" x14ac:dyDescent="0.25">
      <c r="A28" s="9" t="s">
        <v>943</v>
      </c>
      <c r="B28" s="10">
        <v>3</v>
      </c>
      <c r="C28" s="311"/>
      <c r="D28" s="19" t="s">
        <v>363</v>
      </c>
      <c r="E28" s="20">
        <v>14</v>
      </c>
      <c r="F28" s="311"/>
      <c r="G28" s="11" t="s">
        <v>399</v>
      </c>
      <c r="H28" s="12">
        <v>6</v>
      </c>
      <c r="I28" s="311"/>
      <c r="J28" s="17" t="s">
        <v>424</v>
      </c>
      <c r="K28" s="18">
        <v>12</v>
      </c>
      <c r="L28" s="311"/>
      <c r="M28" s="15" t="s">
        <v>456</v>
      </c>
      <c r="N28" s="16">
        <v>9</v>
      </c>
      <c r="O28" s="311"/>
    </row>
    <row r="29" spans="1:15" ht="10.25" customHeight="1" x14ac:dyDescent="0.25">
      <c r="A29" s="11" t="s">
        <v>333</v>
      </c>
      <c r="B29" s="12">
        <v>3</v>
      </c>
      <c r="C29" s="311"/>
      <c r="D29" s="9" t="s">
        <v>364</v>
      </c>
      <c r="E29" s="10">
        <v>4</v>
      </c>
      <c r="F29" s="311"/>
      <c r="G29" s="9" t="s">
        <v>400</v>
      </c>
      <c r="H29" s="10">
        <v>8</v>
      </c>
      <c r="I29" s="311"/>
      <c r="J29" s="17" t="s">
        <v>972</v>
      </c>
      <c r="K29" s="18">
        <v>7</v>
      </c>
      <c r="L29" s="311"/>
      <c r="M29" s="11" t="s">
        <v>457</v>
      </c>
      <c r="N29" s="12">
        <v>15</v>
      </c>
      <c r="O29" s="311"/>
    </row>
    <row r="30" spans="1:15" ht="10.25" customHeight="1" x14ac:dyDescent="0.25">
      <c r="A30" s="9" t="s">
        <v>944</v>
      </c>
      <c r="B30" s="10">
        <v>3</v>
      </c>
      <c r="C30" s="311"/>
      <c r="D30" s="11" t="s">
        <v>953</v>
      </c>
      <c r="E30" s="12">
        <v>5</v>
      </c>
      <c r="F30" s="311"/>
      <c r="G30" s="17" t="s">
        <v>957</v>
      </c>
      <c r="H30" s="18">
        <v>14</v>
      </c>
      <c r="I30" s="311"/>
      <c r="J30" s="11" t="s">
        <v>425</v>
      </c>
      <c r="K30" s="12">
        <v>4</v>
      </c>
      <c r="L30" s="311"/>
      <c r="M30" s="21" t="s">
        <v>458</v>
      </c>
      <c r="N30" s="22">
        <v>9</v>
      </c>
      <c r="O30" s="311"/>
    </row>
    <row r="31" spans="1:15" ht="10.25" customHeight="1" x14ac:dyDescent="0.25">
      <c r="A31" s="9" t="s">
        <v>334</v>
      </c>
      <c r="B31" s="10">
        <v>5</v>
      </c>
      <c r="C31" s="311"/>
      <c r="D31" s="15" t="s">
        <v>365</v>
      </c>
      <c r="E31" s="16">
        <v>5</v>
      </c>
      <c r="F31" s="311"/>
      <c r="G31" s="9" t="s">
        <v>958</v>
      </c>
      <c r="H31" s="10">
        <v>4</v>
      </c>
      <c r="I31" s="311"/>
      <c r="J31" s="11" t="s">
        <v>426</v>
      </c>
      <c r="K31" s="12">
        <v>15</v>
      </c>
      <c r="L31" s="311"/>
      <c r="M31" s="17" t="s">
        <v>459</v>
      </c>
      <c r="N31" s="18">
        <v>10</v>
      </c>
      <c r="O31" s="311"/>
    </row>
    <row r="32" spans="1:15" ht="10.25" customHeight="1" x14ac:dyDescent="0.25">
      <c r="A32" s="9" t="s">
        <v>335</v>
      </c>
      <c r="B32" s="10">
        <v>5</v>
      </c>
      <c r="C32" s="311"/>
      <c r="D32" s="11" t="s">
        <v>366</v>
      </c>
      <c r="E32" s="12">
        <v>11</v>
      </c>
      <c r="F32" s="311"/>
      <c r="G32" s="17" t="s">
        <v>401</v>
      </c>
      <c r="H32" s="18">
        <v>6</v>
      </c>
      <c r="I32" s="311"/>
      <c r="J32" s="17" t="s">
        <v>973</v>
      </c>
      <c r="K32" s="18">
        <v>6</v>
      </c>
      <c r="L32" s="311"/>
      <c r="M32" s="11" t="s">
        <v>460</v>
      </c>
      <c r="N32" s="12">
        <v>13</v>
      </c>
      <c r="O32" s="311"/>
    </row>
    <row r="33" spans="1:15" ht="10.25" customHeight="1" x14ac:dyDescent="0.25">
      <c r="A33" s="19" t="s">
        <v>336</v>
      </c>
      <c r="B33" s="20">
        <v>12</v>
      </c>
      <c r="C33" s="311"/>
      <c r="D33" s="11" t="s">
        <v>367</v>
      </c>
      <c r="E33" s="12">
        <v>7</v>
      </c>
      <c r="F33" s="311"/>
      <c r="G33" s="17" t="s">
        <v>402</v>
      </c>
      <c r="H33" s="18">
        <v>3</v>
      </c>
      <c r="I33" s="311"/>
      <c r="J33" s="11" t="s">
        <v>427</v>
      </c>
      <c r="K33" s="12">
        <v>12</v>
      </c>
      <c r="L33" s="311"/>
      <c r="M33" s="15" t="s">
        <v>461</v>
      </c>
      <c r="N33" s="16">
        <v>10</v>
      </c>
      <c r="O33" s="311"/>
    </row>
    <row r="34" spans="1:15" ht="10.25" customHeight="1" x14ac:dyDescent="0.25">
      <c r="A34" s="15" t="s">
        <v>337</v>
      </c>
      <c r="B34" s="16">
        <v>10</v>
      </c>
      <c r="C34" s="311"/>
      <c r="D34" s="15" t="s">
        <v>368</v>
      </c>
      <c r="E34" s="16">
        <v>9</v>
      </c>
      <c r="F34" s="311"/>
      <c r="G34" s="17" t="s">
        <v>403</v>
      </c>
      <c r="H34" s="18">
        <v>8</v>
      </c>
      <c r="I34" s="311"/>
      <c r="J34" s="21" t="s">
        <v>428</v>
      </c>
      <c r="K34" s="22">
        <v>4</v>
      </c>
      <c r="L34" s="311"/>
      <c r="M34" s="11" t="s">
        <v>980</v>
      </c>
      <c r="N34" s="12">
        <v>14</v>
      </c>
      <c r="O34" s="311"/>
    </row>
    <row r="35" spans="1:15" ht="10.25" customHeight="1" x14ac:dyDescent="0.25">
      <c r="A35" s="21" t="s">
        <v>338</v>
      </c>
      <c r="B35" s="22">
        <v>11</v>
      </c>
      <c r="C35" s="311"/>
      <c r="D35" s="15" t="s">
        <v>369</v>
      </c>
      <c r="E35" s="16">
        <v>8</v>
      </c>
      <c r="F35" s="311"/>
      <c r="G35" s="17" t="s">
        <v>404</v>
      </c>
      <c r="H35" s="18">
        <v>5</v>
      </c>
      <c r="I35" s="311"/>
      <c r="J35" s="9" t="s">
        <v>974</v>
      </c>
      <c r="K35" s="10">
        <v>5</v>
      </c>
      <c r="L35" s="311"/>
      <c r="M35" s="21" t="s">
        <v>981</v>
      </c>
      <c r="N35" s="22">
        <v>11</v>
      </c>
      <c r="O35" s="311"/>
    </row>
    <row r="36" spans="1:15" ht="10.25" customHeight="1" x14ac:dyDescent="0.25">
      <c r="A36" s="9" t="s">
        <v>945</v>
      </c>
      <c r="B36" s="10">
        <v>2</v>
      </c>
      <c r="C36" s="311"/>
      <c r="D36" s="15" t="s">
        <v>370</v>
      </c>
      <c r="E36" s="16">
        <v>6</v>
      </c>
      <c r="F36" s="311"/>
      <c r="G36" s="11" t="s">
        <v>405</v>
      </c>
      <c r="H36" s="12">
        <v>20</v>
      </c>
      <c r="I36" s="311"/>
      <c r="J36" s="15" t="s">
        <v>975</v>
      </c>
      <c r="K36" s="16">
        <v>9</v>
      </c>
      <c r="L36" s="311"/>
      <c r="M36" s="17" t="s">
        <v>462</v>
      </c>
      <c r="N36" s="18">
        <v>6</v>
      </c>
      <c r="O36" s="311"/>
    </row>
    <row r="37" spans="1:15" ht="10.25" customHeight="1" x14ac:dyDescent="0.25">
      <c r="A37" s="9" t="s">
        <v>946</v>
      </c>
      <c r="B37" s="10">
        <v>4</v>
      </c>
      <c r="C37" s="311"/>
      <c r="D37" s="15" t="s">
        <v>371</v>
      </c>
      <c r="E37" s="16">
        <v>8</v>
      </c>
      <c r="F37" s="311"/>
      <c r="G37" s="11" t="s">
        <v>959</v>
      </c>
      <c r="H37" s="12">
        <v>13</v>
      </c>
      <c r="I37" s="311"/>
      <c r="J37" s="15" t="s">
        <v>429</v>
      </c>
      <c r="K37" s="16">
        <v>15</v>
      </c>
      <c r="L37" s="311"/>
      <c r="M37" s="11" t="s">
        <v>463</v>
      </c>
      <c r="N37" s="12">
        <v>22</v>
      </c>
      <c r="O37" s="311"/>
    </row>
    <row r="38" spans="1:15" ht="10.25" customHeight="1" x14ac:dyDescent="0.25">
      <c r="A38" s="17" t="s">
        <v>339</v>
      </c>
      <c r="B38" s="18">
        <v>4</v>
      </c>
      <c r="C38" s="311"/>
      <c r="D38" s="19" t="s">
        <v>372</v>
      </c>
      <c r="E38" s="20">
        <v>9</v>
      </c>
      <c r="F38" s="311"/>
      <c r="G38" s="11" t="s">
        <v>960</v>
      </c>
      <c r="H38" s="12">
        <v>9</v>
      </c>
      <c r="I38" s="311"/>
      <c r="J38" s="15" t="s">
        <v>430</v>
      </c>
      <c r="K38" s="16">
        <v>6</v>
      </c>
      <c r="L38" s="311"/>
      <c r="M38" s="13" t="s">
        <v>464</v>
      </c>
      <c r="N38" s="14">
        <v>14</v>
      </c>
      <c r="O38" s="311"/>
    </row>
    <row r="39" spans="1:15" ht="10.25" customHeight="1" x14ac:dyDescent="0.25">
      <c r="A39" s="11" t="s">
        <v>340</v>
      </c>
      <c r="B39" s="12">
        <v>9</v>
      </c>
      <c r="C39" s="311"/>
      <c r="D39" s="15" t="s">
        <v>373</v>
      </c>
      <c r="E39" s="16">
        <v>4</v>
      </c>
      <c r="F39" s="311"/>
      <c r="G39" s="11" t="s">
        <v>406</v>
      </c>
      <c r="H39" s="12">
        <v>7</v>
      </c>
      <c r="I39" s="311"/>
      <c r="J39" s="17" t="s">
        <v>976</v>
      </c>
      <c r="K39" s="18">
        <v>8</v>
      </c>
      <c r="L39" s="311"/>
      <c r="M39" s="15" t="s">
        <v>465</v>
      </c>
      <c r="N39" s="16">
        <v>7</v>
      </c>
      <c r="O39" s="311"/>
    </row>
    <row r="40" spans="1:15" ht="10.25" customHeight="1" x14ac:dyDescent="0.25">
      <c r="A40" s="15" t="s">
        <v>341</v>
      </c>
      <c r="B40" s="16">
        <v>6</v>
      </c>
      <c r="C40" s="311"/>
      <c r="D40" s="21" t="s">
        <v>374</v>
      </c>
      <c r="E40" s="22">
        <v>11</v>
      </c>
      <c r="F40" s="311"/>
      <c r="G40" s="11" t="s">
        <v>407</v>
      </c>
      <c r="H40" s="12">
        <v>8</v>
      </c>
      <c r="I40" s="311"/>
      <c r="J40" s="19" t="s">
        <v>431</v>
      </c>
      <c r="K40" s="20">
        <v>7</v>
      </c>
      <c r="L40" s="311"/>
      <c r="M40" s="21" t="s">
        <v>982</v>
      </c>
      <c r="N40" s="22">
        <v>10</v>
      </c>
      <c r="O40" s="311"/>
    </row>
    <row r="41" spans="1:15" ht="10.25" customHeight="1" thickBot="1" x14ac:dyDescent="0.3">
      <c r="A41" s="44" t="s">
        <v>342</v>
      </c>
      <c r="B41" s="45">
        <v>12</v>
      </c>
      <c r="C41" s="312"/>
      <c r="D41" s="13" t="s">
        <v>375</v>
      </c>
      <c r="E41" s="14">
        <v>16</v>
      </c>
      <c r="F41" s="311"/>
      <c r="G41" s="11" t="s">
        <v>961</v>
      </c>
      <c r="H41" s="12">
        <v>14</v>
      </c>
      <c r="I41" s="311"/>
      <c r="J41" s="11" t="s">
        <v>432</v>
      </c>
      <c r="K41" s="12">
        <v>3</v>
      </c>
      <c r="L41" s="311"/>
      <c r="M41" s="21" t="s">
        <v>466</v>
      </c>
      <c r="N41" s="22">
        <v>10</v>
      </c>
      <c r="O41" s="311"/>
    </row>
    <row r="42" spans="1:15" ht="10.25" customHeight="1" thickBot="1" x14ac:dyDescent="0.3">
      <c r="A42" s="56"/>
      <c r="B42" s="49"/>
      <c r="C42" s="50"/>
      <c r="D42" s="53"/>
      <c r="E42" s="55"/>
      <c r="F42" s="292"/>
      <c r="G42" s="52"/>
      <c r="H42" s="55"/>
      <c r="I42" s="292"/>
      <c r="J42" s="52"/>
      <c r="K42" s="55"/>
      <c r="L42" s="292"/>
      <c r="M42" s="21" t="s">
        <v>467</v>
      </c>
      <c r="N42" s="22">
        <v>8</v>
      </c>
      <c r="O42" s="311"/>
    </row>
    <row r="43" spans="1:15" ht="10.25" customHeight="1" x14ac:dyDescent="0.25">
      <c r="A43" s="57" t="s">
        <v>983</v>
      </c>
      <c r="B43" s="46">
        <v>-10</v>
      </c>
      <c r="C43" s="48"/>
      <c r="D43" s="43" t="s">
        <v>984</v>
      </c>
      <c r="M43" s="21" t="s">
        <v>468</v>
      </c>
      <c r="N43" s="22">
        <v>13</v>
      </c>
      <c r="O43" s="311"/>
    </row>
    <row r="44" spans="1:15" ht="10.25" customHeight="1" x14ac:dyDescent="0.25">
      <c r="A44" s="56" t="s">
        <v>985</v>
      </c>
      <c r="B44" s="46">
        <v>0</v>
      </c>
      <c r="C44" s="48"/>
      <c r="D44" s="51" t="s">
        <v>986</v>
      </c>
      <c r="E44" s="55"/>
      <c r="F44" s="292"/>
      <c r="G44" s="52"/>
      <c r="H44" s="55"/>
      <c r="I44" s="292"/>
      <c r="J44" s="52"/>
      <c r="K44" s="55"/>
      <c r="L44" s="292"/>
    </row>
    <row r="45" spans="1:15" ht="10.25" customHeight="1" x14ac:dyDescent="0.25">
      <c r="A45" s="57"/>
      <c r="B45" s="46"/>
      <c r="C45" s="48"/>
      <c r="D45" s="43" t="s">
        <v>988</v>
      </c>
    </row>
    <row r="46" spans="1:15" ht="10.25" customHeight="1" x14ac:dyDescent="0.25">
      <c r="A46" s="56" t="s">
        <v>987</v>
      </c>
      <c r="B46" s="49">
        <v>10</v>
      </c>
      <c r="C46" s="50"/>
      <c r="D46" s="51" t="s">
        <v>989</v>
      </c>
      <c r="E46" s="55"/>
      <c r="F46" s="292"/>
      <c r="G46" s="52"/>
      <c r="H46" s="55"/>
      <c r="I46" s="292"/>
      <c r="J46" s="52"/>
      <c r="K46" s="55"/>
      <c r="L46" s="292"/>
    </row>
    <row r="47" spans="1:15" ht="10.25" customHeight="1" x14ac:dyDescent="0.25">
      <c r="A47" s="57"/>
      <c r="B47" s="46"/>
      <c r="C47" s="48"/>
      <c r="D47" s="43" t="s">
        <v>990</v>
      </c>
    </row>
    <row r="48" spans="1:15" ht="10.25" customHeight="1" x14ac:dyDescent="0.3">
      <c r="D48" s="636" t="s">
        <v>1146</v>
      </c>
      <c r="E48" s="55"/>
      <c r="F48" s="292"/>
      <c r="G48" s="640" t="s">
        <v>1160</v>
      </c>
      <c r="H48" s="55"/>
      <c r="I48" s="292"/>
      <c r="J48" s="640" t="s">
        <v>1164</v>
      </c>
      <c r="K48" s="55"/>
      <c r="L48" s="292"/>
      <c r="M48" s="640" t="s">
        <v>1159</v>
      </c>
    </row>
  </sheetData>
  <sortState ref="J49:J81">
    <sortCondition ref="J49"/>
  </sortState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A4"/>
    </sheetView>
  </sheetViews>
  <sheetFormatPr baseColWidth="10" defaultColWidth="9.08984375" defaultRowHeight="12.5" x14ac:dyDescent="0.25"/>
  <cols>
    <col min="1" max="1" width="16.6328125" style="33" customWidth="1"/>
    <col min="2" max="2" width="13.36328125" customWidth="1"/>
    <col min="3" max="3" width="11.36328125" customWidth="1"/>
    <col min="5" max="11" width="5.08984375" customWidth="1"/>
  </cols>
  <sheetData>
    <row r="1" spans="1:12" ht="13" x14ac:dyDescent="0.25">
      <c r="A1" s="742" t="s">
        <v>469</v>
      </c>
      <c r="B1" s="743" t="s">
        <v>470</v>
      </c>
      <c r="C1" s="743" t="s">
        <v>471</v>
      </c>
      <c r="D1" s="34" t="s">
        <v>472</v>
      </c>
      <c r="E1" s="35" t="s">
        <v>476</v>
      </c>
      <c r="F1" s="36" t="s">
        <v>478</v>
      </c>
      <c r="G1" s="37" t="s">
        <v>479</v>
      </c>
      <c r="H1" s="38" t="s">
        <v>480</v>
      </c>
      <c r="I1" s="39" t="s">
        <v>481</v>
      </c>
      <c r="J1" s="40" t="s">
        <v>482</v>
      </c>
      <c r="K1" s="41" t="s">
        <v>483</v>
      </c>
      <c r="L1" s="743" t="s">
        <v>67</v>
      </c>
    </row>
    <row r="2" spans="1:12" ht="13" x14ac:dyDescent="0.25">
      <c r="A2" s="742"/>
      <c r="B2" s="743"/>
      <c r="C2" s="743"/>
      <c r="D2" s="42" t="s">
        <v>473</v>
      </c>
      <c r="E2" s="35">
        <v>-80</v>
      </c>
      <c r="F2" s="36">
        <v>-40</v>
      </c>
      <c r="G2" s="37">
        <v>-20</v>
      </c>
      <c r="H2" s="38">
        <v>0</v>
      </c>
      <c r="I2" s="39">
        <v>10</v>
      </c>
      <c r="J2" s="40">
        <v>20</v>
      </c>
      <c r="K2" s="41">
        <v>40</v>
      </c>
      <c r="L2" s="743"/>
    </row>
    <row r="3" spans="1:12" ht="13" x14ac:dyDescent="0.25">
      <c r="A3" s="742"/>
      <c r="B3" s="743"/>
      <c r="C3" s="743"/>
      <c r="D3" s="42" t="s">
        <v>474</v>
      </c>
      <c r="E3" s="35">
        <v>-40</v>
      </c>
      <c r="F3" s="36">
        <v>-20</v>
      </c>
      <c r="G3" s="37">
        <v>-10</v>
      </c>
      <c r="H3" s="38">
        <v>0</v>
      </c>
      <c r="I3" s="39">
        <v>5</v>
      </c>
      <c r="J3" s="40">
        <v>10</v>
      </c>
      <c r="K3" s="41" t="s">
        <v>477</v>
      </c>
      <c r="L3" s="743"/>
    </row>
    <row r="4" spans="1:12" ht="13" x14ac:dyDescent="0.25">
      <c r="A4" s="742"/>
      <c r="B4" s="743"/>
      <c r="C4" s="743"/>
      <c r="D4" s="42" t="s">
        <v>475</v>
      </c>
      <c r="E4" s="35" t="s">
        <v>477</v>
      </c>
      <c r="F4" s="36">
        <v>-20</v>
      </c>
      <c r="G4" s="37">
        <v>-10</v>
      </c>
      <c r="H4" s="38">
        <v>0</v>
      </c>
      <c r="I4" s="39">
        <v>-10</v>
      </c>
      <c r="J4" s="40">
        <v>-20</v>
      </c>
      <c r="K4" s="41">
        <v>-40</v>
      </c>
      <c r="L4" s="743"/>
    </row>
    <row r="5" spans="1:12" x14ac:dyDescent="0.25">
      <c r="A5" s="32"/>
      <c r="B5" s="24"/>
      <c r="C5" s="24"/>
      <c r="D5" s="24"/>
      <c r="E5" s="25"/>
      <c r="F5" s="26"/>
      <c r="G5" s="27"/>
      <c r="H5" s="28"/>
      <c r="I5" s="29"/>
      <c r="J5" s="30"/>
      <c r="K5" s="31"/>
      <c r="L5" s="24"/>
    </row>
    <row r="6" spans="1:12" x14ac:dyDescent="0.25">
      <c r="A6" s="32"/>
      <c r="B6" s="24"/>
      <c r="C6" s="24"/>
      <c r="D6" s="24"/>
      <c r="E6" s="25"/>
      <c r="F6" s="26"/>
      <c r="G6" s="27"/>
      <c r="H6" s="28"/>
      <c r="I6" s="29"/>
      <c r="J6" s="30"/>
      <c r="K6" s="31"/>
      <c r="L6" s="24"/>
    </row>
    <row r="7" spans="1:12" x14ac:dyDescent="0.25">
      <c r="A7" s="32"/>
      <c r="B7" s="24"/>
      <c r="C7" s="24"/>
      <c r="D7" s="24"/>
      <c r="E7" s="25"/>
      <c r="F7" s="26"/>
      <c r="G7" s="27"/>
      <c r="H7" s="28"/>
      <c r="I7" s="29"/>
      <c r="J7" s="30"/>
      <c r="K7" s="31"/>
      <c r="L7" s="24"/>
    </row>
    <row r="8" spans="1:12" x14ac:dyDescent="0.25">
      <c r="A8" s="32"/>
      <c r="B8" s="24"/>
      <c r="C8" s="24"/>
      <c r="D8" s="24"/>
      <c r="E8" s="25"/>
      <c r="F8" s="26"/>
      <c r="G8" s="27"/>
      <c r="H8" s="28"/>
      <c r="I8" s="29"/>
      <c r="J8" s="30"/>
      <c r="K8" s="31"/>
      <c r="L8" s="24"/>
    </row>
    <row r="9" spans="1:12" x14ac:dyDescent="0.25">
      <c r="A9" s="32"/>
      <c r="B9" s="24"/>
      <c r="C9" s="24"/>
      <c r="D9" s="24"/>
      <c r="E9" s="25"/>
      <c r="F9" s="26"/>
      <c r="G9" s="27"/>
      <c r="H9" s="28"/>
      <c r="I9" s="29"/>
      <c r="J9" s="30"/>
      <c r="K9" s="31"/>
      <c r="L9" s="24"/>
    </row>
    <row r="10" spans="1:12" x14ac:dyDescent="0.25">
      <c r="A10" s="32"/>
      <c r="B10" s="24"/>
      <c r="C10" s="24"/>
      <c r="D10" s="24"/>
      <c r="E10" s="25"/>
      <c r="F10" s="26"/>
      <c r="G10" s="27"/>
      <c r="H10" s="28"/>
      <c r="I10" s="29"/>
      <c r="J10" s="30"/>
      <c r="K10" s="31"/>
      <c r="L10" s="24"/>
    </row>
    <row r="11" spans="1:12" x14ac:dyDescent="0.25">
      <c r="A11" s="32"/>
      <c r="B11" s="24"/>
      <c r="C11" s="24"/>
      <c r="D11" s="24"/>
      <c r="E11" s="25"/>
      <c r="F11" s="26"/>
      <c r="G11" s="27"/>
      <c r="H11" s="28"/>
      <c r="I11" s="29"/>
      <c r="J11" s="30"/>
      <c r="K11" s="31"/>
      <c r="L11" s="24"/>
    </row>
    <row r="12" spans="1:12" x14ac:dyDescent="0.25">
      <c r="A12" s="32"/>
      <c r="B12" s="24"/>
      <c r="C12" s="24"/>
      <c r="D12" s="24"/>
      <c r="E12" s="25"/>
      <c r="F12" s="26"/>
      <c r="G12" s="27"/>
      <c r="H12" s="28"/>
      <c r="I12" s="29"/>
      <c r="J12" s="30"/>
      <c r="K12" s="31"/>
      <c r="L12" s="24"/>
    </row>
    <row r="13" spans="1:12" x14ac:dyDescent="0.25">
      <c r="A13" s="32"/>
      <c r="B13" s="24"/>
      <c r="C13" s="24"/>
      <c r="D13" s="24"/>
      <c r="E13" s="25"/>
      <c r="F13" s="26"/>
      <c r="G13" s="27"/>
      <c r="H13" s="28"/>
      <c r="I13" s="29"/>
      <c r="J13" s="30"/>
      <c r="K13" s="31"/>
      <c r="L13" s="24"/>
    </row>
    <row r="14" spans="1:12" x14ac:dyDescent="0.25">
      <c r="A14" s="32"/>
      <c r="B14" s="24"/>
      <c r="C14" s="24"/>
      <c r="D14" s="24"/>
      <c r="E14" s="25"/>
      <c r="F14" s="26"/>
      <c r="G14" s="27"/>
      <c r="H14" s="28"/>
      <c r="I14" s="29"/>
      <c r="J14" s="30"/>
      <c r="K14" s="31"/>
      <c r="L14" s="24"/>
    </row>
    <row r="15" spans="1:12" x14ac:dyDescent="0.25">
      <c r="A15" s="32"/>
      <c r="B15" s="24"/>
      <c r="C15" s="24"/>
      <c r="D15" s="24"/>
      <c r="E15" s="25"/>
      <c r="F15" s="26"/>
      <c r="G15" s="27"/>
      <c r="H15" s="28"/>
      <c r="I15" s="29"/>
      <c r="J15" s="30"/>
      <c r="K15" s="31"/>
      <c r="L15" s="24"/>
    </row>
    <row r="16" spans="1:12" x14ac:dyDescent="0.25">
      <c r="A16" s="32"/>
      <c r="B16" s="24"/>
      <c r="C16" s="24"/>
      <c r="D16" s="24"/>
      <c r="E16" s="25"/>
      <c r="F16" s="26"/>
      <c r="G16" s="27"/>
      <c r="H16" s="28"/>
      <c r="I16" s="29"/>
      <c r="J16" s="30"/>
      <c r="K16" s="31"/>
      <c r="L16" s="24"/>
    </row>
    <row r="17" spans="1:12" x14ac:dyDescent="0.25">
      <c r="A17" s="32"/>
      <c r="B17" s="24"/>
      <c r="C17" s="24"/>
      <c r="D17" s="24"/>
      <c r="E17" s="25"/>
      <c r="F17" s="26"/>
      <c r="G17" s="27"/>
      <c r="H17" s="28"/>
      <c r="I17" s="29"/>
      <c r="J17" s="30"/>
      <c r="K17" s="31"/>
      <c r="L17" s="24"/>
    </row>
    <row r="18" spans="1:12" x14ac:dyDescent="0.25">
      <c r="A18" s="32"/>
      <c r="B18" s="24"/>
      <c r="C18" s="24"/>
      <c r="D18" s="24"/>
      <c r="E18" s="25"/>
      <c r="F18" s="26"/>
      <c r="G18" s="27"/>
      <c r="H18" s="28"/>
      <c r="I18" s="29"/>
      <c r="J18" s="30"/>
      <c r="K18" s="31"/>
      <c r="L18" s="24"/>
    </row>
    <row r="19" spans="1:12" x14ac:dyDescent="0.25">
      <c r="A19" s="32"/>
      <c r="B19" s="24"/>
      <c r="C19" s="24"/>
      <c r="D19" s="24"/>
      <c r="E19" s="25"/>
      <c r="F19" s="26"/>
      <c r="G19" s="27"/>
      <c r="H19" s="28"/>
      <c r="I19" s="29"/>
      <c r="J19" s="30"/>
      <c r="K19" s="31"/>
      <c r="L19" s="24"/>
    </row>
    <row r="20" spans="1:12" x14ac:dyDescent="0.25">
      <c r="A20" s="32"/>
      <c r="B20" s="24"/>
      <c r="C20" s="24"/>
      <c r="D20" s="24"/>
      <c r="E20" s="25"/>
      <c r="F20" s="26"/>
      <c r="G20" s="27"/>
      <c r="H20" s="28"/>
      <c r="I20" s="29"/>
      <c r="J20" s="30"/>
      <c r="K20" s="31"/>
      <c r="L20" s="24"/>
    </row>
    <row r="21" spans="1:12" x14ac:dyDescent="0.25">
      <c r="A21" s="32"/>
      <c r="B21" s="24"/>
      <c r="C21" s="24"/>
      <c r="D21" s="24"/>
      <c r="E21" s="25"/>
      <c r="F21" s="26"/>
      <c r="G21" s="27"/>
      <c r="H21" s="28"/>
      <c r="I21" s="29"/>
      <c r="J21" s="30"/>
      <c r="K21" s="31"/>
      <c r="L21" s="24"/>
    </row>
    <row r="22" spans="1:12" x14ac:dyDescent="0.25">
      <c r="A22" s="32"/>
      <c r="B22" s="24"/>
      <c r="C22" s="24"/>
      <c r="D22" s="24"/>
      <c r="E22" s="25"/>
      <c r="F22" s="26"/>
      <c r="G22" s="27"/>
      <c r="H22" s="28"/>
      <c r="I22" s="29"/>
      <c r="J22" s="30"/>
      <c r="K22" s="31"/>
      <c r="L22" s="24"/>
    </row>
    <row r="23" spans="1:12" x14ac:dyDescent="0.25">
      <c r="A23" s="32"/>
      <c r="B23" s="24"/>
      <c r="C23" s="24"/>
      <c r="D23" s="24"/>
      <c r="E23" s="25"/>
      <c r="F23" s="26"/>
      <c r="G23" s="27"/>
      <c r="H23" s="28"/>
      <c r="I23" s="29"/>
      <c r="J23" s="30"/>
      <c r="K23" s="31"/>
      <c r="L23" s="24"/>
    </row>
    <row r="24" spans="1:12" x14ac:dyDescent="0.25">
      <c r="A24" s="32"/>
      <c r="B24" s="24"/>
      <c r="C24" s="24"/>
      <c r="D24" s="24"/>
      <c r="E24" s="25"/>
      <c r="F24" s="26"/>
      <c r="G24" s="27"/>
      <c r="H24" s="28"/>
      <c r="I24" s="29"/>
      <c r="J24" s="30"/>
      <c r="K24" s="31"/>
      <c r="L24" s="24"/>
    </row>
    <row r="25" spans="1:12" x14ac:dyDescent="0.25">
      <c r="A25" s="32"/>
      <c r="B25" s="24"/>
      <c r="C25" s="24"/>
      <c r="D25" s="24"/>
      <c r="E25" s="25"/>
      <c r="F25" s="26"/>
      <c r="G25" s="27"/>
      <c r="H25" s="28"/>
      <c r="I25" s="29"/>
      <c r="J25" s="30"/>
      <c r="K25" s="31"/>
      <c r="L25" s="24"/>
    </row>
    <row r="26" spans="1:12" x14ac:dyDescent="0.25">
      <c r="A26" s="32"/>
      <c r="B26" s="24"/>
      <c r="C26" s="24"/>
      <c r="D26" s="24"/>
      <c r="E26" s="25"/>
      <c r="F26" s="26"/>
      <c r="G26" s="27"/>
      <c r="H26" s="28"/>
      <c r="I26" s="29"/>
      <c r="J26" s="30"/>
      <c r="K26" s="31"/>
      <c r="L26" s="24"/>
    </row>
    <row r="27" spans="1:12" x14ac:dyDescent="0.25">
      <c r="A27" s="32"/>
      <c r="B27" s="24"/>
      <c r="C27" s="24"/>
      <c r="D27" s="24"/>
      <c r="E27" s="25"/>
      <c r="F27" s="26"/>
      <c r="G27" s="27"/>
      <c r="H27" s="28"/>
      <c r="I27" s="29"/>
      <c r="J27" s="30"/>
      <c r="K27" s="31"/>
      <c r="L27" s="24"/>
    </row>
    <row r="28" spans="1:12" x14ac:dyDescent="0.25">
      <c r="A28" s="32"/>
      <c r="B28" s="24"/>
      <c r="C28" s="24"/>
      <c r="D28" s="24"/>
      <c r="E28" s="25"/>
      <c r="F28" s="26"/>
      <c r="G28" s="27"/>
      <c r="H28" s="28"/>
      <c r="I28" s="29"/>
      <c r="J28" s="30"/>
      <c r="K28" s="31"/>
      <c r="L28" s="24"/>
    </row>
    <row r="29" spans="1:12" x14ac:dyDescent="0.25">
      <c r="A29" s="32"/>
      <c r="B29" s="24"/>
      <c r="C29" s="24"/>
      <c r="D29" s="24"/>
      <c r="E29" s="25"/>
      <c r="F29" s="26"/>
      <c r="G29" s="27"/>
      <c r="H29" s="28"/>
      <c r="I29" s="29"/>
      <c r="J29" s="30"/>
      <c r="K29" s="31"/>
      <c r="L29" s="24"/>
    </row>
    <row r="30" spans="1:12" x14ac:dyDescent="0.25">
      <c r="A30" s="32"/>
      <c r="B30" s="24"/>
      <c r="C30" s="24"/>
      <c r="D30" s="24"/>
      <c r="E30" s="25"/>
      <c r="F30" s="26"/>
      <c r="G30" s="27"/>
      <c r="H30" s="28"/>
      <c r="I30" s="29"/>
      <c r="J30" s="30"/>
      <c r="K30" s="31"/>
      <c r="L30" s="24"/>
    </row>
    <row r="31" spans="1:12" x14ac:dyDescent="0.25">
      <c r="A31" s="32"/>
      <c r="B31" s="24"/>
      <c r="C31" s="24"/>
      <c r="D31" s="24"/>
      <c r="E31" s="25"/>
      <c r="F31" s="26"/>
      <c r="G31" s="27"/>
      <c r="H31" s="28"/>
      <c r="I31" s="29"/>
      <c r="J31" s="30"/>
      <c r="K31" s="31"/>
      <c r="L31" s="24"/>
    </row>
    <row r="32" spans="1:12" x14ac:dyDescent="0.25">
      <c r="A32" s="32"/>
      <c r="B32" s="24"/>
      <c r="C32" s="24"/>
      <c r="D32" s="24"/>
      <c r="E32" s="25"/>
      <c r="F32" s="26"/>
      <c r="G32" s="27"/>
      <c r="H32" s="28"/>
      <c r="I32" s="29"/>
      <c r="J32" s="30"/>
      <c r="K32" s="31"/>
      <c r="L32" s="24"/>
    </row>
    <row r="33" spans="1:12" x14ac:dyDescent="0.25">
      <c r="A33" s="32"/>
      <c r="B33" s="24"/>
      <c r="C33" s="24"/>
      <c r="D33" s="24"/>
      <c r="E33" s="25"/>
      <c r="F33" s="26"/>
      <c r="G33" s="27"/>
      <c r="H33" s="28"/>
      <c r="I33" s="29"/>
      <c r="J33" s="30"/>
      <c r="K33" s="31"/>
      <c r="L33" s="24"/>
    </row>
    <row r="34" spans="1:12" x14ac:dyDescent="0.25">
      <c r="A34" s="32"/>
      <c r="B34" s="24"/>
      <c r="C34" s="24"/>
      <c r="D34" s="24"/>
      <c r="E34" s="25"/>
      <c r="F34" s="26"/>
      <c r="G34" s="27"/>
      <c r="H34" s="28"/>
      <c r="I34" s="29"/>
      <c r="J34" s="30"/>
      <c r="K34" s="31"/>
      <c r="L34" s="24"/>
    </row>
    <row r="35" spans="1:12" x14ac:dyDescent="0.25">
      <c r="A35" s="32"/>
      <c r="B35" s="24"/>
      <c r="C35" s="24"/>
      <c r="D35" s="24"/>
      <c r="E35" s="25"/>
      <c r="F35" s="26"/>
      <c r="G35" s="27"/>
      <c r="H35" s="28"/>
      <c r="I35" s="29"/>
      <c r="J35" s="30"/>
      <c r="K35" s="31"/>
      <c r="L35" s="24"/>
    </row>
    <row r="36" spans="1:12" x14ac:dyDescent="0.25">
      <c r="A36" s="32"/>
      <c r="B36" s="24"/>
      <c r="C36" s="24"/>
      <c r="D36" s="24"/>
      <c r="E36" s="25"/>
      <c r="F36" s="26"/>
      <c r="G36" s="27"/>
      <c r="H36" s="28"/>
      <c r="I36" s="29"/>
      <c r="J36" s="30"/>
      <c r="K36" s="31"/>
      <c r="L36" s="24"/>
    </row>
    <row r="37" spans="1:12" x14ac:dyDescent="0.25">
      <c r="A37" s="32"/>
      <c r="B37" s="24"/>
      <c r="C37" s="24"/>
      <c r="D37" s="24"/>
      <c r="E37" s="25"/>
      <c r="F37" s="26"/>
      <c r="G37" s="27"/>
      <c r="H37" s="28"/>
      <c r="I37" s="29"/>
      <c r="J37" s="30"/>
      <c r="K37" s="31"/>
      <c r="L37" s="24"/>
    </row>
    <row r="38" spans="1:12" x14ac:dyDescent="0.25">
      <c r="A38" s="32"/>
      <c r="B38" s="24"/>
      <c r="C38" s="24"/>
      <c r="D38" s="24"/>
      <c r="E38" s="25"/>
      <c r="F38" s="26"/>
      <c r="G38" s="27"/>
      <c r="H38" s="28"/>
      <c r="I38" s="29"/>
      <c r="J38" s="30"/>
      <c r="K38" s="31"/>
      <c r="L38" s="24"/>
    </row>
    <row r="39" spans="1:12" x14ac:dyDescent="0.25">
      <c r="A39" s="32"/>
      <c r="B39" s="24"/>
      <c r="C39" s="24"/>
      <c r="D39" s="24"/>
      <c r="E39" s="25"/>
      <c r="F39" s="26"/>
      <c r="G39" s="27"/>
      <c r="H39" s="28"/>
      <c r="I39" s="29"/>
      <c r="J39" s="30"/>
      <c r="K39" s="31"/>
      <c r="L39" s="24"/>
    </row>
    <row r="40" spans="1:12" x14ac:dyDescent="0.25">
      <c r="A40" s="32"/>
      <c r="B40" s="24"/>
      <c r="C40" s="24"/>
      <c r="D40" s="24"/>
      <c r="E40" s="25"/>
      <c r="F40" s="26"/>
      <c r="G40" s="27"/>
      <c r="H40" s="28"/>
      <c r="I40" s="29"/>
      <c r="J40" s="30"/>
      <c r="K40" s="31"/>
      <c r="L40" s="24"/>
    </row>
    <row r="41" spans="1:12" x14ac:dyDescent="0.25">
      <c r="A41" s="32"/>
      <c r="B41" s="24"/>
      <c r="C41" s="24"/>
      <c r="D41" s="24"/>
      <c r="E41" s="25"/>
      <c r="F41" s="26"/>
      <c r="G41" s="27"/>
      <c r="H41" s="28"/>
      <c r="I41" s="29"/>
      <c r="J41" s="30"/>
      <c r="K41" s="31"/>
      <c r="L41" s="24"/>
    </row>
    <row r="42" spans="1:12" x14ac:dyDescent="0.25">
      <c r="A42" s="32"/>
      <c r="B42" s="24"/>
      <c r="C42" s="24"/>
      <c r="D42" s="24"/>
      <c r="E42" s="25"/>
      <c r="F42" s="26"/>
      <c r="G42" s="27"/>
      <c r="H42" s="28"/>
      <c r="I42" s="29"/>
      <c r="J42" s="30"/>
      <c r="K42" s="31"/>
      <c r="L42" s="24"/>
    </row>
    <row r="43" spans="1:12" x14ac:dyDescent="0.25">
      <c r="A43" s="32"/>
      <c r="B43" s="24"/>
      <c r="C43" s="24"/>
      <c r="D43" s="24"/>
      <c r="E43" s="25"/>
      <c r="F43" s="26"/>
      <c r="G43" s="27"/>
      <c r="H43" s="28"/>
      <c r="I43" s="29"/>
      <c r="J43" s="30"/>
      <c r="K43" s="31"/>
      <c r="L43" s="24"/>
    </row>
    <row r="44" spans="1:12" x14ac:dyDescent="0.25">
      <c r="A44" s="32"/>
      <c r="B44" s="24"/>
      <c r="C44" s="24"/>
      <c r="D44" s="24"/>
      <c r="E44" s="25"/>
      <c r="F44" s="26"/>
      <c r="G44" s="27"/>
      <c r="H44" s="28"/>
      <c r="I44" s="29"/>
      <c r="J44" s="30"/>
      <c r="K44" s="31"/>
      <c r="L44" s="24"/>
    </row>
    <row r="45" spans="1:12" x14ac:dyDescent="0.25">
      <c r="A45" s="32"/>
      <c r="B45" s="24"/>
      <c r="C45" s="24"/>
      <c r="D45" s="24"/>
      <c r="E45" s="25"/>
      <c r="F45" s="26"/>
      <c r="G45" s="27"/>
      <c r="H45" s="28"/>
      <c r="I45" s="29"/>
      <c r="J45" s="30"/>
      <c r="K45" s="31"/>
      <c r="L45" s="24"/>
    </row>
    <row r="46" spans="1:12" x14ac:dyDescent="0.25">
      <c r="A46" s="32"/>
      <c r="B46" s="24"/>
      <c r="C46" s="24"/>
      <c r="D46" s="24"/>
      <c r="E46" s="25"/>
      <c r="F46" s="26"/>
      <c r="G46" s="27"/>
      <c r="H46" s="28"/>
      <c r="I46" s="29"/>
      <c r="J46" s="30"/>
      <c r="K46" s="31"/>
      <c r="L46" s="24"/>
    </row>
    <row r="47" spans="1:12" x14ac:dyDescent="0.25">
      <c r="A47" s="32"/>
      <c r="B47" s="24"/>
      <c r="C47" s="24"/>
      <c r="D47" s="24"/>
      <c r="E47" s="25"/>
      <c r="F47" s="26"/>
      <c r="G47" s="27"/>
      <c r="H47" s="28"/>
      <c r="I47" s="29"/>
      <c r="J47" s="30"/>
      <c r="K47" s="31"/>
      <c r="L47" s="24"/>
    </row>
    <row r="48" spans="1:12" x14ac:dyDescent="0.25">
      <c r="A48" s="32"/>
      <c r="B48" s="24"/>
      <c r="C48" s="24"/>
      <c r="D48" s="24"/>
      <c r="E48" s="25"/>
      <c r="F48" s="26"/>
      <c r="G48" s="27"/>
      <c r="H48" s="28"/>
      <c r="I48" s="29"/>
      <c r="J48" s="30"/>
      <c r="K48" s="31"/>
      <c r="L48" s="24"/>
    </row>
    <row r="49" spans="1:12" x14ac:dyDescent="0.25">
      <c r="A49" s="32"/>
      <c r="B49" s="24"/>
      <c r="C49" s="24"/>
      <c r="D49" s="24"/>
      <c r="E49" s="25"/>
      <c r="F49" s="26"/>
      <c r="G49" s="27"/>
      <c r="H49" s="28"/>
      <c r="I49" s="29"/>
      <c r="J49" s="30"/>
      <c r="K49" s="31"/>
      <c r="L49" s="24"/>
    </row>
    <row r="50" spans="1:12" x14ac:dyDescent="0.25">
      <c r="A50" s="32"/>
      <c r="B50" s="24"/>
      <c r="C50" s="24"/>
      <c r="D50" s="24"/>
      <c r="E50" s="25"/>
      <c r="F50" s="26"/>
      <c r="G50" s="27"/>
      <c r="H50" s="28"/>
      <c r="I50" s="29"/>
      <c r="J50" s="30"/>
      <c r="K50" s="31"/>
      <c r="L50" s="24"/>
    </row>
    <row r="51" spans="1:12" x14ac:dyDescent="0.25">
      <c r="A51" s="32"/>
      <c r="B51" s="24"/>
      <c r="C51" s="24"/>
      <c r="D51" s="24"/>
      <c r="E51" s="25"/>
      <c r="F51" s="26"/>
      <c r="G51" s="27"/>
      <c r="H51" s="28"/>
      <c r="I51" s="29"/>
      <c r="J51" s="30"/>
      <c r="K51" s="31"/>
      <c r="L51" s="24"/>
    </row>
    <row r="52" spans="1:12" x14ac:dyDescent="0.25">
      <c r="A52" s="32"/>
      <c r="B52" s="24"/>
      <c r="C52" s="24"/>
      <c r="D52" s="24"/>
      <c r="E52" s="25"/>
      <c r="F52" s="26"/>
      <c r="G52" s="27"/>
      <c r="H52" s="28"/>
      <c r="I52" s="29"/>
      <c r="J52" s="30"/>
      <c r="K52" s="31"/>
      <c r="L52" s="24"/>
    </row>
    <row r="53" spans="1:12" x14ac:dyDescent="0.25">
      <c r="A53" s="32"/>
      <c r="B53" s="24"/>
      <c r="C53" s="24"/>
      <c r="D53" s="24"/>
      <c r="E53" s="25"/>
      <c r="F53" s="26"/>
      <c r="G53" s="27"/>
      <c r="H53" s="28"/>
      <c r="I53" s="29"/>
      <c r="J53" s="30"/>
      <c r="K53" s="31"/>
      <c r="L53" s="24"/>
    </row>
    <row r="54" spans="1:12" x14ac:dyDescent="0.25">
      <c r="A54" s="32"/>
      <c r="B54" s="24"/>
      <c r="C54" s="24"/>
      <c r="D54" s="24"/>
      <c r="E54" s="25"/>
      <c r="F54" s="26"/>
      <c r="G54" s="27"/>
      <c r="H54" s="28"/>
      <c r="I54" s="29"/>
      <c r="J54" s="30"/>
      <c r="K54" s="31"/>
      <c r="L54" s="24"/>
    </row>
    <row r="55" spans="1:12" x14ac:dyDescent="0.25">
      <c r="A55" s="32"/>
      <c r="B55" s="24"/>
      <c r="C55" s="24"/>
      <c r="D55" s="24"/>
      <c r="E55" s="25"/>
      <c r="F55" s="26"/>
      <c r="G55" s="27"/>
      <c r="H55" s="28"/>
      <c r="I55" s="29"/>
      <c r="J55" s="30"/>
      <c r="K55" s="31"/>
      <c r="L55" s="24"/>
    </row>
    <row r="56" spans="1:12" x14ac:dyDescent="0.25">
      <c r="A56" s="32"/>
      <c r="B56" s="24"/>
      <c r="C56" s="24"/>
      <c r="D56" s="24"/>
      <c r="E56" s="25"/>
      <c r="F56" s="26"/>
      <c r="G56" s="27"/>
      <c r="H56" s="28"/>
      <c r="I56" s="29"/>
      <c r="J56" s="30"/>
      <c r="K56" s="31"/>
      <c r="L56" s="24"/>
    </row>
    <row r="57" spans="1:12" x14ac:dyDescent="0.25">
      <c r="A57" s="32"/>
      <c r="B57" s="24"/>
      <c r="C57" s="24"/>
      <c r="D57" s="24"/>
      <c r="E57" s="25"/>
      <c r="F57" s="26"/>
      <c r="G57" s="27"/>
      <c r="H57" s="28"/>
      <c r="I57" s="29"/>
      <c r="J57" s="30"/>
      <c r="K57" s="31"/>
      <c r="L57" s="24"/>
    </row>
    <row r="58" spans="1:12" x14ac:dyDescent="0.25">
      <c r="A58" s="32"/>
      <c r="B58" s="24"/>
      <c r="C58" s="24"/>
      <c r="D58" s="24"/>
      <c r="E58" s="25"/>
      <c r="F58" s="26"/>
      <c r="G58" s="27"/>
      <c r="H58" s="28"/>
      <c r="I58" s="29"/>
      <c r="J58" s="30"/>
      <c r="K58" s="31"/>
      <c r="L58" s="24"/>
    </row>
    <row r="59" spans="1:12" x14ac:dyDescent="0.25">
      <c r="A59" s="32"/>
      <c r="B59" s="24"/>
      <c r="C59" s="24"/>
      <c r="D59" s="24"/>
      <c r="E59" s="25"/>
      <c r="F59" s="26"/>
      <c r="G59" s="27"/>
      <c r="H59" s="28"/>
      <c r="I59" s="29"/>
      <c r="J59" s="30"/>
      <c r="K59" s="31"/>
      <c r="L59" s="24"/>
    </row>
  </sheetData>
  <mergeCells count="4">
    <mergeCell ref="A1:A4"/>
    <mergeCell ref="B1:B4"/>
    <mergeCell ref="C1:C4"/>
    <mergeCell ref="L1:L4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zoomScale="130" zoomScaleNormal="130" workbookViewId="0">
      <selection activeCell="O2" sqref="O2:P6"/>
    </sheetView>
  </sheetViews>
  <sheetFormatPr baseColWidth="10" defaultColWidth="8.90625" defaultRowHeight="12" customHeight="1" x14ac:dyDescent="0.25"/>
  <cols>
    <col min="1" max="1" width="3.6328125" style="58" bestFit="1" customWidth="1"/>
    <col min="2" max="2" width="14.54296875" style="58" bestFit="1" customWidth="1"/>
    <col min="3" max="3" width="1.54296875" style="58" bestFit="1" customWidth="1"/>
    <col min="4" max="4" width="3.90625" style="58" bestFit="1" customWidth="1"/>
    <col min="5" max="5" width="9.6328125" style="58" bestFit="1" customWidth="1"/>
    <col min="6" max="6" width="14.453125" style="58" bestFit="1" customWidth="1"/>
    <col min="7" max="8" width="4.36328125" style="256" bestFit="1" customWidth="1"/>
    <col min="9" max="9" width="6.36328125" style="256" bestFit="1" customWidth="1"/>
    <col min="10" max="14" width="5.6328125" style="256" customWidth="1"/>
  </cols>
  <sheetData>
    <row r="1" spans="1:16" ht="12" customHeight="1" x14ac:dyDescent="0.25">
      <c r="A1" s="236" t="s">
        <v>495</v>
      </c>
      <c r="B1" s="236" t="s">
        <v>317</v>
      </c>
      <c r="C1" s="237" t="s">
        <v>143</v>
      </c>
      <c r="D1" s="237" t="s">
        <v>496</v>
      </c>
      <c r="E1" s="236" t="s">
        <v>497</v>
      </c>
      <c r="F1" s="236" t="s">
        <v>498</v>
      </c>
      <c r="G1" s="237" t="s">
        <v>499</v>
      </c>
      <c r="H1" s="419" t="s">
        <v>29</v>
      </c>
      <c r="I1" s="572" t="s">
        <v>1123</v>
      </c>
      <c r="J1" s="572" t="s">
        <v>500</v>
      </c>
      <c r="K1" s="584" t="s">
        <v>501</v>
      </c>
      <c r="L1" s="584" t="s">
        <v>502</v>
      </c>
      <c r="M1" s="584" t="s">
        <v>503</v>
      </c>
      <c r="N1" s="585" t="s">
        <v>504</v>
      </c>
    </row>
    <row r="2" spans="1:16" ht="12" customHeight="1" x14ac:dyDescent="0.25">
      <c r="A2" s="238" t="s">
        <v>505</v>
      </c>
      <c r="B2" s="238" t="s">
        <v>506</v>
      </c>
      <c r="C2" s="239">
        <v>3</v>
      </c>
      <c r="D2" s="239" t="s">
        <v>507</v>
      </c>
      <c r="E2" s="238" t="s">
        <v>508</v>
      </c>
      <c r="F2" s="238" t="s">
        <v>509</v>
      </c>
      <c r="G2" s="239">
        <v>5</v>
      </c>
      <c r="H2" s="420">
        <v>6</v>
      </c>
      <c r="I2" s="573"/>
      <c r="J2" s="573"/>
      <c r="K2" s="239"/>
      <c r="L2" s="239"/>
      <c r="M2" s="239"/>
      <c r="N2" s="586"/>
      <c r="O2" s="639"/>
      <c r="P2" s="639"/>
    </row>
    <row r="3" spans="1:16" ht="12" customHeight="1" x14ac:dyDescent="0.25">
      <c r="A3" s="240" t="s">
        <v>510</v>
      </c>
      <c r="B3" s="240" t="s">
        <v>511</v>
      </c>
      <c r="C3" s="241">
        <v>6</v>
      </c>
      <c r="D3" s="241" t="s">
        <v>512</v>
      </c>
      <c r="E3" s="240" t="s">
        <v>477</v>
      </c>
      <c r="F3" s="240" t="s">
        <v>513</v>
      </c>
      <c r="G3" s="241">
        <v>30</v>
      </c>
      <c r="H3" s="421">
        <v>1</v>
      </c>
      <c r="I3" s="574"/>
      <c r="J3" s="574"/>
      <c r="K3" s="241"/>
      <c r="L3" s="241"/>
      <c r="M3" s="241"/>
      <c r="N3" s="587"/>
      <c r="O3" s="639"/>
      <c r="P3" s="639"/>
    </row>
    <row r="4" spans="1:16" ht="12" customHeight="1" x14ac:dyDescent="0.25">
      <c r="A4" s="484"/>
      <c r="B4" s="484" t="s">
        <v>1091</v>
      </c>
      <c r="C4" s="485"/>
      <c r="D4" s="485"/>
      <c r="E4" s="484"/>
      <c r="F4" s="484"/>
      <c r="G4" s="485"/>
      <c r="H4" s="486"/>
      <c r="I4" s="575"/>
      <c r="J4" s="575"/>
      <c r="K4" s="485"/>
      <c r="L4" s="485"/>
      <c r="M4" s="485"/>
      <c r="N4" s="588"/>
      <c r="O4" s="639"/>
      <c r="P4" s="639"/>
    </row>
    <row r="5" spans="1:16" ht="12" customHeight="1" x14ac:dyDescent="0.25">
      <c r="A5" s="238" t="s">
        <v>514</v>
      </c>
      <c r="B5" s="238" t="s">
        <v>515</v>
      </c>
      <c r="C5" s="239">
        <v>9</v>
      </c>
      <c r="D5" s="239" t="s">
        <v>516</v>
      </c>
      <c r="E5" s="238" t="s">
        <v>517</v>
      </c>
      <c r="F5" s="238" t="s">
        <v>518</v>
      </c>
      <c r="G5" s="239">
        <v>10</v>
      </c>
      <c r="H5" s="420">
        <v>12</v>
      </c>
      <c r="I5" s="573"/>
      <c r="J5" s="573"/>
      <c r="K5" s="239"/>
      <c r="L5" s="239"/>
      <c r="M5" s="239"/>
      <c r="N5" s="586"/>
      <c r="O5" s="639"/>
    </row>
    <row r="6" spans="1:16" ht="12" customHeight="1" x14ac:dyDescent="0.25">
      <c r="A6" s="248" t="s">
        <v>554</v>
      </c>
      <c r="B6" s="248" t="s">
        <v>555</v>
      </c>
      <c r="C6" s="249">
        <v>7</v>
      </c>
      <c r="D6" s="249" t="s">
        <v>556</v>
      </c>
      <c r="E6" s="248" t="s">
        <v>522</v>
      </c>
      <c r="F6" s="248" t="s">
        <v>557</v>
      </c>
      <c r="G6" s="249">
        <v>2</v>
      </c>
      <c r="H6" s="422">
        <v>2</v>
      </c>
      <c r="I6" s="576"/>
      <c r="J6" s="576"/>
      <c r="K6" s="249"/>
      <c r="L6" s="249"/>
      <c r="M6" s="249"/>
      <c r="N6" s="589"/>
    </row>
    <row r="7" spans="1:16" ht="12" customHeight="1" x14ac:dyDescent="0.25">
      <c r="A7" s="242" t="s">
        <v>519</v>
      </c>
      <c r="B7" s="242" t="s">
        <v>520</v>
      </c>
      <c r="C7" s="243">
        <v>2</v>
      </c>
      <c r="D7" s="243" t="s">
        <v>521</v>
      </c>
      <c r="E7" s="242" t="s">
        <v>522</v>
      </c>
      <c r="F7" s="242" t="s">
        <v>523</v>
      </c>
      <c r="G7" s="243">
        <v>20</v>
      </c>
      <c r="H7" s="423">
        <v>1</v>
      </c>
      <c r="I7" s="577"/>
      <c r="J7" s="577"/>
      <c r="K7" s="243"/>
      <c r="L7" s="243"/>
      <c r="M7" s="243"/>
      <c r="N7" s="590"/>
    </row>
    <row r="8" spans="1:16" ht="12" customHeight="1" x14ac:dyDescent="0.25">
      <c r="A8" s="238" t="s">
        <v>524</v>
      </c>
      <c r="B8" s="238" t="s">
        <v>525</v>
      </c>
      <c r="C8" s="239">
        <v>1</v>
      </c>
      <c r="D8" s="239" t="s">
        <v>526</v>
      </c>
      <c r="E8" s="238" t="s">
        <v>527</v>
      </c>
      <c r="F8" s="238" t="s">
        <v>528</v>
      </c>
      <c r="G8" s="239">
        <v>15</v>
      </c>
      <c r="H8" s="420">
        <v>2</v>
      </c>
      <c r="I8" s="573"/>
      <c r="J8" s="573"/>
      <c r="K8" s="239"/>
      <c r="L8" s="239"/>
      <c r="M8" s="239"/>
      <c r="N8" s="586"/>
    </row>
    <row r="9" spans="1:16" ht="12" customHeight="1" x14ac:dyDescent="0.25">
      <c r="A9" s="244" t="s">
        <v>529</v>
      </c>
      <c r="B9" s="244" t="s">
        <v>530</v>
      </c>
      <c r="C9" s="245">
        <v>5</v>
      </c>
      <c r="D9" s="245" t="s">
        <v>531</v>
      </c>
      <c r="E9" s="244" t="s">
        <v>532</v>
      </c>
      <c r="F9" s="244" t="s">
        <v>533</v>
      </c>
      <c r="G9" s="245">
        <v>100</v>
      </c>
      <c r="H9" s="424">
        <v>1</v>
      </c>
      <c r="I9" s="578"/>
      <c r="J9" s="578"/>
      <c r="K9" s="245"/>
      <c r="L9" s="245"/>
      <c r="M9" s="245"/>
      <c r="N9" s="591"/>
    </row>
    <row r="10" spans="1:16" ht="12" customHeight="1" x14ac:dyDescent="0.25">
      <c r="A10" s="240" t="s">
        <v>534</v>
      </c>
      <c r="B10" s="240" t="s">
        <v>535</v>
      </c>
      <c r="C10" s="241">
        <v>4</v>
      </c>
      <c r="D10" s="241" t="s">
        <v>512</v>
      </c>
      <c r="E10" s="240" t="s">
        <v>536</v>
      </c>
      <c r="F10" s="240" t="s">
        <v>537</v>
      </c>
      <c r="G10" s="241">
        <v>80</v>
      </c>
      <c r="H10" s="421">
        <v>1</v>
      </c>
      <c r="I10" s="574"/>
      <c r="J10" s="574"/>
      <c r="K10" s="241"/>
      <c r="L10" s="241"/>
      <c r="M10" s="241"/>
      <c r="N10" s="587"/>
    </row>
    <row r="11" spans="1:16" ht="12" customHeight="1" x14ac:dyDescent="0.25">
      <c r="A11" s="238" t="s">
        <v>538</v>
      </c>
      <c r="B11" s="238" t="s">
        <v>539</v>
      </c>
      <c r="C11" s="239">
        <v>8</v>
      </c>
      <c r="D11" s="239" t="s">
        <v>540</v>
      </c>
      <c r="E11" s="238" t="s">
        <v>508</v>
      </c>
      <c r="F11" s="238" t="s">
        <v>541</v>
      </c>
      <c r="G11" s="239">
        <v>5</v>
      </c>
      <c r="H11" s="420">
        <v>5</v>
      </c>
      <c r="I11" s="573"/>
      <c r="J11" s="573"/>
      <c r="K11" s="239"/>
      <c r="L11" s="239"/>
      <c r="M11" s="239"/>
      <c r="N11" s="586"/>
    </row>
    <row r="12" spans="1:16" ht="12" customHeight="1" x14ac:dyDescent="0.25">
      <c r="A12" s="238" t="s">
        <v>542</v>
      </c>
      <c r="B12" s="238" t="s">
        <v>543</v>
      </c>
      <c r="C12" s="239">
        <v>3</v>
      </c>
      <c r="D12" s="239" t="s">
        <v>544</v>
      </c>
      <c r="E12" s="238" t="s">
        <v>517</v>
      </c>
      <c r="F12" s="238" t="s">
        <v>545</v>
      </c>
      <c r="G12" s="239">
        <v>50</v>
      </c>
      <c r="H12" s="420">
        <v>2</v>
      </c>
      <c r="I12" s="573"/>
      <c r="J12" s="573"/>
      <c r="K12" s="239"/>
      <c r="L12" s="239"/>
      <c r="M12" s="239"/>
      <c r="N12" s="586"/>
    </row>
    <row r="13" spans="1:16" ht="12" customHeight="1" x14ac:dyDescent="0.25">
      <c r="A13" s="238" t="s">
        <v>546</v>
      </c>
      <c r="B13" s="238" t="s">
        <v>547</v>
      </c>
      <c r="C13" s="239">
        <v>5</v>
      </c>
      <c r="D13" s="239" t="s">
        <v>507</v>
      </c>
      <c r="E13" s="238" t="s">
        <v>548</v>
      </c>
      <c r="F13" s="238" t="s">
        <v>549</v>
      </c>
      <c r="G13" s="239">
        <v>20</v>
      </c>
      <c r="H13" s="420">
        <v>4</v>
      </c>
      <c r="I13" s="573"/>
      <c r="J13" s="573"/>
      <c r="K13" s="239"/>
      <c r="L13" s="239"/>
      <c r="M13" s="239"/>
      <c r="N13" s="586"/>
    </row>
    <row r="14" spans="1:16" ht="12" customHeight="1" x14ac:dyDescent="0.25">
      <c r="A14" s="246" t="s">
        <v>550</v>
      </c>
      <c r="B14" s="246" t="s">
        <v>551</v>
      </c>
      <c r="C14" s="247">
        <v>7</v>
      </c>
      <c r="D14" s="247" t="s">
        <v>552</v>
      </c>
      <c r="E14" s="246" t="s">
        <v>477</v>
      </c>
      <c r="F14" s="246" t="s">
        <v>553</v>
      </c>
      <c r="G14" s="247">
        <v>30</v>
      </c>
      <c r="H14" s="425">
        <v>1</v>
      </c>
      <c r="I14" s="579"/>
      <c r="J14" s="579"/>
      <c r="K14" s="247"/>
      <c r="L14" s="247"/>
      <c r="M14" s="247"/>
      <c r="N14" s="592"/>
    </row>
    <row r="15" spans="1:16" ht="12" customHeight="1" x14ac:dyDescent="0.25">
      <c r="A15" s="238" t="s">
        <v>558</v>
      </c>
      <c r="B15" s="238" t="s">
        <v>559</v>
      </c>
      <c r="C15" s="239">
        <v>2</v>
      </c>
      <c r="D15" s="239" t="s">
        <v>507</v>
      </c>
      <c r="E15" s="238" t="s">
        <v>560</v>
      </c>
      <c r="F15" s="238" t="s">
        <v>561</v>
      </c>
      <c r="G15" s="239">
        <v>10</v>
      </c>
      <c r="H15" s="420">
        <v>1</v>
      </c>
      <c r="I15" s="573"/>
      <c r="J15" s="573"/>
      <c r="K15" s="239"/>
      <c r="L15" s="239"/>
      <c r="M15" s="239"/>
      <c r="N15" s="586"/>
    </row>
    <row r="16" spans="1:16" ht="12" customHeight="1" x14ac:dyDescent="0.25">
      <c r="A16" s="238" t="s">
        <v>587</v>
      </c>
      <c r="B16" s="238" t="s">
        <v>588</v>
      </c>
      <c r="C16" s="239">
        <v>9</v>
      </c>
      <c r="D16" s="239" t="s">
        <v>516</v>
      </c>
      <c r="E16" s="238" t="s">
        <v>527</v>
      </c>
      <c r="F16" s="238" t="s">
        <v>582</v>
      </c>
      <c r="G16" s="239">
        <v>5</v>
      </c>
      <c r="H16" s="420">
        <v>2</v>
      </c>
      <c r="I16" s="573"/>
      <c r="J16" s="573"/>
      <c r="K16" s="239"/>
      <c r="L16" s="239"/>
      <c r="M16" s="239"/>
      <c r="N16" s="586"/>
    </row>
    <row r="17" spans="1:14" ht="12" customHeight="1" x14ac:dyDescent="0.25">
      <c r="A17" s="238" t="s">
        <v>562</v>
      </c>
      <c r="B17" s="238" t="s">
        <v>563</v>
      </c>
      <c r="C17" s="239">
        <v>1</v>
      </c>
      <c r="D17" s="239" t="s">
        <v>507</v>
      </c>
      <c r="E17" s="238" t="s">
        <v>564</v>
      </c>
      <c r="F17" s="238" t="s">
        <v>565</v>
      </c>
      <c r="G17" s="239">
        <v>25</v>
      </c>
      <c r="H17" s="420">
        <v>1</v>
      </c>
      <c r="I17" s="573"/>
      <c r="J17" s="573"/>
      <c r="K17" s="239"/>
      <c r="L17" s="239"/>
      <c r="M17" s="239"/>
      <c r="N17" s="586"/>
    </row>
    <row r="18" spans="1:14" ht="12" customHeight="1" x14ac:dyDescent="0.25">
      <c r="A18" s="238" t="s">
        <v>566</v>
      </c>
      <c r="B18" s="238" t="s">
        <v>567</v>
      </c>
      <c r="C18" s="239">
        <v>9</v>
      </c>
      <c r="D18" s="239" t="s">
        <v>507</v>
      </c>
      <c r="E18" s="238" t="s">
        <v>568</v>
      </c>
      <c r="F18" s="238" t="s">
        <v>569</v>
      </c>
      <c r="G18" s="239">
        <v>5</v>
      </c>
      <c r="H18" s="420">
        <v>6</v>
      </c>
      <c r="I18" s="573"/>
      <c r="J18" s="573"/>
      <c r="K18" s="239"/>
      <c r="L18" s="239"/>
      <c r="M18" s="239"/>
      <c r="N18" s="586"/>
    </row>
    <row r="19" spans="1:14" ht="12" customHeight="1" x14ac:dyDescent="0.25">
      <c r="A19" s="250" t="s">
        <v>570</v>
      </c>
      <c r="B19" s="250" t="s">
        <v>571</v>
      </c>
      <c r="C19" s="251">
        <v>9</v>
      </c>
      <c r="D19" s="251" t="s">
        <v>572</v>
      </c>
      <c r="E19" s="250" t="s">
        <v>527</v>
      </c>
      <c r="F19" s="250" t="s">
        <v>573</v>
      </c>
      <c r="G19" s="251">
        <v>10</v>
      </c>
      <c r="H19" s="426">
        <v>1</v>
      </c>
      <c r="I19" s="580"/>
      <c r="J19" s="580"/>
      <c r="K19" s="251"/>
      <c r="L19" s="251"/>
      <c r="M19" s="251"/>
      <c r="N19" s="593"/>
    </row>
    <row r="20" spans="1:14" ht="12" customHeight="1" x14ac:dyDescent="0.25">
      <c r="A20" s="238" t="s">
        <v>574</v>
      </c>
      <c r="B20" s="238" t="s">
        <v>575</v>
      </c>
      <c r="C20" s="239">
        <v>2</v>
      </c>
      <c r="D20" s="239" t="s">
        <v>526</v>
      </c>
      <c r="E20" s="238" t="s">
        <v>576</v>
      </c>
      <c r="F20" s="238" t="s">
        <v>577</v>
      </c>
      <c r="G20" s="239">
        <v>80</v>
      </c>
      <c r="H20" s="420">
        <v>1</v>
      </c>
      <c r="I20" s="573"/>
      <c r="J20" s="573"/>
      <c r="K20" s="239"/>
      <c r="L20" s="239"/>
      <c r="M20" s="239"/>
      <c r="N20" s="586"/>
    </row>
    <row r="21" spans="1:14" ht="12" customHeight="1" x14ac:dyDescent="0.25">
      <c r="A21" s="238" t="s">
        <v>578</v>
      </c>
      <c r="B21" s="238" t="s">
        <v>579</v>
      </c>
      <c r="C21" s="239">
        <v>5</v>
      </c>
      <c r="D21" s="239" t="s">
        <v>540</v>
      </c>
      <c r="E21" s="238" t="s">
        <v>508</v>
      </c>
      <c r="F21" s="238" t="s">
        <v>557</v>
      </c>
      <c r="G21" s="239">
        <v>10</v>
      </c>
      <c r="H21" s="420">
        <v>5</v>
      </c>
      <c r="I21" s="573"/>
      <c r="J21" s="573"/>
      <c r="K21" s="239"/>
      <c r="L21" s="239"/>
      <c r="M21" s="239"/>
      <c r="N21" s="586"/>
    </row>
    <row r="22" spans="1:14" ht="12" customHeight="1" x14ac:dyDescent="0.25">
      <c r="A22" s="242" t="s">
        <v>580</v>
      </c>
      <c r="B22" s="242" t="s">
        <v>581</v>
      </c>
      <c r="C22" s="243">
        <v>6</v>
      </c>
      <c r="D22" s="243" t="s">
        <v>521</v>
      </c>
      <c r="E22" s="242" t="s">
        <v>477</v>
      </c>
      <c r="F22" s="242" t="s">
        <v>582</v>
      </c>
      <c r="G22" s="243">
        <v>30</v>
      </c>
      <c r="H22" s="423">
        <v>5</v>
      </c>
      <c r="I22" s="577"/>
      <c r="J22" s="577"/>
      <c r="K22" s="243"/>
      <c r="L22" s="243"/>
      <c r="M22" s="243"/>
      <c r="N22" s="590"/>
    </row>
    <row r="23" spans="1:14" ht="12" customHeight="1" x14ac:dyDescent="0.25">
      <c r="A23" s="238" t="s">
        <v>583</v>
      </c>
      <c r="B23" s="238" t="s">
        <v>584</v>
      </c>
      <c r="C23" s="239">
        <v>3</v>
      </c>
      <c r="D23" s="239" t="s">
        <v>585</v>
      </c>
      <c r="E23" s="238" t="s">
        <v>527</v>
      </c>
      <c r="F23" s="238" t="s">
        <v>586</v>
      </c>
      <c r="G23" s="239">
        <v>70</v>
      </c>
      <c r="H23" s="420">
        <v>1</v>
      </c>
      <c r="I23" s="573"/>
      <c r="J23" s="573"/>
      <c r="K23" s="239"/>
      <c r="L23" s="239"/>
      <c r="M23" s="239"/>
      <c r="N23" s="586"/>
    </row>
    <row r="24" spans="1:14" ht="12" customHeight="1" x14ac:dyDescent="0.25">
      <c r="A24" s="242" t="s">
        <v>589</v>
      </c>
      <c r="B24" s="242" t="s">
        <v>590</v>
      </c>
      <c r="C24" s="243">
        <v>6</v>
      </c>
      <c r="D24" s="243" t="s">
        <v>521</v>
      </c>
      <c r="E24" s="242" t="s">
        <v>477</v>
      </c>
      <c r="F24" s="242" t="s">
        <v>591</v>
      </c>
      <c r="G24" s="243">
        <v>40</v>
      </c>
      <c r="H24" s="423">
        <v>1</v>
      </c>
      <c r="I24" s="577"/>
      <c r="J24" s="577"/>
      <c r="K24" s="243"/>
      <c r="L24" s="243"/>
      <c r="M24" s="243"/>
      <c r="N24" s="590"/>
    </row>
    <row r="25" spans="1:14" ht="12" customHeight="1" x14ac:dyDescent="0.25">
      <c r="A25" s="240" t="s">
        <v>598</v>
      </c>
      <c r="B25" s="240" t="s">
        <v>599</v>
      </c>
      <c r="C25" s="241">
        <v>3</v>
      </c>
      <c r="D25" s="241" t="s">
        <v>512</v>
      </c>
      <c r="E25" s="240" t="s">
        <v>477</v>
      </c>
      <c r="F25" s="240" t="s">
        <v>600</v>
      </c>
      <c r="G25" s="241">
        <v>10</v>
      </c>
      <c r="H25" s="421">
        <v>1</v>
      </c>
      <c r="I25" s="574"/>
      <c r="J25" s="574"/>
      <c r="K25" s="241"/>
      <c r="L25" s="241"/>
      <c r="M25" s="241"/>
      <c r="N25" s="587"/>
    </row>
    <row r="26" spans="1:14" ht="12" customHeight="1" x14ac:dyDescent="0.25">
      <c r="A26" s="246" t="s">
        <v>592</v>
      </c>
      <c r="B26" s="246" t="s">
        <v>593</v>
      </c>
      <c r="C26" s="247">
        <v>6</v>
      </c>
      <c r="D26" s="247" t="s">
        <v>552</v>
      </c>
      <c r="E26" s="246" t="s">
        <v>560</v>
      </c>
      <c r="F26" s="246" t="s">
        <v>594</v>
      </c>
      <c r="G26" s="247">
        <v>50</v>
      </c>
      <c r="H26" s="425">
        <v>1</v>
      </c>
      <c r="I26" s="579"/>
      <c r="J26" s="579"/>
      <c r="K26" s="247"/>
      <c r="L26" s="247"/>
      <c r="M26" s="247"/>
      <c r="N26" s="592"/>
    </row>
    <row r="27" spans="1:14" ht="12" customHeight="1" x14ac:dyDescent="0.25">
      <c r="A27" s="238" t="s">
        <v>601</v>
      </c>
      <c r="B27" s="238" t="s">
        <v>602</v>
      </c>
      <c r="C27" s="239">
        <v>4</v>
      </c>
      <c r="D27" s="239" t="s">
        <v>507</v>
      </c>
      <c r="E27" s="238" t="s">
        <v>517</v>
      </c>
      <c r="F27" s="238" t="s">
        <v>509</v>
      </c>
      <c r="G27" s="239">
        <v>10</v>
      </c>
      <c r="H27" s="420">
        <v>14</v>
      </c>
      <c r="I27" s="573"/>
      <c r="J27" s="573"/>
      <c r="K27" s="239"/>
      <c r="L27" s="239"/>
      <c r="M27" s="239"/>
      <c r="N27" s="586"/>
    </row>
    <row r="28" spans="1:14" ht="12" customHeight="1" x14ac:dyDescent="0.25">
      <c r="A28" s="238" t="s">
        <v>603</v>
      </c>
      <c r="B28" s="238" t="s">
        <v>604</v>
      </c>
      <c r="C28" s="239">
        <v>9</v>
      </c>
      <c r="D28" s="239" t="s">
        <v>507</v>
      </c>
      <c r="E28" s="238">
        <v>5</v>
      </c>
      <c r="F28" s="238" t="s">
        <v>605</v>
      </c>
      <c r="G28" s="239">
        <v>5</v>
      </c>
      <c r="H28" s="420">
        <v>5</v>
      </c>
      <c r="I28" s="573"/>
      <c r="J28" s="573"/>
      <c r="K28" s="239"/>
      <c r="L28" s="239"/>
      <c r="M28" s="239"/>
      <c r="N28" s="586"/>
    </row>
    <row r="29" spans="1:14" ht="12" customHeight="1" x14ac:dyDescent="0.25">
      <c r="A29" s="248" t="s">
        <v>648</v>
      </c>
      <c r="B29" s="248" t="s">
        <v>649</v>
      </c>
      <c r="C29" s="249">
        <v>3</v>
      </c>
      <c r="D29" s="249" t="s">
        <v>556</v>
      </c>
      <c r="E29" s="248" t="s">
        <v>477</v>
      </c>
      <c r="F29" s="248" t="s">
        <v>477</v>
      </c>
      <c r="G29" s="249">
        <v>50</v>
      </c>
      <c r="H29" s="422">
        <v>1</v>
      </c>
      <c r="I29" s="576"/>
      <c r="J29" s="576"/>
      <c r="K29" s="249"/>
      <c r="L29" s="249"/>
      <c r="M29" s="249"/>
      <c r="N29" s="589"/>
    </row>
    <row r="30" spans="1:14" ht="12" customHeight="1" x14ac:dyDescent="0.25">
      <c r="A30" s="248" t="s">
        <v>650</v>
      </c>
      <c r="B30" s="248" t="s">
        <v>651</v>
      </c>
      <c r="C30" s="249">
        <v>7</v>
      </c>
      <c r="D30" s="249" t="s">
        <v>556</v>
      </c>
      <c r="E30" s="248" t="s">
        <v>609</v>
      </c>
      <c r="F30" s="248" t="s">
        <v>652</v>
      </c>
      <c r="G30" s="249">
        <v>300</v>
      </c>
      <c r="H30" s="422">
        <v>1</v>
      </c>
      <c r="I30" s="576"/>
      <c r="J30" s="576"/>
      <c r="K30" s="249"/>
      <c r="L30" s="249"/>
      <c r="M30" s="249"/>
      <c r="N30" s="589"/>
    </row>
    <row r="31" spans="1:14" ht="12" customHeight="1" x14ac:dyDescent="0.25">
      <c r="A31" s="238" t="s">
        <v>616</v>
      </c>
      <c r="B31" s="238" t="s">
        <v>617</v>
      </c>
      <c r="C31" s="239">
        <v>7</v>
      </c>
      <c r="D31" s="239" t="s">
        <v>507</v>
      </c>
      <c r="E31" s="238">
        <v>9</v>
      </c>
      <c r="F31" s="238" t="s">
        <v>618</v>
      </c>
      <c r="G31" s="239">
        <v>10</v>
      </c>
      <c r="H31" s="420">
        <v>1</v>
      </c>
      <c r="I31" s="573"/>
      <c r="J31" s="573"/>
      <c r="K31" s="239"/>
      <c r="L31" s="239"/>
      <c r="M31" s="239"/>
      <c r="N31" s="586"/>
    </row>
    <row r="32" spans="1:14" ht="12" customHeight="1" x14ac:dyDescent="0.25">
      <c r="A32" s="248" t="s">
        <v>611</v>
      </c>
      <c r="B32" s="248" t="s">
        <v>612</v>
      </c>
      <c r="C32" s="249">
        <v>2</v>
      </c>
      <c r="D32" s="249" t="s">
        <v>556</v>
      </c>
      <c r="E32" s="248" t="s">
        <v>508</v>
      </c>
      <c r="F32" s="248" t="s">
        <v>477</v>
      </c>
      <c r="G32" s="249">
        <v>15</v>
      </c>
      <c r="H32" s="422">
        <v>1</v>
      </c>
      <c r="I32" s="576"/>
      <c r="J32" s="576"/>
      <c r="K32" s="249"/>
      <c r="L32" s="249"/>
      <c r="M32" s="249"/>
      <c r="N32" s="589"/>
    </row>
    <row r="33" spans="1:14" ht="12" customHeight="1" x14ac:dyDescent="0.25">
      <c r="A33" s="248" t="s">
        <v>592</v>
      </c>
      <c r="B33" s="248" t="s">
        <v>595</v>
      </c>
      <c r="C33" s="249">
        <v>2</v>
      </c>
      <c r="D33" s="249" t="s">
        <v>556</v>
      </c>
      <c r="E33" s="248" t="s">
        <v>477</v>
      </c>
      <c r="F33" s="248" t="s">
        <v>596</v>
      </c>
      <c r="G33" s="249">
        <v>5</v>
      </c>
      <c r="H33" s="422" t="s">
        <v>597</v>
      </c>
      <c r="I33" s="576"/>
      <c r="J33" s="576"/>
      <c r="K33" s="249"/>
      <c r="L33" s="249"/>
      <c r="M33" s="249"/>
      <c r="N33" s="589"/>
    </row>
    <row r="34" spans="1:14" ht="12" customHeight="1" x14ac:dyDescent="0.25">
      <c r="A34" s="238" t="s">
        <v>613</v>
      </c>
      <c r="B34" s="238" t="s">
        <v>614</v>
      </c>
      <c r="C34" s="239">
        <v>8</v>
      </c>
      <c r="D34" s="239" t="s">
        <v>544</v>
      </c>
      <c r="E34" s="238" t="s">
        <v>517</v>
      </c>
      <c r="F34" s="238" t="s">
        <v>615</v>
      </c>
      <c r="G34" s="239">
        <v>10</v>
      </c>
      <c r="H34" s="420">
        <v>3</v>
      </c>
      <c r="I34" s="573"/>
      <c r="J34" s="573"/>
      <c r="K34" s="239"/>
      <c r="L34" s="239"/>
      <c r="M34" s="239"/>
      <c r="N34" s="586"/>
    </row>
    <row r="35" spans="1:14" ht="12" customHeight="1" x14ac:dyDescent="0.25">
      <c r="A35" s="246" t="s">
        <v>619</v>
      </c>
      <c r="B35" s="246" t="s">
        <v>620</v>
      </c>
      <c r="C35" s="247">
        <v>3</v>
      </c>
      <c r="D35" s="247" t="s">
        <v>552</v>
      </c>
      <c r="E35" s="246" t="s">
        <v>517</v>
      </c>
      <c r="F35" s="246" t="s">
        <v>621</v>
      </c>
      <c r="G35" s="247">
        <v>30</v>
      </c>
      <c r="H35" s="425">
        <v>1</v>
      </c>
      <c r="I35" s="579"/>
      <c r="J35" s="579"/>
      <c r="K35" s="247"/>
      <c r="L35" s="247"/>
      <c r="M35" s="247"/>
      <c r="N35" s="592"/>
    </row>
    <row r="36" spans="1:14" ht="12" customHeight="1" x14ac:dyDescent="0.25">
      <c r="A36" s="246" t="s">
        <v>622</v>
      </c>
      <c r="B36" s="246" t="s">
        <v>623</v>
      </c>
      <c r="C36" s="247">
        <v>2</v>
      </c>
      <c r="D36" s="247" t="s">
        <v>552</v>
      </c>
      <c r="E36" s="246" t="s">
        <v>477</v>
      </c>
      <c r="F36" s="246" t="s">
        <v>573</v>
      </c>
      <c r="G36" s="247">
        <v>80</v>
      </c>
      <c r="H36" s="425">
        <v>1</v>
      </c>
      <c r="I36" s="579"/>
      <c r="J36" s="579"/>
      <c r="K36" s="247"/>
      <c r="L36" s="247"/>
      <c r="M36" s="247"/>
      <c r="N36" s="592"/>
    </row>
    <row r="37" spans="1:14" ht="12" customHeight="1" x14ac:dyDescent="0.25">
      <c r="A37" s="254" t="s">
        <v>624</v>
      </c>
      <c r="B37" s="254" t="s">
        <v>625</v>
      </c>
      <c r="C37" s="255">
        <v>8</v>
      </c>
      <c r="D37" s="255" t="s">
        <v>626</v>
      </c>
      <c r="E37" s="254" t="s">
        <v>627</v>
      </c>
      <c r="F37" s="254" t="s">
        <v>586</v>
      </c>
      <c r="G37" s="255">
        <v>15</v>
      </c>
      <c r="H37" s="427">
        <v>6</v>
      </c>
      <c r="I37" s="581"/>
      <c r="J37" s="581"/>
      <c r="K37" s="255"/>
      <c r="L37" s="255"/>
      <c r="M37" s="255"/>
      <c r="N37" s="594"/>
    </row>
    <row r="38" spans="1:14" ht="12" customHeight="1" x14ac:dyDescent="0.25">
      <c r="A38" s="238" t="s">
        <v>628</v>
      </c>
      <c r="B38" s="238" t="s">
        <v>629</v>
      </c>
      <c r="C38" s="239">
        <v>8</v>
      </c>
      <c r="D38" s="239" t="s">
        <v>516</v>
      </c>
      <c r="E38" s="238" t="s">
        <v>508</v>
      </c>
      <c r="F38" s="238" t="s">
        <v>577</v>
      </c>
      <c r="G38" s="239">
        <v>10</v>
      </c>
      <c r="H38" s="420">
        <v>8</v>
      </c>
      <c r="I38" s="573"/>
      <c r="J38" s="573"/>
      <c r="K38" s="239"/>
      <c r="L38" s="239"/>
      <c r="M38" s="239"/>
      <c r="N38" s="586"/>
    </row>
    <row r="39" spans="1:14" ht="12" customHeight="1" x14ac:dyDescent="0.25">
      <c r="A39" s="248" t="s">
        <v>639</v>
      </c>
      <c r="B39" s="248" t="s">
        <v>640</v>
      </c>
      <c r="C39" s="249">
        <v>9</v>
      </c>
      <c r="D39" s="249" t="s">
        <v>556</v>
      </c>
      <c r="E39" s="248" t="s">
        <v>477</v>
      </c>
      <c r="F39" s="248" t="s">
        <v>577</v>
      </c>
      <c r="G39" s="249">
        <v>20</v>
      </c>
      <c r="H39" s="422">
        <v>1</v>
      </c>
      <c r="I39" s="576"/>
      <c r="J39" s="576"/>
      <c r="K39" s="249"/>
      <c r="L39" s="249"/>
      <c r="M39" s="249"/>
      <c r="N39" s="589"/>
    </row>
    <row r="40" spans="1:14" ht="12" customHeight="1" x14ac:dyDescent="0.25">
      <c r="A40" s="248" t="s">
        <v>658</v>
      </c>
      <c r="B40" s="248" t="s">
        <v>659</v>
      </c>
      <c r="C40" s="249">
        <v>5</v>
      </c>
      <c r="D40" s="249" t="s">
        <v>556</v>
      </c>
      <c r="E40" s="248" t="s">
        <v>660</v>
      </c>
      <c r="F40" s="248" t="s">
        <v>477</v>
      </c>
      <c r="G40" s="249">
        <v>20</v>
      </c>
      <c r="H40" s="422">
        <v>1</v>
      </c>
      <c r="I40" s="576"/>
      <c r="J40" s="576"/>
      <c r="K40" s="249"/>
      <c r="L40" s="249"/>
      <c r="M40" s="249"/>
      <c r="N40" s="589"/>
    </row>
    <row r="41" spans="1:14" ht="12" customHeight="1" x14ac:dyDescent="0.25">
      <c r="A41" s="246" t="s">
        <v>632</v>
      </c>
      <c r="B41" s="246" t="s">
        <v>633</v>
      </c>
      <c r="C41" s="247">
        <v>6</v>
      </c>
      <c r="D41" s="247" t="s">
        <v>552</v>
      </c>
      <c r="E41" s="246" t="s">
        <v>634</v>
      </c>
      <c r="F41" s="246" t="s">
        <v>594</v>
      </c>
      <c r="G41" s="247">
        <v>150</v>
      </c>
      <c r="H41" s="425">
        <v>1</v>
      </c>
      <c r="I41" s="579"/>
      <c r="J41" s="579"/>
      <c r="K41" s="247"/>
      <c r="L41" s="247"/>
      <c r="M41" s="247"/>
      <c r="N41" s="592"/>
    </row>
    <row r="42" spans="1:14" ht="12" customHeight="1" x14ac:dyDescent="0.25">
      <c r="A42" s="244" t="s">
        <v>521</v>
      </c>
      <c r="B42" s="244" t="s">
        <v>630</v>
      </c>
      <c r="C42" s="245">
        <v>4</v>
      </c>
      <c r="D42" s="245" t="s">
        <v>531</v>
      </c>
      <c r="E42" s="244" t="s">
        <v>477</v>
      </c>
      <c r="F42" s="244" t="s">
        <v>631</v>
      </c>
      <c r="G42" s="245">
        <v>120</v>
      </c>
      <c r="H42" s="424">
        <v>1</v>
      </c>
      <c r="I42" s="578"/>
      <c r="J42" s="578"/>
      <c r="K42" s="245"/>
      <c r="L42" s="245"/>
      <c r="M42" s="245"/>
      <c r="N42" s="591"/>
    </row>
    <row r="43" spans="1:14" ht="12" customHeight="1" x14ac:dyDescent="0.25">
      <c r="A43" s="252" t="s">
        <v>655</v>
      </c>
      <c r="B43" s="252" t="s">
        <v>656</v>
      </c>
      <c r="C43" s="253">
        <v>2</v>
      </c>
      <c r="D43" s="253" t="s">
        <v>608</v>
      </c>
      <c r="E43" s="252" t="s">
        <v>637</v>
      </c>
      <c r="F43" s="252" t="s">
        <v>477</v>
      </c>
      <c r="G43" s="253">
        <v>10</v>
      </c>
      <c r="H43" s="428" t="s">
        <v>657</v>
      </c>
      <c r="I43" s="582"/>
      <c r="J43" s="582"/>
      <c r="K43" s="253"/>
      <c r="L43" s="253"/>
      <c r="M43" s="253"/>
      <c r="N43" s="595"/>
    </row>
    <row r="44" spans="1:14" ht="12" customHeight="1" x14ac:dyDescent="0.25">
      <c r="A44" s="248" t="s">
        <v>653</v>
      </c>
      <c r="B44" s="248" t="s">
        <v>654</v>
      </c>
      <c r="C44" s="249">
        <v>8</v>
      </c>
      <c r="D44" s="249" t="s">
        <v>556</v>
      </c>
      <c r="E44" s="248" t="s">
        <v>477</v>
      </c>
      <c r="F44" s="248" t="s">
        <v>477</v>
      </c>
      <c r="G44" s="249">
        <v>600</v>
      </c>
      <c r="H44" s="422">
        <v>1</v>
      </c>
      <c r="I44" s="576"/>
      <c r="J44" s="576"/>
      <c r="K44" s="249"/>
      <c r="L44" s="249"/>
      <c r="M44" s="249"/>
      <c r="N44" s="589"/>
    </row>
    <row r="45" spans="1:14" ht="12" customHeight="1" x14ac:dyDescent="0.25">
      <c r="A45" s="240" t="s">
        <v>641</v>
      </c>
      <c r="B45" s="240" t="s">
        <v>642</v>
      </c>
      <c r="C45" s="241">
        <v>4</v>
      </c>
      <c r="D45" s="241" t="s">
        <v>512</v>
      </c>
      <c r="E45" s="240" t="s">
        <v>477</v>
      </c>
      <c r="F45" s="240" t="s">
        <v>643</v>
      </c>
      <c r="G45" s="241">
        <v>200</v>
      </c>
      <c r="H45" s="421">
        <v>1</v>
      </c>
      <c r="I45" s="574"/>
      <c r="J45" s="574"/>
      <c r="K45" s="241"/>
      <c r="L45" s="241"/>
      <c r="M45" s="241"/>
      <c r="N45" s="587"/>
    </row>
    <row r="46" spans="1:14" ht="12" customHeight="1" x14ac:dyDescent="0.25">
      <c r="A46" s="248" t="s">
        <v>646</v>
      </c>
      <c r="B46" s="248" t="s">
        <v>647</v>
      </c>
      <c r="C46" s="249">
        <v>8</v>
      </c>
      <c r="D46" s="249" t="s">
        <v>556</v>
      </c>
      <c r="E46" s="248" t="s">
        <v>477</v>
      </c>
      <c r="F46" s="248" t="s">
        <v>477</v>
      </c>
      <c r="G46" s="249">
        <v>80</v>
      </c>
      <c r="H46" s="422">
        <v>2</v>
      </c>
      <c r="I46" s="576"/>
      <c r="J46" s="576"/>
      <c r="K46" s="249"/>
      <c r="L46" s="249"/>
      <c r="M46" s="249"/>
      <c r="N46" s="589"/>
    </row>
    <row r="47" spans="1:14" ht="12" customHeight="1" x14ac:dyDescent="0.25">
      <c r="A47" s="240" t="s">
        <v>644</v>
      </c>
      <c r="B47" s="240" t="s">
        <v>645</v>
      </c>
      <c r="C47" s="241">
        <v>2</v>
      </c>
      <c r="D47" s="241" t="s">
        <v>512</v>
      </c>
      <c r="E47" s="240" t="s">
        <v>477</v>
      </c>
      <c r="F47" s="240" t="s">
        <v>621</v>
      </c>
      <c r="G47" s="241">
        <v>500</v>
      </c>
      <c r="H47" s="421">
        <v>1</v>
      </c>
      <c r="I47" s="574"/>
      <c r="J47" s="574"/>
      <c r="K47" s="241"/>
      <c r="L47" s="241"/>
      <c r="M47" s="241"/>
      <c r="N47" s="587"/>
    </row>
    <row r="48" spans="1:14" ht="12" customHeight="1" x14ac:dyDescent="0.25">
      <c r="A48" s="252" t="s">
        <v>635</v>
      </c>
      <c r="B48" s="252" t="s">
        <v>636</v>
      </c>
      <c r="C48" s="253">
        <v>8</v>
      </c>
      <c r="D48" s="253" t="s">
        <v>608</v>
      </c>
      <c r="E48" s="252" t="s">
        <v>637</v>
      </c>
      <c r="F48" s="252" t="s">
        <v>638</v>
      </c>
      <c r="G48" s="253">
        <v>15</v>
      </c>
      <c r="H48" s="428">
        <v>16</v>
      </c>
      <c r="I48" s="582"/>
      <c r="J48" s="582"/>
      <c r="K48" s="253"/>
      <c r="L48" s="253"/>
      <c r="M48" s="253"/>
      <c r="N48" s="595"/>
    </row>
    <row r="49" spans="1:14" ht="12" customHeight="1" x14ac:dyDescent="0.25">
      <c r="A49" s="252" t="s">
        <v>606</v>
      </c>
      <c r="B49" s="252" t="s">
        <v>607</v>
      </c>
      <c r="C49" s="253">
        <v>3</v>
      </c>
      <c r="D49" s="253" t="s">
        <v>608</v>
      </c>
      <c r="E49" s="252" t="s">
        <v>609</v>
      </c>
      <c r="F49" s="252" t="s">
        <v>477</v>
      </c>
      <c r="G49" s="253">
        <v>20</v>
      </c>
      <c r="H49" s="428" t="s">
        <v>610</v>
      </c>
      <c r="I49" s="582"/>
      <c r="J49" s="582"/>
      <c r="K49" s="253"/>
      <c r="L49" s="253"/>
      <c r="M49" s="253"/>
      <c r="N49" s="595"/>
    </row>
    <row r="50" spans="1:14" ht="12" customHeight="1" x14ac:dyDescent="0.25">
      <c r="A50" s="252" t="s">
        <v>675</v>
      </c>
      <c r="B50" s="252" t="s">
        <v>676</v>
      </c>
      <c r="C50" s="253">
        <v>4</v>
      </c>
      <c r="D50" s="253" t="s">
        <v>608</v>
      </c>
      <c r="E50" s="252" t="s">
        <v>677</v>
      </c>
      <c r="F50" s="252" t="s">
        <v>477</v>
      </c>
      <c r="G50" s="253">
        <v>250</v>
      </c>
      <c r="H50" s="428" t="s">
        <v>678</v>
      </c>
      <c r="I50" s="582"/>
      <c r="J50" s="582"/>
      <c r="K50" s="253"/>
      <c r="L50" s="253"/>
      <c r="M50" s="253"/>
      <c r="N50" s="595"/>
    </row>
    <row r="51" spans="1:14" ht="12" customHeight="1" x14ac:dyDescent="0.25">
      <c r="A51" s="252" t="s">
        <v>661</v>
      </c>
      <c r="B51" s="252" t="s">
        <v>662</v>
      </c>
      <c r="C51" s="253">
        <v>5</v>
      </c>
      <c r="D51" s="253" t="s">
        <v>608</v>
      </c>
      <c r="E51" s="252"/>
      <c r="F51" s="252" t="s">
        <v>663</v>
      </c>
      <c r="G51" s="253">
        <v>150</v>
      </c>
      <c r="H51" s="428" t="s">
        <v>664</v>
      </c>
      <c r="I51" s="582"/>
      <c r="J51" s="582"/>
      <c r="K51" s="253"/>
      <c r="L51" s="253"/>
      <c r="M51" s="253"/>
      <c r="N51" s="595"/>
    </row>
    <row r="52" spans="1:14" ht="12" customHeight="1" x14ac:dyDescent="0.25">
      <c r="A52" s="248" t="s">
        <v>679</v>
      </c>
      <c r="B52" s="248" t="s">
        <v>680</v>
      </c>
      <c r="C52" s="249">
        <v>2</v>
      </c>
      <c r="D52" s="249" t="s">
        <v>556</v>
      </c>
      <c r="E52" s="248" t="s">
        <v>609</v>
      </c>
      <c r="F52" s="248" t="s">
        <v>681</v>
      </c>
      <c r="G52" s="249">
        <v>20</v>
      </c>
      <c r="H52" s="422" t="s">
        <v>682</v>
      </c>
      <c r="I52" s="576"/>
      <c r="J52" s="576"/>
      <c r="K52" s="249"/>
      <c r="L52" s="249"/>
      <c r="M52" s="249"/>
      <c r="N52" s="589"/>
    </row>
    <row r="53" spans="1:14" ht="12" customHeight="1" x14ac:dyDescent="0.25">
      <c r="A53" s="240" t="s">
        <v>665</v>
      </c>
      <c r="B53" s="240" t="s">
        <v>666</v>
      </c>
      <c r="C53" s="241">
        <v>3</v>
      </c>
      <c r="D53" s="241" t="s">
        <v>512</v>
      </c>
      <c r="E53" s="240" t="s">
        <v>102</v>
      </c>
      <c r="F53" s="240" t="s">
        <v>509</v>
      </c>
      <c r="G53" s="241">
        <v>40</v>
      </c>
      <c r="H53" s="421">
        <v>1</v>
      </c>
      <c r="I53" s="574"/>
      <c r="J53" s="574"/>
      <c r="K53" s="241"/>
      <c r="L53" s="241"/>
      <c r="M53" s="241"/>
      <c r="N53" s="587"/>
    </row>
    <row r="54" spans="1:14" ht="12" customHeight="1" x14ac:dyDescent="0.25">
      <c r="A54" s="240" t="s">
        <v>667</v>
      </c>
      <c r="B54" s="240" t="s">
        <v>668</v>
      </c>
      <c r="C54" s="241">
        <v>1</v>
      </c>
      <c r="D54" s="241" t="s">
        <v>512</v>
      </c>
      <c r="E54" s="240" t="s">
        <v>669</v>
      </c>
      <c r="F54" s="240" t="s">
        <v>670</v>
      </c>
      <c r="G54" s="241">
        <v>60</v>
      </c>
      <c r="H54" s="421">
        <v>1</v>
      </c>
      <c r="I54" s="574"/>
      <c r="J54" s="574"/>
      <c r="K54" s="241"/>
      <c r="L54" s="241"/>
      <c r="M54" s="241"/>
      <c r="N54" s="587"/>
    </row>
    <row r="55" spans="1:14" ht="12" customHeight="1" x14ac:dyDescent="0.25">
      <c r="A55" s="252" t="s">
        <v>671</v>
      </c>
      <c r="B55" s="252" t="s">
        <v>672</v>
      </c>
      <c r="C55" s="253">
        <v>1</v>
      </c>
      <c r="D55" s="253" t="s">
        <v>608</v>
      </c>
      <c r="E55" s="252" t="s">
        <v>673</v>
      </c>
      <c r="F55" s="252" t="s">
        <v>674</v>
      </c>
      <c r="G55" s="253">
        <v>900</v>
      </c>
      <c r="H55" s="428">
        <v>2</v>
      </c>
      <c r="I55" s="582"/>
      <c r="J55" s="582"/>
      <c r="K55" s="253"/>
      <c r="L55" s="253"/>
      <c r="M55" s="253"/>
      <c r="N55" s="595"/>
    </row>
    <row r="56" spans="1:14" ht="12" customHeight="1" x14ac:dyDescent="0.25">
      <c r="A56" s="238" t="s">
        <v>683</v>
      </c>
      <c r="B56" s="238" t="s">
        <v>684</v>
      </c>
      <c r="C56" s="239">
        <v>2</v>
      </c>
      <c r="D56" s="239" t="s">
        <v>507</v>
      </c>
      <c r="E56" s="238" t="s">
        <v>685</v>
      </c>
      <c r="F56" s="238" t="s">
        <v>509</v>
      </c>
      <c r="G56" s="239">
        <v>20</v>
      </c>
      <c r="H56" s="420" t="s">
        <v>686</v>
      </c>
      <c r="I56" s="573"/>
      <c r="J56" s="573"/>
      <c r="K56" s="239"/>
      <c r="L56" s="239"/>
      <c r="M56" s="239"/>
      <c r="N56" s="586"/>
    </row>
    <row r="57" spans="1:14" ht="12" customHeight="1" x14ac:dyDescent="0.25">
      <c r="A57" s="240" t="s">
        <v>687</v>
      </c>
      <c r="B57" s="240" t="s">
        <v>688</v>
      </c>
      <c r="C57" s="241">
        <v>4</v>
      </c>
      <c r="D57" s="241" t="s">
        <v>512</v>
      </c>
      <c r="E57" s="240" t="s">
        <v>477</v>
      </c>
      <c r="F57" s="240" t="s">
        <v>561</v>
      </c>
      <c r="G57" s="241">
        <v>30</v>
      </c>
      <c r="H57" s="421">
        <v>1</v>
      </c>
      <c r="I57" s="574"/>
      <c r="J57" s="574"/>
      <c r="K57" s="241"/>
      <c r="L57" s="241"/>
      <c r="M57" s="241"/>
      <c r="N57" s="587"/>
    </row>
    <row r="58" spans="1:14" ht="12" customHeight="1" x14ac:dyDescent="0.25">
      <c r="A58" s="240" t="s">
        <v>689</v>
      </c>
      <c r="B58" s="240" t="s">
        <v>690</v>
      </c>
      <c r="C58" s="241">
        <v>3</v>
      </c>
      <c r="D58" s="241" t="s">
        <v>512</v>
      </c>
      <c r="E58" s="240" t="s">
        <v>527</v>
      </c>
      <c r="F58" s="240" t="s">
        <v>691</v>
      </c>
      <c r="G58" s="241">
        <v>40</v>
      </c>
      <c r="H58" s="421">
        <v>1</v>
      </c>
      <c r="I58" s="574"/>
      <c r="J58" s="574"/>
      <c r="K58" s="241"/>
      <c r="L58" s="241"/>
      <c r="M58" s="241"/>
      <c r="N58" s="587"/>
    </row>
    <row r="59" spans="1:14" ht="12" customHeight="1" x14ac:dyDescent="0.25">
      <c r="A59" s="238" t="s">
        <v>692</v>
      </c>
      <c r="B59" s="238" t="s">
        <v>693</v>
      </c>
      <c r="C59" s="239">
        <v>2</v>
      </c>
      <c r="D59" s="239" t="s">
        <v>507</v>
      </c>
      <c r="E59" s="238" t="s">
        <v>694</v>
      </c>
      <c r="F59" s="238" t="s">
        <v>695</v>
      </c>
      <c r="G59" s="239">
        <v>5</v>
      </c>
      <c r="H59" s="420" t="s">
        <v>597</v>
      </c>
      <c r="I59" s="573"/>
      <c r="J59" s="573"/>
      <c r="K59" s="239"/>
      <c r="L59" s="239"/>
      <c r="M59" s="239"/>
      <c r="N59" s="586"/>
    </row>
    <row r="60" spans="1:14" ht="12" customHeight="1" x14ac:dyDescent="0.25">
      <c r="A60" s="242" t="s">
        <v>696</v>
      </c>
      <c r="B60" s="242" t="s">
        <v>697</v>
      </c>
      <c r="C60" s="243">
        <v>2</v>
      </c>
      <c r="D60" s="243" t="s">
        <v>521</v>
      </c>
      <c r="E60" s="242" t="s">
        <v>637</v>
      </c>
      <c r="F60" s="242" t="s">
        <v>477</v>
      </c>
      <c r="G60" s="243">
        <v>90</v>
      </c>
      <c r="H60" s="423" t="s">
        <v>678</v>
      </c>
      <c r="I60" s="577"/>
      <c r="J60" s="577"/>
      <c r="K60" s="243"/>
      <c r="L60" s="243"/>
      <c r="M60" s="243"/>
      <c r="N60" s="590"/>
    </row>
    <row r="61" spans="1:14" ht="12" customHeight="1" x14ac:dyDescent="0.25">
      <c r="A61" s="238" t="s">
        <v>700</v>
      </c>
      <c r="B61" s="238" t="s">
        <v>701</v>
      </c>
      <c r="C61" s="239">
        <v>9</v>
      </c>
      <c r="D61" s="239" t="s">
        <v>507</v>
      </c>
      <c r="E61" s="238" t="s">
        <v>634</v>
      </c>
      <c r="F61" s="238" t="s">
        <v>605</v>
      </c>
      <c r="G61" s="239">
        <v>10</v>
      </c>
      <c r="H61" s="420" t="s">
        <v>702</v>
      </c>
      <c r="I61" s="573"/>
      <c r="J61" s="573"/>
      <c r="K61" s="239"/>
      <c r="L61" s="239"/>
      <c r="M61" s="239"/>
      <c r="N61" s="586"/>
    </row>
    <row r="62" spans="1:14" ht="12" customHeight="1" x14ac:dyDescent="0.25">
      <c r="A62" s="242" t="s">
        <v>706</v>
      </c>
      <c r="B62" s="242" t="s">
        <v>707</v>
      </c>
      <c r="C62" s="243">
        <v>8</v>
      </c>
      <c r="D62" s="243" t="s">
        <v>521</v>
      </c>
      <c r="E62" s="242" t="s">
        <v>637</v>
      </c>
      <c r="F62" s="242" t="s">
        <v>708</v>
      </c>
      <c r="G62" s="243">
        <v>150</v>
      </c>
      <c r="H62" s="423">
        <v>1</v>
      </c>
      <c r="I62" s="577"/>
      <c r="J62" s="577"/>
      <c r="K62" s="243"/>
      <c r="L62" s="243"/>
      <c r="M62" s="243"/>
      <c r="N62" s="590"/>
    </row>
    <row r="63" spans="1:14" ht="12" customHeight="1" x14ac:dyDescent="0.25">
      <c r="A63" s="248" t="s">
        <v>698</v>
      </c>
      <c r="B63" s="248" t="s">
        <v>699</v>
      </c>
      <c r="C63" s="249">
        <v>6</v>
      </c>
      <c r="D63" s="249" t="s">
        <v>556</v>
      </c>
      <c r="E63" s="248" t="s">
        <v>634</v>
      </c>
      <c r="F63" s="248" t="s">
        <v>477</v>
      </c>
      <c r="G63" s="249">
        <v>30</v>
      </c>
      <c r="H63" s="422">
        <v>1</v>
      </c>
      <c r="I63" s="576"/>
      <c r="J63" s="576"/>
      <c r="K63" s="249"/>
      <c r="L63" s="249"/>
      <c r="M63" s="249"/>
      <c r="N63" s="589"/>
    </row>
    <row r="64" spans="1:14" ht="12" customHeight="1" x14ac:dyDescent="0.25">
      <c r="A64" s="238" t="s">
        <v>709</v>
      </c>
      <c r="B64" s="238" t="s">
        <v>710</v>
      </c>
      <c r="C64" s="239">
        <v>9</v>
      </c>
      <c r="D64" s="239" t="s">
        <v>507</v>
      </c>
      <c r="E64" s="238" t="s">
        <v>527</v>
      </c>
      <c r="F64" s="238" t="s">
        <v>582</v>
      </c>
      <c r="G64" s="239">
        <v>10</v>
      </c>
      <c r="H64" s="420" t="s">
        <v>711</v>
      </c>
      <c r="I64" s="573"/>
      <c r="J64" s="573"/>
      <c r="K64" s="239"/>
      <c r="L64" s="239"/>
      <c r="M64" s="239"/>
      <c r="N64" s="586"/>
    </row>
    <row r="65" spans="1:14" ht="12" customHeight="1" x14ac:dyDescent="0.25">
      <c r="A65" s="248" t="s">
        <v>703</v>
      </c>
      <c r="B65" s="248" t="s">
        <v>704</v>
      </c>
      <c r="C65" s="249">
        <v>6</v>
      </c>
      <c r="D65" s="249" t="s">
        <v>556</v>
      </c>
      <c r="E65" s="248" t="s">
        <v>705</v>
      </c>
      <c r="F65" s="248" t="s">
        <v>477</v>
      </c>
      <c r="G65" s="249">
        <v>6000</v>
      </c>
      <c r="H65" s="422">
        <v>1</v>
      </c>
      <c r="I65" s="576"/>
      <c r="J65" s="576"/>
      <c r="K65" s="249"/>
      <c r="L65" s="249"/>
      <c r="M65" s="249"/>
      <c r="N65" s="589"/>
    </row>
    <row r="66" spans="1:14" ht="12" customHeight="1" x14ac:dyDescent="0.25">
      <c r="A66" s="246" t="s">
        <v>712</v>
      </c>
      <c r="B66" s="246" t="s">
        <v>713</v>
      </c>
      <c r="C66" s="247">
        <v>4</v>
      </c>
      <c r="D66" s="247" t="s">
        <v>552</v>
      </c>
      <c r="E66" s="246" t="s">
        <v>477</v>
      </c>
      <c r="F66" s="246" t="s">
        <v>714</v>
      </c>
      <c r="G66" s="247">
        <v>30</v>
      </c>
      <c r="H66" s="425">
        <v>1</v>
      </c>
      <c r="I66" s="579"/>
      <c r="J66" s="579"/>
      <c r="K66" s="247"/>
      <c r="L66" s="247"/>
      <c r="M66" s="247"/>
      <c r="N66" s="592"/>
    </row>
    <row r="67" spans="1:14" ht="12" customHeight="1" x14ac:dyDescent="0.25">
      <c r="A67" s="244" t="s">
        <v>540</v>
      </c>
      <c r="B67" s="244" t="s">
        <v>715</v>
      </c>
      <c r="C67" s="245">
        <v>3</v>
      </c>
      <c r="D67" s="245" t="s">
        <v>531</v>
      </c>
      <c r="E67" s="244" t="s">
        <v>477</v>
      </c>
      <c r="F67" s="244" t="s">
        <v>561</v>
      </c>
      <c r="G67" s="245">
        <v>150</v>
      </c>
      <c r="H67" s="424">
        <v>1</v>
      </c>
      <c r="I67" s="578"/>
      <c r="J67" s="578"/>
      <c r="K67" s="245"/>
      <c r="L67" s="245"/>
      <c r="M67" s="245"/>
      <c r="N67" s="591"/>
    </row>
    <row r="68" spans="1:14" ht="12" customHeight="1" x14ac:dyDescent="0.25">
      <c r="A68" s="238" t="s">
        <v>716</v>
      </c>
      <c r="B68" s="238" t="s">
        <v>717</v>
      </c>
      <c r="C68" s="239">
        <v>9</v>
      </c>
      <c r="D68" s="239" t="s">
        <v>516</v>
      </c>
      <c r="E68" s="238" t="s">
        <v>508</v>
      </c>
      <c r="F68" s="238" t="s">
        <v>582</v>
      </c>
      <c r="G68" s="239">
        <v>30</v>
      </c>
      <c r="H68" s="420">
        <v>1</v>
      </c>
      <c r="I68" s="573"/>
      <c r="J68" s="573"/>
      <c r="K68" s="239"/>
      <c r="L68" s="239"/>
      <c r="M68" s="239"/>
      <c r="N68" s="586"/>
    </row>
    <row r="69" spans="1:14" ht="12" customHeight="1" x14ac:dyDescent="0.25">
      <c r="A69" s="246" t="s">
        <v>721</v>
      </c>
      <c r="B69" s="246" t="s">
        <v>722</v>
      </c>
      <c r="C69" s="247">
        <v>3</v>
      </c>
      <c r="D69" s="247" t="s">
        <v>552</v>
      </c>
      <c r="E69" s="246" t="s">
        <v>723</v>
      </c>
      <c r="F69" s="246" t="s">
        <v>594</v>
      </c>
      <c r="G69" s="247">
        <v>10</v>
      </c>
      <c r="H69" s="425">
        <v>1</v>
      </c>
      <c r="I69" s="579"/>
      <c r="J69" s="579"/>
      <c r="K69" s="247"/>
      <c r="L69" s="247"/>
      <c r="M69" s="247"/>
      <c r="N69" s="592"/>
    </row>
    <row r="70" spans="1:14" ht="12" customHeight="1" x14ac:dyDescent="0.25">
      <c r="A70" s="238" t="s">
        <v>718</v>
      </c>
      <c r="B70" s="238" t="s">
        <v>719</v>
      </c>
      <c r="C70" s="239">
        <v>2</v>
      </c>
      <c r="D70" s="239" t="s">
        <v>507</v>
      </c>
      <c r="E70" s="238" t="s">
        <v>720</v>
      </c>
      <c r="F70" s="238" t="s">
        <v>586</v>
      </c>
      <c r="G70" s="239">
        <v>25</v>
      </c>
      <c r="H70" s="420" t="s">
        <v>678</v>
      </c>
      <c r="I70" s="573"/>
      <c r="J70" s="573"/>
      <c r="K70" s="239"/>
      <c r="L70" s="239"/>
      <c r="M70" s="239"/>
      <c r="N70" s="586"/>
    </row>
    <row r="71" spans="1:14" ht="12" customHeight="1" x14ac:dyDescent="0.25">
      <c r="A71" s="238" t="s">
        <v>724</v>
      </c>
      <c r="B71" s="238" t="s">
        <v>725</v>
      </c>
      <c r="C71" s="239">
        <v>7</v>
      </c>
      <c r="D71" s="239" t="s">
        <v>544</v>
      </c>
      <c r="E71" s="238" t="s">
        <v>726</v>
      </c>
      <c r="F71" s="238" t="s">
        <v>727</v>
      </c>
      <c r="G71" s="239">
        <v>40</v>
      </c>
      <c r="H71" s="420" t="s">
        <v>711</v>
      </c>
      <c r="I71" s="573"/>
      <c r="J71" s="573"/>
      <c r="K71" s="239"/>
      <c r="L71" s="239"/>
      <c r="M71" s="239"/>
      <c r="N71" s="586"/>
    </row>
    <row r="72" spans="1:14" ht="12" customHeight="1" x14ac:dyDescent="0.25">
      <c r="A72" s="240" t="s">
        <v>728</v>
      </c>
      <c r="B72" s="240" t="s">
        <v>729</v>
      </c>
      <c r="C72" s="241">
        <v>4</v>
      </c>
      <c r="D72" s="241" t="s">
        <v>512</v>
      </c>
      <c r="E72" s="240" t="s">
        <v>730</v>
      </c>
      <c r="F72" s="240" t="s">
        <v>731</v>
      </c>
      <c r="G72" s="241">
        <v>5</v>
      </c>
      <c r="H72" s="421">
        <v>2</v>
      </c>
      <c r="I72" s="574"/>
      <c r="J72" s="574"/>
      <c r="K72" s="241"/>
      <c r="L72" s="241"/>
      <c r="M72" s="241"/>
      <c r="N72" s="587"/>
    </row>
    <row r="73" spans="1:14" ht="12" customHeight="1" x14ac:dyDescent="0.25">
      <c r="A73" s="240" t="s">
        <v>732</v>
      </c>
      <c r="B73" s="240" t="s">
        <v>733</v>
      </c>
      <c r="C73" s="241">
        <v>6</v>
      </c>
      <c r="D73" s="241" t="s">
        <v>512</v>
      </c>
      <c r="E73" s="240" t="s">
        <v>609</v>
      </c>
      <c r="F73" s="240" t="s">
        <v>734</v>
      </c>
      <c r="G73" s="241">
        <v>50</v>
      </c>
      <c r="H73" s="421">
        <v>1</v>
      </c>
      <c r="I73" s="574"/>
      <c r="J73" s="574"/>
      <c r="K73" s="241"/>
      <c r="L73" s="241"/>
      <c r="M73" s="241"/>
      <c r="N73" s="587"/>
    </row>
    <row r="74" spans="1:14" ht="12" customHeight="1" x14ac:dyDescent="0.25">
      <c r="A74" s="240" t="s">
        <v>739</v>
      </c>
      <c r="B74" s="240" t="s">
        <v>740</v>
      </c>
      <c r="C74" s="241">
        <v>4</v>
      </c>
      <c r="D74" s="241" t="s">
        <v>512</v>
      </c>
      <c r="E74" s="240" t="s">
        <v>741</v>
      </c>
      <c r="F74" s="240" t="s">
        <v>561</v>
      </c>
      <c r="G74" s="241">
        <v>30</v>
      </c>
      <c r="H74" s="421">
        <v>1</v>
      </c>
      <c r="I74" s="574"/>
      <c r="J74" s="574"/>
      <c r="K74" s="241"/>
      <c r="L74" s="241"/>
      <c r="M74" s="241"/>
      <c r="N74" s="587"/>
    </row>
    <row r="75" spans="1:14" ht="12" customHeight="1" x14ac:dyDescent="0.25">
      <c r="A75" s="240" t="s">
        <v>742</v>
      </c>
      <c r="B75" s="240" t="s">
        <v>743</v>
      </c>
      <c r="C75" s="241">
        <v>2</v>
      </c>
      <c r="D75" s="241" t="s">
        <v>512</v>
      </c>
      <c r="E75" s="240" t="s">
        <v>669</v>
      </c>
      <c r="F75" s="240" t="s">
        <v>509</v>
      </c>
      <c r="G75" s="241">
        <v>25</v>
      </c>
      <c r="H75" s="421" t="s">
        <v>711</v>
      </c>
      <c r="I75" s="574"/>
      <c r="J75" s="574"/>
      <c r="K75" s="241"/>
      <c r="L75" s="241"/>
      <c r="M75" s="241"/>
      <c r="N75" s="587"/>
    </row>
    <row r="76" spans="1:14" ht="12" customHeight="1" x14ac:dyDescent="0.25">
      <c r="A76" s="240" t="s">
        <v>735</v>
      </c>
      <c r="B76" s="240" t="s">
        <v>736</v>
      </c>
      <c r="C76" s="241">
        <v>7</v>
      </c>
      <c r="D76" s="241" t="s">
        <v>512</v>
      </c>
      <c r="E76" s="240" t="s">
        <v>737</v>
      </c>
      <c r="F76" s="240" t="s">
        <v>738</v>
      </c>
      <c r="G76" s="241">
        <v>40</v>
      </c>
      <c r="H76" s="421">
        <v>1</v>
      </c>
      <c r="I76" s="574"/>
      <c r="J76" s="574"/>
      <c r="K76" s="241"/>
      <c r="L76" s="241"/>
      <c r="M76" s="241"/>
      <c r="N76" s="587"/>
    </row>
    <row r="77" spans="1:14" ht="12" customHeight="1" x14ac:dyDescent="0.25">
      <c r="A77" s="246" t="s">
        <v>744</v>
      </c>
      <c r="B77" s="246" t="s">
        <v>745</v>
      </c>
      <c r="C77" s="247">
        <v>6</v>
      </c>
      <c r="D77" s="247" t="s">
        <v>552</v>
      </c>
      <c r="E77" s="246" t="s">
        <v>746</v>
      </c>
      <c r="F77" s="246" t="s">
        <v>747</v>
      </c>
      <c r="G77" s="247">
        <v>60</v>
      </c>
      <c r="H77" s="425">
        <v>3</v>
      </c>
      <c r="I77" s="579"/>
      <c r="J77" s="579"/>
      <c r="K77" s="247"/>
      <c r="L77" s="247"/>
      <c r="M77" s="247"/>
      <c r="N77" s="592"/>
    </row>
    <row r="78" spans="1:14" ht="12" customHeight="1" x14ac:dyDescent="0.25">
      <c r="A78" s="238" t="s">
        <v>748</v>
      </c>
      <c r="B78" s="238" t="s">
        <v>749</v>
      </c>
      <c r="C78" s="239">
        <v>6</v>
      </c>
      <c r="D78" s="239" t="s">
        <v>507</v>
      </c>
      <c r="E78" s="238" t="s">
        <v>750</v>
      </c>
      <c r="F78" s="238" t="s">
        <v>751</v>
      </c>
      <c r="G78" s="239">
        <v>20</v>
      </c>
      <c r="H78" s="420" t="s">
        <v>711</v>
      </c>
      <c r="I78" s="573"/>
      <c r="J78" s="573"/>
      <c r="K78" s="239"/>
      <c r="L78" s="239"/>
      <c r="M78" s="239"/>
      <c r="N78" s="586"/>
    </row>
    <row r="79" spans="1:14" ht="12" customHeight="1" x14ac:dyDescent="0.25">
      <c r="A79" s="238" t="s">
        <v>752</v>
      </c>
      <c r="B79" s="238" t="s">
        <v>753</v>
      </c>
      <c r="C79" s="239">
        <v>3</v>
      </c>
      <c r="D79" s="239" t="s">
        <v>516</v>
      </c>
      <c r="E79" s="238" t="s">
        <v>754</v>
      </c>
      <c r="F79" s="238" t="s">
        <v>755</v>
      </c>
      <c r="G79" s="239">
        <v>5</v>
      </c>
      <c r="H79" s="420">
        <v>1</v>
      </c>
      <c r="I79" s="573"/>
      <c r="J79" s="573"/>
      <c r="K79" s="239"/>
      <c r="L79" s="239"/>
      <c r="M79" s="239"/>
      <c r="N79" s="586"/>
    </row>
    <row r="80" spans="1:14" ht="12" customHeight="1" x14ac:dyDescent="0.25">
      <c r="A80" s="248" t="s">
        <v>756</v>
      </c>
      <c r="B80" s="248" t="s">
        <v>757</v>
      </c>
      <c r="C80" s="249">
        <v>8</v>
      </c>
      <c r="D80" s="249" t="s">
        <v>556</v>
      </c>
      <c r="E80" s="248" t="s">
        <v>669</v>
      </c>
      <c r="F80" s="248" t="s">
        <v>477</v>
      </c>
      <c r="G80" s="249">
        <v>30</v>
      </c>
      <c r="H80" s="422">
        <v>1</v>
      </c>
      <c r="I80" s="576"/>
      <c r="J80" s="576"/>
      <c r="K80" s="249"/>
      <c r="L80" s="249"/>
      <c r="M80" s="249"/>
      <c r="N80" s="589"/>
    </row>
    <row r="81" spans="1:14" ht="12" customHeight="1" x14ac:dyDescent="0.25">
      <c r="A81" s="246" t="s">
        <v>767</v>
      </c>
      <c r="B81" s="246" t="s">
        <v>768</v>
      </c>
      <c r="C81" s="247">
        <v>5</v>
      </c>
      <c r="D81" s="247" t="s">
        <v>552</v>
      </c>
      <c r="E81" s="246" t="s">
        <v>477</v>
      </c>
      <c r="F81" s="246" t="s">
        <v>769</v>
      </c>
      <c r="G81" s="247">
        <v>80</v>
      </c>
      <c r="H81" s="425">
        <v>1</v>
      </c>
      <c r="I81" s="579"/>
      <c r="J81" s="579"/>
      <c r="K81" s="247"/>
      <c r="L81" s="247"/>
      <c r="M81" s="247"/>
      <c r="N81" s="592"/>
    </row>
    <row r="82" spans="1:14" ht="12" customHeight="1" x14ac:dyDescent="0.25">
      <c r="A82" s="238" t="s">
        <v>758</v>
      </c>
      <c r="B82" s="238" t="s">
        <v>759</v>
      </c>
      <c r="C82" s="239">
        <v>8</v>
      </c>
      <c r="D82" s="239" t="s">
        <v>507</v>
      </c>
      <c r="E82" s="238" t="s">
        <v>760</v>
      </c>
      <c r="F82" s="238" t="s">
        <v>695</v>
      </c>
      <c r="G82" s="239">
        <v>120</v>
      </c>
      <c r="H82" s="420">
        <v>1</v>
      </c>
      <c r="I82" s="573"/>
      <c r="J82" s="573"/>
      <c r="K82" s="239"/>
      <c r="L82" s="239"/>
      <c r="M82" s="239"/>
      <c r="N82" s="586"/>
    </row>
    <row r="83" spans="1:14" ht="12" customHeight="1" x14ac:dyDescent="0.25">
      <c r="A83" s="238" t="s">
        <v>765</v>
      </c>
      <c r="B83" s="238" t="s">
        <v>766</v>
      </c>
      <c r="C83" s="239">
        <v>7</v>
      </c>
      <c r="D83" s="239" t="s">
        <v>507</v>
      </c>
      <c r="E83" s="238" t="s">
        <v>634</v>
      </c>
      <c r="F83" s="238" t="s">
        <v>577</v>
      </c>
      <c r="G83" s="239">
        <v>30</v>
      </c>
      <c r="H83" s="420" t="s">
        <v>711</v>
      </c>
      <c r="I83" s="573"/>
      <c r="J83" s="573"/>
      <c r="K83" s="239"/>
      <c r="L83" s="239"/>
      <c r="M83" s="239"/>
      <c r="N83" s="586"/>
    </row>
    <row r="84" spans="1:14" ht="12" customHeight="1" x14ac:dyDescent="0.25">
      <c r="A84" s="254" t="s">
        <v>761</v>
      </c>
      <c r="B84" s="254" t="s">
        <v>762</v>
      </c>
      <c r="C84" s="255">
        <v>3</v>
      </c>
      <c r="D84" s="255" t="s">
        <v>626</v>
      </c>
      <c r="E84" s="254" t="s">
        <v>763</v>
      </c>
      <c r="F84" s="254" t="s">
        <v>764</v>
      </c>
      <c r="G84" s="255">
        <v>20</v>
      </c>
      <c r="H84" s="427" t="s">
        <v>664</v>
      </c>
      <c r="I84" s="581"/>
      <c r="J84" s="581"/>
      <c r="K84" s="255"/>
      <c r="L84" s="255"/>
      <c r="M84" s="255"/>
      <c r="N84" s="594"/>
    </row>
    <row r="85" spans="1:14" ht="12" customHeight="1" x14ac:dyDescent="0.25">
      <c r="A85" s="254" t="s">
        <v>770</v>
      </c>
      <c r="B85" s="254" t="s">
        <v>771</v>
      </c>
      <c r="C85" s="255">
        <v>2</v>
      </c>
      <c r="D85" s="255" t="s">
        <v>626</v>
      </c>
      <c r="E85" s="254" t="s">
        <v>772</v>
      </c>
      <c r="F85" s="254" t="s">
        <v>621</v>
      </c>
      <c r="G85" s="255">
        <v>50</v>
      </c>
      <c r="H85" s="427" t="s">
        <v>678</v>
      </c>
      <c r="I85" s="581"/>
      <c r="J85" s="581"/>
      <c r="K85" s="255"/>
      <c r="L85" s="255"/>
      <c r="M85" s="255"/>
      <c r="N85" s="594"/>
    </row>
    <row r="86" spans="1:14" ht="12" customHeight="1" x14ac:dyDescent="0.25">
      <c r="A86" s="250" t="s">
        <v>776</v>
      </c>
      <c r="B86" s="250" t="s">
        <v>777</v>
      </c>
      <c r="C86" s="251">
        <v>5</v>
      </c>
      <c r="D86" s="251" t="s">
        <v>572</v>
      </c>
      <c r="E86" s="250" t="s">
        <v>778</v>
      </c>
      <c r="F86" s="250" t="s">
        <v>674</v>
      </c>
      <c r="G86" s="251">
        <v>200</v>
      </c>
      <c r="H86" s="426">
        <v>1</v>
      </c>
      <c r="I86" s="580"/>
      <c r="J86" s="580"/>
      <c r="K86" s="251"/>
      <c r="L86" s="251"/>
      <c r="M86" s="251"/>
      <c r="N86" s="593"/>
    </row>
    <row r="87" spans="1:14" ht="12" customHeight="1" x14ac:dyDescent="0.25">
      <c r="A87" s="238" t="s">
        <v>773</v>
      </c>
      <c r="B87" s="238" t="s">
        <v>774</v>
      </c>
      <c r="C87" s="239">
        <v>5</v>
      </c>
      <c r="D87" s="239" t="s">
        <v>507</v>
      </c>
      <c r="E87" s="238" t="s">
        <v>527</v>
      </c>
      <c r="F87" s="238" t="s">
        <v>775</v>
      </c>
      <c r="G87" s="239">
        <v>10</v>
      </c>
      <c r="H87" s="420" t="s">
        <v>610</v>
      </c>
      <c r="I87" s="573"/>
      <c r="J87" s="573"/>
      <c r="K87" s="239"/>
      <c r="L87" s="239"/>
      <c r="M87" s="239"/>
      <c r="N87" s="586"/>
    </row>
    <row r="88" spans="1:14" ht="12" customHeight="1" x14ac:dyDescent="0.25">
      <c r="A88" s="238" t="s">
        <v>779</v>
      </c>
      <c r="B88" s="238" t="s">
        <v>780</v>
      </c>
      <c r="C88" s="239">
        <v>1</v>
      </c>
      <c r="D88" s="239" t="s">
        <v>526</v>
      </c>
      <c r="E88" s="238" t="s">
        <v>669</v>
      </c>
      <c r="F88" s="238" t="s">
        <v>781</v>
      </c>
      <c r="G88" s="239">
        <v>800</v>
      </c>
      <c r="H88" s="420">
        <v>1</v>
      </c>
      <c r="I88" s="573"/>
      <c r="J88" s="573"/>
      <c r="K88" s="239"/>
      <c r="L88" s="239"/>
      <c r="M88" s="239"/>
      <c r="N88" s="586"/>
    </row>
    <row r="89" spans="1:14" ht="12" customHeight="1" x14ac:dyDescent="0.25">
      <c r="A89" s="238" t="s">
        <v>782</v>
      </c>
      <c r="B89" s="238" t="s">
        <v>783</v>
      </c>
      <c r="C89" s="239">
        <v>3</v>
      </c>
      <c r="D89" s="239" t="s">
        <v>507</v>
      </c>
      <c r="E89" s="238" t="s">
        <v>784</v>
      </c>
      <c r="F89" s="238" t="s">
        <v>631</v>
      </c>
      <c r="G89" s="239">
        <v>10</v>
      </c>
      <c r="H89" s="420" t="s">
        <v>686</v>
      </c>
      <c r="I89" s="573"/>
      <c r="J89" s="573"/>
      <c r="K89" s="239"/>
      <c r="L89" s="239"/>
      <c r="M89" s="239"/>
      <c r="N89" s="586"/>
    </row>
    <row r="90" spans="1:14" ht="12" customHeight="1" x14ac:dyDescent="0.25">
      <c r="A90" s="246" t="s">
        <v>785</v>
      </c>
      <c r="B90" s="246" t="s">
        <v>786</v>
      </c>
      <c r="C90" s="247">
        <v>2</v>
      </c>
      <c r="D90" s="247" t="s">
        <v>552</v>
      </c>
      <c r="E90" s="246" t="s">
        <v>477</v>
      </c>
      <c r="F90" s="246" t="s">
        <v>714</v>
      </c>
      <c r="G90" s="247">
        <v>60</v>
      </c>
      <c r="H90" s="425">
        <v>1</v>
      </c>
      <c r="I90" s="579"/>
      <c r="J90" s="579"/>
      <c r="K90" s="247"/>
      <c r="L90" s="247"/>
      <c r="M90" s="247"/>
      <c r="N90" s="592"/>
    </row>
    <row r="91" spans="1:14" ht="12" customHeight="1" x14ac:dyDescent="0.25">
      <c r="A91" s="238" t="s">
        <v>787</v>
      </c>
      <c r="B91" s="238" t="s">
        <v>788</v>
      </c>
      <c r="C91" s="239">
        <v>4</v>
      </c>
      <c r="D91" s="239" t="s">
        <v>544</v>
      </c>
      <c r="E91" s="238" t="s">
        <v>548</v>
      </c>
      <c r="F91" s="238" t="s">
        <v>643</v>
      </c>
      <c r="G91" s="239">
        <v>30</v>
      </c>
      <c r="H91" s="420" t="s">
        <v>789</v>
      </c>
      <c r="I91" s="573"/>
      <c r="J91" s="573"/>
      <c r="K91" s="239"/>
      <c r="L91" s="239"/>
      <c r="M91" s="239"/>
      <c r="N91" s="586"/>
    </row>
    <row r="92" spans="1:14" ht="12" customHeight="1" x14ac:dyDescent="0.25">
      <c r="A92" s="248" t="s">
        <v>792</v>
      </c>
      <c r="B92" s="248" t="s">
        <v>793</v>
      </c>
      <c r="C92" s="249">
        <v>7</v>
      </c>
      <c r="D92" s="249" t="s">
        <v>556</v>
      </c>
      <c r="E92" s="248" t="s">
        <v>609</v>
      </c>
      <c r="F92" s="248" t="s">
        <v>477</v>
      </c>
      <c r="G92" s="249">
        <v>20</v>
      </c>
      <c r="H92" s="422">
        <v>2</v>
      </c>
      <c r="I92" s="576"/>
      <c r="J92" s="576"/>
      <c r="K92" s="249"/>
      <c r="L92" s="249"/>
      <c r="M92" s="249"/>
      <c r="N92" s="589"/>
    </row>
    <row r="93" spans="1:14" ht="12" customHeight="1" x14ac:dyDescent="0.25">
      <c r="A93" s="240" t="s">
        <v>794</v>
      </c>
      <c r="B93" s="240" t="s">
        <v>795</v>
      </c>
      <c r="C93" s="241">
        <v>5</v>
      </c>
      <c r="D93" s="241" t="s">
        <v>512</v>
      </c>
      <c r="E93" s="240" t="s">
        <v>796</v>
      </c>
      <c r="F93" s="240" t="s">
        <v>797</v>
      </c>
      <c r="G93" s="241">
        <v>80</v>
      </c>
      <c r="H93" s="421">
        <v>1</v>
      </c>
      <c r="I93" s="574"/>
      <c r="J93" s="574"/>
      <c r="K93" s="241"/>
      <c r="L93" s="241"/>
      <c r="M93" s="241"/>
      <c r="N93" s="587"/>
    </row>
    <row r="94" spans="1:14" ht="12" customHeight="1" x14ac:dyDescent="0.25">
      <c r="A94" s="240" t="s">
        <v>798</v>
      </c>
      <c r="B94" s="240" t="s">
        <v>799</v>
      </c>
      <c r="C94" s="241">
        <v>3</v>
      </c>
      <c r="D94" s="241" t="s">
        <v>512</v>
      </c>
      <c r="E94" s="240" t="s">
        <v>800</v>
      </c>
      <c r="F94" s="240" t="s">
        <v>509</v>
      </c>
      <c r="G94" s="241">
        <v>100</v>
      </c>
      <c r="H94" s="421">
        <v>1</v>
      </c>
      <c r="I94" s="574"/>
      <c r="J94" s="574"/>
      <c r="K94" s="241"/>
      <c r="L94" s="241"/>
      <c r="M94" s="241"/>
      <c r="N94" s="587"/>
    </row>
    <row r="95" spans="1:14" ht="12" customHeight="1" x14ac:dyDescent="0.25">
      <c r="A95" s="252" t="s">
        <v>790</v>
      </c>
      <c r="B95" s="252" t="s">
        <v>791</v>
      </c>
      <c r="C95" s="253">
        <v>8</v>
      </c>
      <c r="D95" s="253" t="s">
        <v>608</v>
      </c>
      <c r="E95" s="252" t="s">
        <v>477</v>
      </c>
      <c r="F95" s="252" t="s">
        <v>477</v>
      </c>
      <c r="G95" s="253">
        <v>30</v>
      </c>
      <c r="H95" s="428" t="s">
        <v>610</v>
      </c>
      <c r="I95" s="582"/>
      <c r="J95" s="582"/>
      <c r="K95" s="253"/>
      <c r="L95" s="253"/>
      <c r="M95" s="253"/>
      <c r="N95" s="595"/>
    </row>
    <row r="96" spans="1:14" ht="12" customHeight="1" x14ac:dyDescent="0.25">
      <c r="A96" s="238" t="s">
        <v>804</v>
      </c>
      <c r="B96" s="238" t="s">
        <v>805</v>
      </c>
      <c r="C96" s="239">
        <v>8</v>
      </c>
      <c r="D96" s="239" t="s">
        <v>540</v>
      </c>
      <c r="E96" s="238" t="s">
        <v>634</v>
      </c>
      <c r="F96" s="238" t="s">
        <v>557</v>
      </c>
      <c r="G96" s="239">
        <v>50</v>
      </c>
      <c r="H96" s="420" t="s">
        <v>789</v>
      </c>
      <c r="I96" s="573"/>
      <c r="J96" s="573"/>
      <c r="K96" s="239"/>
      <c r="L96" s="239"/>
      <c r="M96" s="239"/>
      <c r="N96" s="586"/>
    </row>
    <row r="97" spans="1:14" ht="12" customHeight="1" x14ac:dyDescent="0.25">
      <c r="A97" s="238" t="s">
        <v>835</v>
      </c>
      <c r="B97" s="238" t="s">
        <v>836</v>
      </c>
      <c r="C97" s="239">
        <v>4</v>
      </c>
      <c r="D97" s="239" t="s">
        <v>540</v>
      </c>
      <c r="E97" s="238" t="s">
        <v>477</v>
      </c>
      <c r="F97" s="238" t="s">
        <v>837</v>
      </c>
      <c r="G97" s="239">
        <v>10</v>
      </c>
      <c r="H97" s="420">
        <v>1</v>
      </c>
      <c r="I97" s="573"/>
      <c r="J97" s="573"/>
      <c r="K97" s="239"/>
      <c r="L97" s="239"/>
      <c r="M97" s="239"/>
      <c r="N97" s="586"/>
    </row>
    <row r="98" spans="1:14" ht="12" customHeight="1" x14ac:dyDescent="0.25">
      <c r="A98" s="248" t="s">
        <v>829</v>
      </c>
      <c r="B98" s="248" t="s">
        <v>830</v>
      </c>
      <c r="C98" s="249">
        <v>4</v>
      </c>
      <c r="D98" s="249" t="s">
        <v>556</v>
      </c>
      <c r="E98" s="248" t="s">
        <v>705</v>
      </c>
      <c r="F98" s="248" t="s">
        <v>477</v>
      </c>
      <c r="G98" s="249">
        <v>1000</v>
      </c>
      <c r="H98" s="422">
        <v>1</v>
      </c>
      <c r="I98" s="576"/>
      <c r="J98" s="576"/>
      <c r="K98" s="249"/>
      <c r="L98" s="249"/>
      <c r="M98" s="249"/>
      <c r="N98" s="589"/>
    </row>
    <row r="99" spans="1:14" ht="12" customHeight="1" x14ac:dyDescent="0.25">
      <c r="A99" s="248" t="s">
        <v>833</v>
      </c>
      <c r="B99" s="248" t="s">
        <v>834</v>
      </c>
      <c r="C99" s="249">
        <v>5</v>
      </c>
      <c r="D99" s="249" t="s">
        <v>556</v>
      </c>
      <c r="E99" s="248" t="s">
        <v>477</v>
      </c>
      <c r="F99" s="248" t="s">
        <v>477</v>
      </c>
      <c r="G99" s="249">
        <v>2000</v>
      </c>
      <c r="H99" s="422">
        <v>1</v>
      </c>
      <c r="I99" s="576"/>
      <c r="J99" s="576"/>
      <c r="K99" s="249"/>
      <c r="L99" s="249"/>
      <c r="M99" s="249"/>
      <c r="N99" s="589"/>
    </row>
    <row r="100" spans="1:14" ht="12" customHeight="1" x14ac:dyDescent="0.25">
      <c r="A100" s="248" t="s">
        <v>844</v>
      </c>
      <c r="B100" s="248" t="s">
        <v>845</v>
      </c>
      <c r="C100" s="249">
        <v>5</v>
      </c>
      <c r="D100" s="249" t="s">
        <v>556</v>
      </c>
      <c r="E100" s="248" t="s">
        <v>477</v>
      </c>
      <c r="F100" s="248" t="s">
        <v>477</v>
      </c>
      <c r="G100" s="249">
        <v>800</v>
      </c>
      <c r="H100" s="422">
        <v>1</v>
      </c>
      <c r="I100" s="576"/>
      <c r="J100" s="576"/>
      <c r="K100" s="249"/>
      <c r="L100" s="249"/>
      <c r="M100" s="249"/>
      <c r="N100" s="589"/>
    </row>
    <row r="101" spans="1:14" ht="12" customHeight="1" x14ac:dyDescent="0.25">
      <c r="A101" s="242" t="s">
        <v>817</v>
      </c>
      <c r="B101" s="242" t="s">
        <v>818</v>
      </c>
      <c r="C101" s="243">
        <v>6</v>
      </c>
      <c r="D101" s="243" t="s">
        <v>521</v>
      </c>
      <c r="E101" s="242" t="s">
        <v>819</v>
      </c>
      <c r="F101" s="242" t="s">
        <v>594</v>
      </c>
      <c r="G101" s="243">
        <v>15</v>
      </c>
      <c r="H101" s="423">
        <v>1</v>
      </c>
      <c r="I101" s="577"/>
      <c r="J101" s="577"/>
      <c r="K101" s="243"/>
      <c r="L101" s="243"/>
      <c r="M101" s="243"/>
      <c r="N101" s="590"/>
    </row>
    <row r="102" spans="1:14" ht="12" customHeight="1" x14ac:dyDescent="0.25">
      <c r="A102" s="250" t="s">
        <v>820</v>
      </c>
      <c r="B102" s="250" t="s">
        <v>822</v>
      </c>
      <c r="C102" s="251">
        <v>7</v>
      </c>
      <c r="D102" s="251" t="s">
        <v>572</v>
      </c>
      <c r="E102" s="250" t="s">
        <v>823</v>
      </c>
      <c r="F102" s="250" t="s">
        <v>477</v>
      </c>
      <c r="G102" s="251">
        <v>100</v>
      </c>
      <c r="H102" s="426">
        <v>1</v>
      </c>
      <c r="I102" s="580"/>
      <c r="J102" s="580"/>
      <c r="K102" s="251"/>
      <c r="L102" s="251"/>
      <c r="M102" s="251"/>
      <c r="N102" s="593"/>
    </row>
    <row r="103" spans="1:14" ht="12" customHeight="1" x14ac:dyDescent="0.25">
      <c r="A103" s="246" t="s">
        <v>531</v>
      </c>
      <c r="B103" s="246" t="s">
        <v>831</v>
      </c>
      <c r="C103" s="247">
        <v>3</v>
      </c>
      <c r="D103" s="247" t="s">
        <v>552</v>
      </c>
      <c r="E103" s="246" t="s">
        <v>477</v>
      </c>
      <c r="F103" s="246" t="s">
        <v>832</v>
      </c>
      <c r="G103" s="247">
        <v>150</v>
      </c>
      <c r="H103" s="425">
        <v>1</v>
      </c>
      <c r="I103" s="579"/>
      <c r="J103" s="579"/>
      <c r="K103" s="247"/>
      <c r="L103" s="247"/>
      <c r="M103" s="247"/>
      <c r="N103" s="592"/>
    </row>
    <row r="104" spans="1:14" ht="12" customHeight="1" x14ac:dyDescent="0.25">
      <c r="A104" s="246" t="s">
        <v>806</v>
      </c>
      <c r="B104" s="246" t="s">
        <v>807</v>
      </c>
      <c r="C104" s="247">
        <v>2</v>
      </c>
      <c r="D104" s="247" t="s">
        <v>552</v>
      </c>
      <c r="E104" s="246" t="s">
        <v>477</v>
      </c>
      <c r="F104" s="246" t="s">
        <v>477</v>
      </c>
      <c r="G104" s="247">
        <v>250</v>
      </c>
      <c r="H104" s="425">
        <v>1</v>
      </c>
      <c r="I104" s="579"/>
      <c r="J104" s="579"/>
      <c r="K104" s="247"/>
      <c r="L104" s="247"/>
      <c r="M104" s="247"/>
      <c r="N104" s="592"/>
    </row>
    <row r="105" spans="1:14" ht="12" customHeight="1" x14ac:dyDescent="0.25">
      <c r="A105" s="240" t="s">
        <v>815</v>
      </c>
      <c r="B105" s="240" t="s">
        <v>816</v>
      </c>
      <c r="C105" s="241">
        <v>5</v>
      </c>
      <c r="D105" s="241" t="s">
        <v>512</v>
      </c>
      <c r="E105" s="240" t="s">
        <v>637</v>
      </c>
      <c r="F105" s="240" t="s">
        <v>477</v>
      </c>
      <c r="G105" s="241">
        <v>120</v>
      </c>
      <c r="H105" s="421">
        <v>1</v>
      </c>
      <c r="I105" s="574"/>
      <c r="J105" s="574"/>
      <c r="K105" s="241"/>
      <c r="L105" s="241"/>
      <c r="M105" s="241"/>
      <c r="N105" s="587"/>
    </row>
    <row r="106" spans="1:14" ht="12" customHeight="1" x14ac:dyDescent="0.25">
      <c r="A106" s="242" t="s">
        <v>820</v>
      </c>
      <c r="B106" s="242" t="s">
        <v>821</v>
      </c>
      <c r="C106" s="243">
        <v>4</v>
      </c>
      <c r="D106" s="243" t="s">
        <v>521</v>
      </c>
      <c r="E106" s="242" t="s">
        <v>637</v>
      </c>
      <c r="F106" s="242" t="s">
        <v>477</v>
      </c>
      <c r="G106" s="243">
        <v>30</v>
      </c>
      <c r="H106" s="423">
        <v>1</v>
      </c>
      <c r="I106" s="577"/>
      <c r="J106" s="577"/>
      <c r="K106" s="243"/>
      <c r="L106" s="243"/>
      <c r="M106" s="243"/>
      <c r="N106" s="590"/>
    </row>
    <row r="107" spans="1:14" ht="12" customHeight="1" x14ac:dyDescent="0.25">
      <c r="A107" s="246" t="s">
        <v>842</v>
      </c>
      <c r="B107" s="246" t="s">
        <v>843</v>
      </c>
      <c r="C107" s="247">
        <v>3</v>
      </c>
      <c r="D107" s="247" t="s">
        <v>552</v>
      </c>
      <c r="E107" s="246" t="s">
        <v>477</v>
      </c>
      <c r="F107" s="246" t="s">
        <v>621</v>
      </c>
      <c r="G107" s="247">
        <v>40</v>
      </c>
      <c r="H107" s="425">
        <v>1</v>
      </c>
      <c r="I107" s="579"/>
      <c r="J107" s="579"/>
      <c r="K107" s="247"/>
      <c r="L107" s="247"/>
      <c r="M107" s="247"/>
      <c r="N107" s="592"/>
    </row>
    <row r="108" spans="1:14" ht="12" customHeight="1" x14ac:dyDescent="0.25">
      <c r="A108" s="244" t="s">
        <v>812</v>
      </c>
      <c r="B108" s="244" t="s">
        <v>813</v>
      </c>
      <c r="C108" s="245">
        <v>6</v>
      </c>
      <c r="D108" s="245" t="s">
        <v>531</v>
      </c>
      <c r="E108" s="244" t="s">
        <v>548</v>
      </c>
      <c r="F108" s="244" t="s">
        <v>814</v>
      </c>
      <c r="G108" s="245">
        <v>40</v>
      </c>
      <c r="H108" s="424">
        <v>2</v>
      </c>
      <c r="I108" s="578"/>
      <c r="J108" s="578"/>
      <c r="K108" s="245"/>
      <c r="L108" s="245"/>
      <c r="M108" s="245"/>
      <c r="N108" s="591"/>
    </row>
    <row r="109" spans="1:14" ht="12" customHeight="1" x14ac:dyDescent="0.25">
      <c r="A109" s="248" t="s">
        <v>801</v>
      </c>
      <c r="B109" s="248" t="s">
        <v>802</v>
      </c>
      <c r="C109" s="249">
        <v>2</v>
      </c>
      <c r="D109" s="249" t="s">
        <v>556</v>
      </c>
      <c r="E109" s="248" t="s">
        <v>637</v>
      </c>
      <c r="F109" s="248" t="s">
        <v>803</v>
      </c>
      <c r="G109" s="249">
        <v>10</v>
      </c>
      <c r="H109" s="422">
        <v>1</v>
      </c>
      <c r="I109" s="576"/>
      <c r="J109" s="576"/>
      <c r="K109" s="249"/>
      <c r="L109" s="249"/>
      <c r="M109" s="249"/>
      <c r="N109" s="589"/>
    </row>
    <row r="110" spans="1:14" ht="12" customHeight="1" x14ac:dyDescent="0.25">
      <c r="A110" s="248" t="s">
        <v>808</v>
      </c>
      <c r="B110" s="248" t="s">
        <v>809</v>
      </c>
      <c r="C110" s="249">
        <v>7</v>
      </c>
      <c r="D110" s="249" t="s">
        <v>556</v>
      </c>
      <c r="E110" s="248" t="s">
        <v>810</v>
      </c>
      <c r="F110" s="248" t="s">
        <v>811</v>
      </c>
      <c r="G110" s="249">
        <v>10</v>
      </c>
      <c r="H110" s="422" t="s">
        <v>678</v>
      </c>
      <c r="I110" s="576"/>
      <c r="J110" s="576"/>
      <c r="K110" s="249"/>
      <c r="L110" s="249"/>
      <c r="M110" s="249"/>
      <c r="N110" s="589"/>
    </row>
    <row r="111" spans="1:14" ht="12" customHeight="1" x14ac:dyDescent="0.25">
      <c r="A111" s="250" t="s">
        <v>840</v>
      </c>
      <c r="B111" s="250" t="s">
        <v>841</v>
      </c>
      <c r="C111" s="251">
        <v>9</v>
      </c>
      <c r="D111" s="251" t="s">
        <v>572</v>
      </c>
      <c r="E111" s="250" t="s">
        <v>705</v>
      </c>
      <c r="F111" s="250" t="s">
        <v>477</v>
      </c>
      <c r="G111" s="251">
        <v>120</v>
      </c>
      <c r="H111" s="426" t="s">
        <v>686</v>
      </c>
      <c r="I111" s="580"/>
      <c r="J111" s="580"/>
      <c r="K111" s="251"/>
      <c r="L111" s="251"/>
      <c r="M111" s="251"/>
      <c r="N111" s="593"/>
    </row>
    <row r="112" spans="1:14" ht="12" customHeight="1" x14ac:dyDescent="0.25">
      <c r="A112" s="250" t="s">
        <v>846</v>
      </c>
      <c r="B112" s="250" t="s">
        <v>847</v>
      </c>
      <c r="C112" s="251">
        <v>6</v>
      </c>
      <c r="D112" s="251" t="s">
        <v>572</v>
      </c>
      <c r="E112" s="250" t="s">
        <v>634</v>
      </c>
      <c r="F112" s="250" t="s">
        <v>477</v>
      </c>
      <c r="G112" s="251">
        <v>200</v>
      </c>
      <c r="H112" s="426" t="s">
        <v>711</v>
      </c>
      <c r="I112" s="580"/>
      <c r="J112" s="580"/>
      <c r="K112" s="251"/>
      <c r="L112" s="251"/>
      <c r="M112" s="251"/>
      <c r="N112" s="593"/>
    </row>
    <row r="113" spans="1:14" ht="12" customHeight="1" x14ac:dyDescent="0.25">
      <c r="A113" s="250" t="s">
        <v>826</v>
      </c>
      <c r="B113" s="250" t="s">
        <v>827</v>
      </c>
      <c r="C113" s="251">
        <v>3</v>
      </c>
      <c r="D113" s="251" t="s">
        <v>572</v>
      </c>
      <c r="E113" s="250" t="s">
        <v>828</v>
      </c>
      <c r="F113" s="250" t="s">
        <v>477</v>
      </c>
      <c r="G113" s="251">
        <v>120</v>
      </c>
      <c r="H113" s="426" t="s">
        <v>610</v>
      </c>
      <c r="I113" s="580"/>
      <c r="J113" s="580"/>
      <c r="K113" s="251"/>
      <c r="L113" s="251"/>
      <c r="M113" s="251"/>
      <c r="N113" s="593"/>
    </row>
    <row r="114" spans="1:14" ht="12" customHeight="1" x14ac:dyDescent="0.25">
      <c r="A114" s="238" t="s">
        <v>838</v>
      </c>
      <c r="B114" s="238" t="s">
        <v>839</v>
      </c>
      <c r="C114" s="239">
        <v>8</v>
      </c>
      <c r="D114" s="239" t="s">
        <v>540</v>
      </c>
      <c r="E114" s="238" t="s">
        <v>548</v>
      </c>
      <c r="F114" s="238" t="s">
        <v>577</v>
      </c>
      <c r="G114" s="239">
        <v>20</v>
      </c>
      <c r="H114" s="420" t="s">
        <v>702</v>
      </c>
      <c r="I114" s="573"/>
      <c r="J114" s="573"/>
      <c r="K114" s="239"/>
      <c r="L114" s="239"/>
      <c r="M114" s="239"/>
      <c r="N114" s="586"/>
    </row>
    <row r="115" spans="1:14" ht="12" customHeight="1" x14ac:dyDescent="0.25">
      <c r="A115" s="252" t="s">
        <v>626</v>
      </c>
      <c r="B115" s="252" t="s">
        <v>824</v>
      </c>
      <c r="C115" s="253">
        <v>1</v>
      </c>
      <c r="D115" s="253" t="s">
        <v>608</v>
      </c>
      <c r="E115" s="252" t="s">
        <v>825</v>
      </c>
      <c r="F115" s="252" t="s">
        <v>509</v>
      </c>
      <c r="G115" s="253">
        <v>1</v>
      </c>
      <c r="H115" s="428">
        <v>1</v>
      </c>
      <c r="I115" s="582"/>
      <c r="J115" s="582"/>
      <c r="K115" s="253"/>
      <c r="L115" s="253"/>
      <c r="M115" s="253"/>
      <c r="N115" s="595"/>
    </row>
    <row r="116" spans="1:14" ht="12" customHeight="1" x14ac:dyDescent="0.25">
      <c r="A116" s="238" t="s">
        <v>848</v>
      </c>
      <c r="B116" s="238" t="s">
        <v>849</v>
      </c>
      <c r="C116" s="239">
        <v>9</v>
      </c>
      <c r="D116" s="239" t="s">
        <v>507</v>
      </c>
      <c r="E116" s="238" t="s">
        <v>477</v>
      </c>
      <c r="F116" s="238" t="s">
        <v>850</v>
      </c>
      <c r="G116" s="239">
        <v>30</v>
      </c>
      <c r="H116" s="420" t="s">
        <v>686</v>
      </c>
      <c r="I116" s="573"/>
      <c r="J116" s="573"/>
      <c r="K116" s="239"/>
      <c r="L116" s="239"/>
      <c r="M116" s="239"/>
      <c r="N116" s="586"/>
    </row>
    <row r="117" spans="1:14" ht="12" customHeight="1" x14ac:dyDescent="0.25">
      <c r="A117" s="238" t="s">
        <v>856</v>
      </c>
      <c r="B117" s="238" t="s">
        <v>857</v>
      </c>
      <c r="C117" s="239">
        <v>4</v>
      </c>
      <c r="D117" s="239" t="s">
        <v>507</v>
      </c>
      <c r="E117" s="238" t="s">
        <v>858</v>
      </c>
      <c r="F117" s="238" t="s">
        <v>643</v>
      </c>
      <c r="G117" s="239">
        <v>40</v>
      </c>
      <c r="H117" s="420" t="s">
        <v>789</v>
      </c>
      <c r="I117" s="573"/>
      <c r="J117" s="573"/>
      <c r="K117" s="239"/>
      <c r="L117" s="239"/>
      <c r="M117" s="239"/>
      <c r="N117" s="586"/>
    </row>
    <row r="118" spans="1:14" ht="12" customHeight="1" x14ac:dyDescent="0.25">
      <c r="A118" s="238" t="s">
        <v>865</v>
      </c>
      <c r="B118" s="238" t="s">
        <v>866</v>
      </c>
      <c r="C118" s="239">
        <v>3</v>
      </c>
      <c r="D118" s="239" t="s">
        <v>540</v>
      </c>
      <c r="E118" s="238" t="s">
        <v>548</v>
      </c>
      <c r="F118" s="238" t="s">
        <v>867</v>
      </c>
      <c r="G118" s="239">
        <v>100</v>
      </c>
      <c r="H118" s="420" t="s">
        <v>610</v>
      </c>
      <c r="I118" s="573"/>
      <c r="J118" s="573"/>
      <c r="K118" s="239"/>
      <c r="L118" s="239"/>
      <c r="M118" s="239"/>
      <c r="N118" s="586"/>
    </row>
    <row r="119" spans="1:14" ht="12" customHeight="1" x14ac:dyDescent="0.25">
      <c r="A119" s="238" t="s">
        <v>868</v>
      </c>
      <c r="B119" s="238" t="s">
        <v>869</v>
      </c>
      <c r="C119" s="239">
        <v>7</v>
      </c>
      <c r="D119" s="239" t="s">
        <v>544</v>
      </c>
      <c r="E119" s="238" t="s">
        <v>634</v>
      </c>
      <c r="F119" s="238" t="s">
        <v>582</v>
      </c>
      <c r="G119" s="239">
        <v>30</v>
      </c>
      <c r="H119" s="420" t="s">
        <v>686</v>
      </c>
      <c r="I119" s="573"/>
      <c r="J119" s="573"/>
      <c r="K119" s="239"/>
      <c r="L119" s="239"/>
      <c r="M119" s="239"/>
      <c r="N119" s="586"/>
    </row>
    <row r="120" spans="1:14" ht="12" customHeight="1" x14ac:dyDescent="0.25">
      <c r="A120" s="254" t="s">
        <v>851</v>
      </c>
      <c r="B120" s="254" t="s">
        <v>852</v>
      </c>
      <c r="C120" s="255">
        <v>5</v>
      </c>
      <c r="D120" s="255" t="s">
        <v>626</v>
      </c>
      <c r="E120" s="254" t="s">
        <v>508</v>
      </c>
      <c r="F120" s="254" t="s">
        <v>853</v>
      </c>
      <c r="G120" s="255">
        <v>5</v>
      </c>
      <c r="H120" s="427" t="s">
        <v>610</v>
      </c>
      <c r="I120" s="581"/>
      <c r="J120" s="581"/>
      <c r="K120" s="255"/>
      <c r="L120" s="255"/>
      <c r="M120" s="255"/>
      <c r="N120" s="594"/>
    </row>
    <row r="121" spans="1:14" ht="12" customHeight="1" x14ac:dyDescent="0.25">
      <c r="A121" s="254" t="s">
        <v>859</v>
      </c>
      <c r="B121" s="254" t="s">
        <v>860</v>
      </c>
      <c r="C121" s="255">
        <v>4</v>
      </c>
      <c r="D121" s="255" t="s">
        <v>626</v>
      </c>
      <c r="E121" s="254" t="s">
        <v>861</v>
      </c>
      <c r="F121" s="254" t="s">
        <v>862</v>
      </c>
      <c r="G121" s="255">
        <v>80</v>
      </c>
      <c r="H121" s="427">
        <v>1</v>
      </c>
      <c r="I121" s="581"/>
      <c r="J121" s="581"/>
      <c r="K121" s="255"/>
      <c r="L121" s="255"/>
      <c r="M121" s="255"/>
      <c r="N121" s="594"/>
    </row>
    <row r="122" spans="1:14" ht="12" customHeight="1" x14ac:dyDescent="0.25">
      <c r="A122" s="240" t="s">
        <v>870</v>
      </c>
      <c r="B122" s="240" t="s">
        <v>871</v>
      </c>
      <c r="C122" s="241">
        <v>2</v>
      </c>
      <c r="D122" s="241" t="s">
        <v>512</v>
      </c>
      <c r="E122" s="240" t="s">
        <v>477</v>
      </c>
      <c r="F122" s="240" t="s">
        <v>872</v>
      </c>
      <c r="G122" s="241">
        <v>50</v>
      </c>
      <c r="H122" s="421">
        <v>1</v>
      </c>
      <c r="I122" s="574"/>
      <c r="J122" s="574"/>
      <c r="K122" s="241"/>
      <c r="L122" s="241"/>
      <c r="M122" s="241"/>
      <c r="N122" s="587"/>
    </row>
    <row r="123" spans="1:14" ht="12" customHeight="1" x14ac:dyDescent="0.25">
      <c r="A123" s="240" t="s">
        <v>854</v>
      </c>
      <c r="B123" s="240" t="s">
        <v>855</v>
      </c>
      <c r="C123" s="241">
        <v>1</v>
      </c>
      <c r="D123" s="241" t="s">
        <v>512</v>
      </c>
      <c r="E123" s="240" t="s">
        <v>634</v>
      </c>
      <c r="F123" s="240" t="s">
        <v>621</v>
      </c>
      <c r="G123" s="241">
        <v>40</v>
      </c>
      <c r="H123" s="421">
        <v>1</v>
      </c>
      <c r="I123" s="574"/>
      <c r="J123" s="574"/>
      <c r="K123" s="241"/>
      <c r="L123" s="241"/>
      <c r="M123" s="241"/>
      <c r="N123" s="587"/>
    </row>
    <row r="124" spans="1:14" ht="12" customHeight="1" x14ac:dyDescent="0.25">
      <c r="A124" s="240" t="s">
        <v>863</v>
      </c>
      <c r="B124" s="240" t="s">
        <v>864</v>
      </c>
      <c r="C124" s="241">
        <v>1</v>
      </c>
      <c r="D124" s="241" t="s">
        <v>512</v>
      </c>
      <c r="E124" s="240" t="s">
        <v>800</v>
      </c>
      <c r="F124" s="240" t="s">
        <v>797</v>
      </c>
      <c r="G124" s="241">
        <v>60</v>
      </c>
      <c r="H124" s="421">
        <v>1</v>
      </c>
      <c r="I124" s="574"/>
      <c r="J124" s="574"/>
      <c r="K124" s="241"/>
      <c r="L124" s="241"/>
      <c r="M124" s="241"/>
      <c r="N124" s="587"/>
    </row>
    <row r="125" spans="1:14" ht="12" customHeight="1" x14ac:dyDescent="0.25">
      <c r="A125" s="250" t="s">
        <v>873</v>
      </c>
      <c r="B125" s="250" t="s">
        <v>874</v>
      </c>
      <c r="C125" s="251">
        <v>9</v>
      </c>
      <c r="D125" s="251" t="s">
        <v>572</v>
      </c>
      <c r="E125" s="250" t="s">
        <v>477</v>
      </c>
      <c r="F125" s="250" t="s">
        <v>477</v>
      </c>
      <c r="G125" s="251">
        <v>30</v>
      </c>
      <c r="H125" s="426" t="s">
        <v>686</v>
      </c>
      <c r="I125" s="580"/>
      <c r="J125" s="580"/>
      <c r="K125" s="251"/>
      <c r="L125" s="251"/>
      <c r="M125" s="251"/>
      <c r="N125" s="593"/>
    </row>
    <row r="126" spans="1:14" ht="12" customHeight="1" x14ac:dyDescent="0.25">
      <c r="A126" s="250" t="s">
        <v>891</v>
      </c>
      <c r="B126" s="250" t="s">
        <v>892</v>
      </c>
      <c r="C126" s="251">
        <v>3</v>
      </c>
      <c r="D126" s="251" t="s">
        <v>572</v>
      </c>
      <c r="E126" s="250" t="s">
        <v>893</v>
      </c>
      <c r="F126" s="250" t="s">
        <v>477</v>
      </c>
      <c r="G126" s="251">
        <v>100</v>
      </c>
      <c r="H126" s="426" t="s">
        <v>884</v>
      </c>
      <c r="I126" s="580"/>
      <c r="J126" s="580"/>
      <c r="K126" s="251"/>
      <c r="L126" s="251"/>
      <c r="M126" s="251"/>
      <c r="N126" s="593"/>
    </row>
    <row r="127" spans="1:14" ht="12" customHeight="1" x14ac:dyDescent="0.25">
      <c r="A127" s="250" t="s">
        <v>880</v>
      </c>
      <c r="B127" s="250" t="s">
        <v>881</v>
      </c>
      <c r="C127" s="251">
        <v>9</v>
      </c>
      <c r="D127" s="251" t="s">
        <v>572</v>
      </c>
      <c r="E127" s="250" t="s">
        <v>825</v>
      </c>
      <c r="F127" s="250" t="s">
        <v>477</v>
      </c>
      <c r="G127" s="251">
        <v>25</v>
      </c>
      <c r="H127" s="426" t="s">
        <v>610</v>
      </c>
      <c r="I127" s="580"/>
      <c r="J127" s="580"/>
      <c r="K127" s="251"/>
      <c r="L127" s="251"/>
      <c r="M127" s="251"/>
      <c r="N127" s="593"/>
    </row>
    <row r="128" spans="1:14" ht="12" customHeight="1" x14ac:dyDescent="0.25">
      <c r="A128" s="250" t="s">
        <v>877</v>
      </c>
      <c r="B128" s="250" t="s">
        <v>878</v>
      </c>
      <c r="C128" s="251">
        <v>9</v>
      </c>
      <c r="D128" s="251" t="s">
        <v>572</v>
      </c>
      <c r="E128" s="250" t="s">
        <v>637</v>
      </c>
      <c r="F128" s="250" t="s">
        <v>879</v>
      </c>
      <c r="G128" s="251">
        <v>100</v>
      </c>
      <c r="H128" s="426" t="s">
        <v>702</v>
      </c>
      <c r="I128" s="580"/>
      <c r="J128" s="580"/>
      <c r="K128" s="251"/>
      <c r="L128" s="251"/>
      <c r="M128" s="251"/>
      <c r="N128" s="593"/>
    </row>
    <row r="129" spans="1:14" ht="12" customHeight="1" x14ac:dyDescent="0.25">
      <c r="A129" s="250" t="s">
        <v>882</v>
      </c>
      <c r="B129" s="250" t="s">
        <v>883</v>
      </c>
      <c r="C129" s="251">
        <v>3</v>
      </c>
      <c r="D129" s="251" t="s">
        <v>572</v>
      </c>
      <c r="E129" s="250" t="s">
        <v>477</v>
      </c>
      <c r="F129" s="250" t="s">
        <v>477</v>
      </c>
      <c r="G129" s="251">
        <v>200</v>
      </c>
      <c r="H129" s="426" t="s">
        <v>884</v>
      </c>
      <c r="I129" s="580"/>
      <c r="J129" s="580"/>
      <c r="K129" s="251"/>
      <c r="L129" s="251"/>
      <c r="M129" s="251"/>
      <c r="N129" s="593"/>
    </row>
    <row r="130" spans="1:14" ht="12" customHeight="1" x14ac:dyDescent="0.25">
      <c r="A130" s="250" t="s">
        <v>897</v>
      </c>
      <c r="B130" s="250" t="s">
        <v>898</v>
      </c>
      <c r="C130" s="251">
        <v>5</v>
      </c>
      <c r="D130" s="251" t="s">
        <v>572</v>
      </c>
      <c r="E130" s="250" t="s">
        <v>477</v>
      </c>
      <c r="F130" s="250" t="s">
        <v>477</v>
      </c>
      <c r="G130" s="251">
        <v>100</v>
      </c>
      <c r="H130" s="426" t="s">
        <v>610</v>
      </c>
      <c r="I130" s="580"/>
      <c r="J130" s="580"/>
      <c r="K130" s="251"/>
      <c r="L130" s="251"/>
      <c r="M130" s="251"/>
      <c r="N130" s="593"/>
    </row>
    <row r="131" spans="1:14" ht="12" customHeight="1" x14ac:dyDescent="0.25">
      <c r="A131" s="250" t="s">
        <v>899</v>
      </c>
      <c r="B131" s="250" t="s">
        <v>900</v>
      </c>
      <c r="C131" s="251">
        <v>8</v>
      </c>
      <c r="D131" s="251" t="s">
        <v>572</v>
      </c>
      <c r="E131" s="250" t="s">
        <v>705</v>
      </c>
      <c r="F131" s="250"/>
      <c r="G131" s="251">
        <v>100</v>
      </c>
      <c r="H131" s="426" t="s">
        <v>789</v>
      </c>
      <c r="I131" s="580"/>
      <c r="J131" s="580"/>
      <c r="K131" s="251"/>
      <c r="L131" s="251"/>
      <c r="M131" s="251"/>
      <c r="N131" s="593"/>
    </row>
    <row r="132" spans="1:14" ht="12" customHeight="1" x14ac:dyDescent="0.25">
      <c r="A132" s="250" t="s">
        <v>904</v>
      </c>
      <c r="B132" s="250" t="s">
        <v>905</v>
      </c>
      <c r="C132" s="251">
        <v>4</v>
      </c>
      <c r="D132" s="251" t="s">
        <v>572</v>
      </c>
      <c r="E132" s="250" t="s">
        <v>637</v>
      </c>
      <c r="F132" s="250" t="s">
        <v>509</v>
      </c>
      <c r="G132" s="251">
        <v>125</v>
      </c>
      <c r="H132" s="426" t="s">
        <v>686</v>
      </c>
      <c r="I132" s="580"/>
      <c r="J132" s="580"/>
      <c r="K132" s="251"/>
      <c r="L132" s="251"/>
      <c r="M132" s="251"/>
      <c r="N132" s="593"/>
    </row>
    <row r="133" spans="1:14" ht="12" customHeight="1" x14ac:dyDescent="0.25">
      <c r="A133" s="240" t="s">
        <v>875</v>
      </c>
      <c r="B133" s="240" t="s">
        <v>876</v>
      </c>
      <c r="C133" s="241">
        <v>2</v>
      </c>
      <c r="D133" s="241" t="s">
        <v>512</v>
      </c>
      <c r="E133" s="240" t="s">
        <v>477</v>
      </c>
      <c r="F133" s="240" t="s">
        <v>769</v>
      </c>
      <c r="G133" s="241">
        <v>60</v>
      </c>
      <c r="H133" s="421">
        <v>1</v>
      </c>
      <c r="I133" s="574"/>
      <c r="J133" s="574"/>
      <c r="K133" s="241"/>
      <c r="L133" s="241"/>
      <c r="M133" s="241"/>
      <c r="N133" s="587"/>
    </row>
    <row r="134" spans="1:14" ht="12" customHeight="1" x14ac:dyDescent="0.25">
      <c r="A134" s="240" t="s">
        <v>906</v>
      </c>
      <c r="B134" s="240" t="s">
        <v>907</v>
      </c>
      <c r="C134" s="241">
        <v>1</v>
      </c>
      <c r="D134" s="241" t="s">
        <v>512</v>
      </c>
      <c r="E134" s="240" t="s">
        <v>800</v>
      </c>
      <c r="F134" s="240" t="s">
        <v>908</v>
      </c>
      <c r="G134" s="241">
        <v>90</v>
      </c>
      <c r="H134" s="421">
        <v>1</v>
      </c>
      <c r="I134" s="574"/>
      <c r="J134" s="574"/>
      <c r="K134" s="241"/>
      <c r="L134" s="241"/>
      <c r="M134" s="241"/>
      <c r="N134" s="587"/>
    </row>
    <row r="135" spans="1:14" ht="12" customHeight="1" x14ac:dyDescent="0.25">
      <c r="A135" s="246" t="s">
        <v>885</v>
      </c>
      <c r="B135" s="246" t="s">
        <v>886</v>
      </c>
      <c r="C135" s="247">
        <v>9</v>
      </c>
      <c r="D135" s="247" t="s">
        <v>552</v>
      </c>
      <c r="E135" s="246" t="s">
        <v>887</v>
      </c>
      <c r="F135" s="246" t="s">
        <v>888</v>
      </c>
      <c r="G135" s="247">
        <v>200</v>
      </c>
      <c r="H135" s="425" t="s">
        <v>711</v>
      </c>
      <c r="I135" s="579"/>
      <c r="J135" s="579"/>
      <c r="K135" s="247"/>
      <c r="L135" s="247"/>
      <c r="M135" s="247"/>
      <c r="N135" s="592"/>
    </row>
    <row r="136" spans="1:14" ht="12" customHeight="1" x14ac:dyDescent="0.25">
      <c r="A136" s="240" t="s">
        <v>889</v>
      </c>
      <c r="B136" s="240" t="s">
        <v>890</v>
      </c>
      <c r="C136" s="241">
        <v>5</v>
      </c>
      <c r="D136" s="241" t="s">
        <v>512</v>
      </c>
      <c r="E136" s="240" t="s">
        <v>477</v>
      </c>
      <c r="F136" s="240" t="s">
        <v>714</v>
      </c>
      <c r="G136" s="241">
        <v>90</v>
      </c>
      <c r="H136" s="421">
        <v>1</v>
      </c>
      <c r="I136" s="574"/>
      <c r="J136" s="574"/>
      <c r="K136" s="241"/>
      <c r="L136" s="241"/>
      <c r="M136" s="241"/>
      <c r="N136" s="587"/>
    </row>
    <row r="137" spans="1:14" ht="12" customHeight="1" x14ac:dyDescent="0.25">
      <c r="A137" s="244" t="s">
        <v>894</v>
      </c>
      <c r="B137" s="244" t="s">
        <v>895</v>
      </c>
      <c r="C137" s="245">
        <v>8</v>
      </c>
      <c r="D137" s="245" t="s">
        <v>531</v>
      </c>
      <c r="E137" s="244" t="s">
        <v>477</v>
      </c>
      <c r="F137" s="244" t="s">
        <v>896</v>
      </c>
      <c r="G137" s="245">
        <v>100</v>
      </c>
      <c r="H137" s="424">
        <v>1</v>
      </c>
      <c r="I137" s="578"/>
      <c r="J137" s="578"/>
      <c r="K137" s="245"/>
      <c r="L137" s="245"/>
      <c r="M137" s="245"/>
      <c r="N137" s="591"/>
    </row>
    <row r="138" spans="1:14" ht="12" customHeight="1" x14ac:dyDescent="0.25">
      <c r="A138" s="244" t="s">
        <v>901</v>
      </c>
      <c r="B138" s="244" t="s">
        <v>902</v>
      </c>
      <c r="C138" s="245">
        <v>5</v>
      </c>
      <c r="D138" s="245" t="s">
        <v>531</v>
      </c>
      <c r="E138" s="244" t="s">
        <v>669</v>
      </c>
      <c r="F138" s="244" t="s">
        <v>903</v>
      </c>
      <c r="G138" s="245">
        <v>60</v>
      </c>
      <c r="H138" s="424">
        <v>1</v>
      </c>
      <c r="I138" s="578"/>
      <c r="J138" s="578"/>
      <c r="K138" s="245"/>
      <c r="L138" s="245"/>
      <c r="M138" s="245"/>
      <c r="N138" s="591"/>
    </row>
    <row r="139" spans="1:14" ht="12" customHeight="1" x14ac:dyDescent="0.25">
      <c r="A139" s="238" t="s">
        <v>909</v>
      </c>
      <c r="B139" s="238" t="s">
        <v>910</v>
      </c>
      <c r="C139" s="239">
        <v>9</v>
      </c>
      <c r="D139" s="239" t="s">
        <v>544</v>
      </c>
      <c r="E139" s="238" t="s">
        <v>508</v>
      </c>
      <c r="F139" s="238" t="s">
        <v>911</v>
      </c>
      <c r="G139" s="239">
        <v>20</v>
      </c>
      <c r="H139" s="420" t="s">
        <v>686</v>
      </c>
      <c r="I139" s="573"/>
      <c r="J139" s="573"/>
      <c r="K139" s="239"/>
      <c r="L139" s="239"/>
      <c r="M139" s="239"/>
      <c r="N139" s="586"/>
    </row>
    <row r="140" spans="1:14" ht="12" customHeight="1" x14ac:dyDescent="0.25">
      <c r="A140" s="248" t="s">
        <v>914</v>
      </c>
      <c r="B140" s="248" t="s">
        <v>915</v>
      </c>
      <c r="C140" s="249">
        <v>5</v>
      </c>
      <c r="D140" s="249" t="s">
        <v>556</v>
      </c>
      <c r="E140" s="248" t="s">
        <v>477</v>
      </c>
      <c r="F140" s="248" t="s">
        <v>477</v>
      </c>
      <c r="G140" s="249">
        <v>9000</v>
      </c>
      <c r="H140" s="422">
        <v>1</v>
      </c>
      <c r="I140" s="576"/>
      <c r="J140" s="576"/>
      <c r="K140" s="249"/>
      <c r="L140" s="249"/>
      <c r="M140" s="249"/>
      <c r="N140" s="589"/>
    </row>
    <row r="141" spans="1:14" ht="12" customHeight="1" x14ac:dyDescent="0.25">
      <c r="A141" s="248" t="s">
        <v>912</v>
      </c>
      <c r="B141" s="248" t="s">
        <v>913</v>
      </c>
      <c r="C141" s="249">
        <v>3</v>
      </c>
      <c r="D141" s="249" t="s">
        <v>556</v>
      </c>
      <c r="E141" s="248" t="s">
        <v>477</v>
      </c>
      <c r="F141" s="248" t="s">
        <v>477</v>
      </c>
      <c r="G141" s="249">
        <v>6000</v>
      </c>
      <c r="H141" s="422">
        <v>1</v>
      </c>
      <c r="I141" s="576"/>
      <c r="J141" s="576"/>
      <c r="K141" s="249"/>
      <c r="L141" s="249"/>
      <c r="M141" s="249"/>
      <c r="N141" s="589"/>
    </row>
    <row r="142" spans="1:14" ht="12" customHeight="1" x14ac:dyDescent="0.25">
      <c r="A142" s="240" t="s">
        <v>916</v>
      </c>
      <c r="B142" s="240" t="s">
        <v>917</v>
      </c>
      <c r="C142" s="241">
        <v>4</v>
      </c>
      <c r="D142" s="241" t="s">
        <v>512</v>
      </c>
      <c r="E142" s="240" t="s">
        <v>477</v>
      </c>
      <c r="F142" s="240" t="s">
        <v>561</v>
      </c>
      <c r="G142" s="241">
        <v>80</v>
      </c>
      <c r="H142" s="421">
        <v>1</v>
      </c>
      <c r="I142" s="574"/>
      <c r="J142" s="574"/>
      <c r="K142" s="241"/>
      <c r="L142" s="241"/>
      <c r="M142" s="241"/>
      <c r="N142" s="587"/>
    </row>
    <row r="143" spans="1:14" ht="12" customHeight="1" x14ac:dyDescent="0.25">
      <c r="A143" s="240" t="s">
        <v>918</v>
      </c>
      <c r="B143" s="240" t="s">
        <v>919</v>
      </c>
      <c r="C143" s="241">
        <v>2</v>
      </c>
      <c r="D143" s="241" t="s">
        <v>512</v>
      </c>
      <c r="E143" s="240" t="s">
        <v>477</v>
      </c>
      <c r="F143" s="240" t="s">
        <v>920</v>
      </c>
      <c r="G143" s="241">
        <v>120</v>
      </c>
      <c r="H143" s="421">
        <v>1</v>
      </c>
      <c r="I143" s="574"/>
      <c r="J143" s="574"/>
      <c r="K143" s="241"/>
      <c r="L143" s="241"/>
      <c r="M143" s="241"/>
      <c r="N143" s="587"/>
    </row>
    <row r="144" spans="1:14" ht="12" customHeight="1" x14ac:dyDescent="0.25">
      <c r="A144" s="240" t="s">
        <v>921</v>
      </c>
      <c r="B144" s="240" t="s">
        <v>922</v>
      </c>
      <c r="C144" s="241">
        <v>4</v>
      </c>
      <c r="D144" s="241" t="s">
        <v>512</v>
      </c>
      <c r="E144" s="240" t="s">
        <v>823</v>
      </c>
      <c r="F144" s="240" t="s">
        <v>509</v>
      </c>
      <c r="G144" s="241">
        <v>80</v>
      </c>
      <c r="H144" s="421">
        <v>1</v>
      </c>
      <c r="I144" s="574"/>
      <c r="J144" s="574"/>
      <c r="K144" s="241"/>
      <c r="L144" s="241"/>
      <c r="M144" s="241"/>
      <c r="N144" s="587"/>
    </row>
    <row r="145" spans="1:14" ht="12" customHeight="1" x14ac:dyDescent="0.25">
      <c r="A145" s="238" t="s">
        <v>923</v>
      </c>
      <c r="B145" s="238" t="s">
        <v>924</v>
      </c>
      <c r="C145" s="239">
        <v>8</v>
      </c>
      <c r="D145" s="239" t="s">
        <v>507</v>
      </c>
      <c r="E145" s="238" t="s">
        <v>772</v>
      </c>
      <c r="F145" s="238" t="s">
        <v>925</v>
      </c>
      <c r="G145" s="239">
        <v>10</v>
      </c>
      <c r="H145" s="420" t="s">
        <v>702</v>
      </c>
      <c r="I145" s="573"/>
      <c r="J145" s="573"/>
      <c r="K145" s="239"/>
      <c r="L145" s="239"/>
      <c r="M145" s="239"/>
      <c r="N145" s="586"/>
    </row>
    <row r="146" spans="1:14" ht="12" customHeight="1" x14ac:dyDescent="0.25">
      <c r="A146" s="248" t="s">
        <v>926</v>
      </c>
      <c r="B146" s="248" t="s">
        <v>927</v>
      </c>
      <c r="C146" s="249">
        <v>6</v>
      </c>
      <c r="D146" s="249" t="s">
        <v>556</v>
      </c>
      <c r="E146" s="248" t="s">
        <v>637</v>
      </c>
      <c r="F146" s="248" t="s">
        <v>928</v>
      </c>
      <c r="G146" s="249">
        <v>80</v>
      </c>
      <c r="H146" s="422">
        <v>2</v>
      </c>
      <c r="I146" s="576"/>
      <c r="J146" s="576"/>
      <c r="K146" s="249"/>
      <c r="L146" s="249"/>
      <c r="M146" s="249"/>
      <c r="N146" s="589"/>
    </row>
    <row r="147" spans="1:14" ht="12" customHeight="1" thickBot="1" x14ac:dyDescent="0.3">
      <c r="A147" s="238" t="s">
        <v>929</v>
      </c>
      <c r="B147" s="238" t="s">
        <v>930</v>
      </c>
      <c r="C147" s="239">
        <v>5</v>
      </c>
      <c r="D147" s="239" t="s">
        <v>507</v>
      </c>
      <c r="E147" s="238" t="s">
        <v>634</v>
      </c>
      <c r="F147" s="238" t="s">
        <v>586</v>
      </c>
      <c r="G147" s="239">
        <v>5</v>
      </c>
      <c r="H147" s="420" t="s">
        <v>610</v>
      </c>
      <c r="I147" s="583"/>
      <c r="J147" s="583"/>
      <c r="K147" s="596"/>
      <c r="L147" s="596"/>
      <c r="M147" s="596"/>
      <c r="N147" s="597"/>
    </row>
  </sheetData>
  <sortState ref="A2:P146">
    <sortCondition ref="B2:B146"/>
  </sortState>
  <pageMargins left="0.25" right="0.25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90625" defaultRowHeight="12.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topLeftCell="A13" workbookViewId="0">
      <selection activeCell="L10" sqref="L10"/>
    </sheetView>
  </sheetViews>
  <sheetFormatPr baseColWidth="10" defaultColWidth="9.08984375" defaultRowHeight="13" x14ac:dyDescent="0.3"/>
  <cols>
    <col min="1" max="1" width="2.90625" style="278" customWidth="1"/>
    <col min="2" max="2" width="12.453125" style="369" customWidth="1"/>
    <col min="3" max="3" width="12.54296875" style="400" customWidth="1"/>
    <col min="4" max="4" width="7.54296875" style="401" customWidth="1"/>
    <col min="5" max="5" width="13.08984375" style="278" customWidth="1"/>
    <col min="6" max="6" width="7.54296875" style="278" customWidth="1"/>
    <col min="7" max="7" width="12.453125" style="278" customWidth="1"/>
    <col min="8" max="8" width="8" style="278" customWidth="1"/>
    <col min="9" max="9" width="11.90625" style="278" customWidth="1"/>
    <col min="10" max="10" width="9.08984375" style="278"/>
    <col min="11" max="11" width="12.08984375" style="278" bestFit="1" customWidth="1"/>
    <col min="12" max="15" width="5.54296875" style="392" customWidth="1"/>
    <col min="16" max="16" width="17" style="278" bestFit="1" customWidth="1"/>
    <col min="17" max="20" width="3.6328125" style="279" customWidth="1"/>
    <col min="21" max="21" width="16.36328125" style="278" bestFit="1" customWidth="1"/>
    <col min="22" max="25" width="3.6328125" style="279" customWidth="1"/>
    <col min="26" max="16384" width="9.08984375" style="278"/>
  </cols>
  <sheetData>
    <row r="1" spans="1:25" ht="16" thickBot="1" x14ac:dyDescent="0.4">
      <c r="C1" s="744" t="str">
        <f>[4]Perso!$A$3</f>
        <v>Jem</v>
      </c>
      <c r="D1" s="745"/>
      <c r="E1" s="744" t="str">
        <f>[1]Perso!$A$3</f>
        <v>Raoul</v>
      </c>
      <c r="F1" s="745"/>
      <c r="G1" s="744" t="str">
        <f>[2]Perso!$A$3</f>
        <v>Arnaud</v>
      </c>
      <c r="H1" s="745"/>
      <c r="I1" s="744" t="str">
        <f>[3]Perso!$A$3</f>
        <v>Kar</v>
      </c>
      <c r="J1" s="745"/>
      <c r="K1" s="377"/>
      <c r="L1" s="286" t="s">
        <v>21</v>
      </c>
      <c r="M1" s="286" t="s">
        <v>1026</v>
      </c>
      <c r="N1" s="286" t="s">
        <v>33</v>
      </c>
      <c r="O1" s="286" t="s">
        <v>29</v>
      </c>
      <c r="Q1" s="279" t="s">
        <v>21</v>
      </c>
      <c r="R1" s="279" t="s">
        <v>1026</v>
      </c>
      <c r="S1" s="279" t="s">
        <v>33</v>
      </c>
      <c r="T1" s="279" t="s">
        <v>29</v>
      </c>
      <c r="V1" s="279" t="s">
        <v>21</v>
      </c>
      <c r="W1" s="279" t="s">
        <v>1026</v>
      </c>
      <c r="X1" s="279" t="s">
        <v>33</v>
      </c>
      <c r="Y1" s="279" t="s">
        <v>29</v>
      </c>
    </row>
    <row r="2" spans="1:25" ht="14" customHeight="1" thickBot="1" x14ac:dyDescent="0.35">
      <c r="A2" s="278" t="s">
        <v>27</v>
      </c>
      <c r="B2" s="378" t="s">
        <v>0</v>
      </c>
      <c r="C2" s="542">
        <f>[4]!pui</f>
        <v>34</v>
      </c>
      <c r="D2" s="543">
        <f>[4]Perso!$G$13</f>
        <v>34</v>
      </c>
      <c r="E2" s="542">
        <f>[1]!pui</f>
        <v>52</v>
      </c>
      <c r="F2" s="543">
        <f>[1]Perso!$G$13</f>
        <v>52</v>
      </c>
      <c r="G2" s="542">
        <f>[2]!pui</f>
        <v>91</v>
      </c>
      <c r="H2" s="543">
        <f>[2]Perso!$G$13</f>
        <v>102</v>
      </c>
      <c r="I2" s="542">
        <f>[3]!pui</f>
        <v>32</v>
      </c>
      <c r="J2" s="543">
        <f>[3]Perso!$G$13</f>
        <v>32</v>
      </c>
      <c r="K2" s="558" t="str">
        <f>PerA!F12</f>
        <v>VON</v>
      </c>
      <c r="L2" s="555">
        <f>PerA!G12</f>
        <v>7.4</v>
      </c>
      <c r="M2" s="555">
        <f>PerB!G12</f>
        <v>28.824999999999999</v>
      </c>
      <c r="N2" s="556">
        <f>PerC!G12</f>
        <v>41.95</v>
      </c>
      <c r="O2" s="557">
        <f>PerD!G12</f>
        <v>17.899999999999999</v>
      </c>
      <c r="P2" s="287" t="s">
        <v>188</v>
      </c>
      <c r="Q2" s="462"/>
      <c r="R2" s="462"/>
      <c r="S2" s="462"/>
      <c r="T2" s="462"/>
      <c r="U2" s="287" t="s">
        <v>1028</v>
      </c>
      <c r="V2" s="462"/>
      <c r="W2" s="462"/>
      <c r="X2" s="462"/>
      <c r="Y2" s="468"/>
    </row>
    <row r="3" spans="1:25" ht="13.5" thickBot="1" x14ac:dyDescent="0.35">
      <c r="A3" s="278" t="s">
        <v>27</v>
      </c>
      <c r="B3" s="379" t="s">
        <v>1</v>
      </c>
      <c r="C3" s="542">
        <f>[4]!pui</f>
        <v>34</v>
      </c>
      <c r="D3" s="543">
        <f>[4]Perso!$G$14</f>
        <v>32</v>
      </c>
      <c r="E3" s="542">
        <f>[1]!pui</f>
        <v>52</v>
      </c>
      <c r="F3" s="543">
        <f>[1]Perso!$G$14</f>
        <v>52</v>
      </c>
      <c r="G3" s="542">
        <f>[2]!pui</f>
        <v>91</v>
      </c>
      <c r="H3" s="543">
        <f>[2]Perso!$G$14</f>
        <v>86</v>
      </c>
      <c r="I3" s="542">
        <f>[3]!pui</f>
        <v>32</v>
      </c>
      <c r="J3" s="543">
        <f>[3]Perso!$G$14</f>
        <v>32</v>
      </c>
      <c r="K3" s="559" t="str">
        <f>PerA!F13</f>
        <v>VDN</v>
      </c>
      <c r="L3" s="555">
        <f>PerA!G13</f>
        <v>5.6999999999999993</v>
      </c>
      <c r="M3" s="555">
        <f>PerB!G13</f>
        <v>13.9</v>
      </c>
      <c r="N3" s="556">
        <f>PerC!G13</f>
        <v>39.375000000000007</v>
      </c>
      <c r="O3" s="557">
        <f>PerD!G13</f>
        <v>17.3</v>
      </c>
      <c r="P3" s="288" t="s">
        <v>189</v>
      </c>
      <c r="Q3" s="462"/>
      <c r="R3" s="462"/>
      <c r="S3" s="462"/>
      <c r="T3" s="462"/>
      <c r="U3" s="288" t="s">
        <v>1030</v>
      </c>
      <c r="V3" s="463"/>
      <c r="W3" s="463"/>
      <c r="X3" s="463"/>
      <c r="Y3" s="469"/>
    </row>
    <row r="4" spans="1:25" ht="13.5" thickBot="1" x14ac:dyDescent="0.35">
      <c r="A4" s="278" t="s">
        <v>28</v>
      </c>
      <c r="B4" s="378" t="s">
        <v>2</v>
      </c>
      <c r="C4" s="542">
        <f>[4]!sou</f>
        <v>21</v>
      </c>
      <c r="D4" s="543">
        <f>[4]Perso!$G$16</f>
        <v>21</v>
      </c>
      <c r="E4" s="542">
        <f>[1]!sou</f>
        <v>36</v>
      </c>
      <c r="F4" s="543">
        <f>[1]Perso!$G$16</f>
        <v>36</v>
      </c>
      <c r="G4" s="542">
        <f>[2]!sou</f>
        <v>55</v>
      </c>
      <c r="H4" s="543">
        <f>[2]Perso!$G$16</f>
        <v>55</v>
      </c>
      <c r="I4" s="542">
        <f>[3]!sou</f>
        <v>53</v>
      </c>
      <c r="J4" s="543">
        <f>[3]Perso!$G$16</f>
        <v>65</v>
      </c>
      <c r="K4" s="559" t="str">
        <f>PerA!F14</f>
        <v>PDC</v>
      </c>
      <c r="L4" s="555">
        <f>PerA!G14</f>
        <v>22</v>
      </c>
      <c r="M4" s="555">
        <f>PerB!G14</f>
        <v>33</v>
      </c>
      <c r="N4" s="556">
        <f>PerC!G14</f>
        <v>49</v>
      </c>
      <c r="O4" s="557">
        <f>PerD!G14</f>
        <v>31</v>
      </c>
      <c r="P4" s="288" t="s">
        <v>190</v>
      </c>
      <c r="Q4" s="462"/>
      <c r="R4" s="462"/>
      <c r="S4" s="462"/>
      <c r="T4" s="462"/>
      <c r="U4" s="288" t="s">
        <v>298</v>
      </c>
      <c r="V4" s="463"/>
      <c r="W4" s="463"/>
      <c r="X4" s="463"/>
      <c r="Y4" s="469"/>
    </row>
    <row r="5" spans="1:25" ht="13.5" thickBot="1" x14ac:dyDescent="0.35">
      <c r="A5" s="278" t="s">
        <v>28</v>
      </c>
      <c r="B5" s="379" t="s">
        <v>3</v>
      </c>
      <c r="C5" s="542">
        <f>[4]!fat</f>
        <v>27</v>
      </c>
      <c r="D5" s="543">
        <f>[4]Perso!$G$17</f>
        <v>27</v>
      </c>
      <c r="E5" s="542">
        <f>[1]!fat</f>
        <v>36</v>
      </c>
      <c r="F5" s="543">
        <f>[1]Perso!$G$17</f>
        <v>36</v>
      </c>
      <c r="G5" s="542">
        <f>[2]!fat</f>
        <v>56</v>
      </c>
      <c r="H5" s="543">
        <f>[2]Perso!$G$17</f>
        <v>56</v>
      </c>
      <c r="I5" s="542">
        <f>[3]!fat</f>
        <v>55</v>
      </c>
      <c r="J5" s="543">
        <f>[3]Perso!$G$17</f>
        <v>65</v>
      </c>
      <c r="K5" s="559" t="str">
        <f>PerA!F15</f>
        <v>RM</v>
      </c>
      <c r="L5" s="555">
        <f>PerA!G15</f>
        <v>6</v>
      </c>
      <c r="M5" s="555">
        <f>PerB!G15</f>
        <v>8</v>
      </c>
      <c r="N5" s="556">
        <f>PerC!G15</f>
        <v>8</v>
      </c>
      <c r="O5" s="557">
        <f>PerD!G15</f>
        <v>7</v>
      </c>
      <c r="P5" s="288" t="s">
        <v>191</v>
      </c>
      <c r="Q5" s="462"/>
      <c r="R5" s="462"/>
      <c r="S5" s="462"/>
      <c r="T5" s="462"/>
      <c r="U5" s="288" t="s">
        <v>225</v>
      </c>
      <c r="V5" s="463"/>
      <c r="W5" s="463"/>
      <c r="X5" s="463"/>
      <c r="Y5" s="469"/>
    </row>
    <row r="6" spans="1:25" ht="13.5" thickBot="1" x14ac:dyDescent="0.35">
      <c r="A6" s="278" t="s">
        <v>29</v>
      </c>
      <c r="B6" s="378" t="s">
        <v>4</v>
      </c>
      <c r="C6" s="542">
        <f>[4]!coo</f>
        <v>31</v>
      </c>
      <c r="D6" s="543">
        <f>[4]Perso!$G$19</f>
        <v>45</v>
      </c>
      <c r="E6" s="542">
        <f>[1]!coo</f>
        <v>75</v>
      </c>
      <c r="F6" s="543">
        <f>[1]Perso!$G$19</f>
        <v>110</v>
      </c>
      <c r="G6" s="542">
        <f>[2]!coo</f>
        <v>71</v>
      </c>
      <c r="H6" s="543">
        <f>[2]Perso!$G$19</f>
        <v>71</v>
      </c>
      <c r="I6" s="542">
        <f>[3]!coo</f>
        <v>96</v>
      </c>
      <c r="J6" s="543">
        <f>[3]Perso!$G$19</f>
        <v>103</v>
      </c>
      <c r="K6" s="559" t="str">
        <f>PerA!F16</f>
        <v>attaque</v>
      </c>
      <c r="L6" s="555">
        <f>PerA!G16</f>
        <v>28</v>
      </c>
      <c r="M6" s="555">
        <f>PerB!G16</f>
        <v>61</v>
      </c>
      <c r="N6" s="556">
        <f>PerC!G16</f>
        <v>84</v>
      </c>
      <c r="O6" s="557">
        <f>PerD!G16</f>
        <v>60</v>
      </c>
      <c r="P6" s="288" t="s">
        <v>192</v>
      </c>
      <c r="Q6" s="462"/>
      <c r="R6" s="462"/>
      <c r="S6" s="462"/>
      <c r="T6" s="462"/>
      <c r="U6" s="288" t="s">
        <v>51</v>
      </c>
      <c r="V6" s="463"/>
      <c r="W6" s="463"/>
      <c r="X6" s="463"/>
      <c r="Y6" s="469"/>
    </row>
    <row r="7" spans="1:25" ht="13.5" thickBot="1" x14ac:dyDescent="0.35">
      <c r="A7" s="278" t="s">
        <v>29</v>
      </c>
      <c r="B7" s="379" t="s">
        <v>5</v>
      </c>
      <c r="C7" s="542">
        <f>[4]!man</f>
        <v>45</v>
      </c>
      <c r="D7" s="543">
        <f>[4]Perso!$G$20</f>
        <v>45</v>
      </c>
      <c r="E7" s="542">
        <f>[1]!man</f>
        <v>70</v>
      </c>
      <c r="F7" s="543">
        <f>[1]Perso!$G$20</f>
        <v>94</v>
      </c>
      <c r="G7" s="542">
        <f>[2]!man</f>
        <v>45</v>
      </c>
      <c r="H7" s="543">
        <f>[2]Perso!$G$20</f>
        <v>62</v>
      </c>
      <c r="I7" s="542">
        <f>[3]!man</f>
        <v>92</v>
      </c>
      <c r="J7" s="543">
        <f>[3]Perso!$G$20</f>
        <v>103</v>
      </c>
      <c r="K7" s="559" t="str">
        <f>PerA!F17</f>
        <v>charge</v>
      </c>
      <c r="L7" s="555">
        <f>PerA!G17</f>
        <v>6.15</v>
      </c>
      <c r="M7" s="555">
        <f>PerB!G17</f>
        <v>9.75</v>
      </c>
      <c r="N7" s="556">
        <f>PerC!G17</f>
        <v>84.35</v>
      </c>
      <c r="O7" s="557">
        <f>PerD!G17</f>
        <v>12.4</v>
      </c>
      <c r="P7" s="288" t="s">
        <v>193</v>
      </c>
      <c r="Q7" s="462"/>
      <c r="R7" s="462"/>
      <c r="S7" s="462"/>
      <c r="T7" s="462"/>
      <c r="U7" s="288" t="s">
        <v>226</v>
      </c>
      <c r="V7" s="463"/>
      <c r="W7" s="463"/>
      <c r="X7" s="463"/>
      <c r="Y7" s="469"/>
    </row>
    <row r="8" spans="1:25" ht="13.5" thickBot="1" x14ac:dyDescent="0.35">
      <c r="A8" s="278" t="s">
        <v>21</v>
      </c>
      <c r="B8" s="378" t="s">
        <v>6</v>
      </c>
      <c r="C8" s="542">
        <f>[4]!sop</f>
        <v>19</v>
      </c>
      <c r="D8" s="543">
        <f>[4]Perso!$G$22</f>
        <v>19</v>
      </c>
      <c r="E8" s="542">
        <f>[1]!sop</f>
        <v>53</v>
      </c>
      <c r="F8" s="543">
        <f>[1]Perso!$G$22</f>
        <v>65</v>
      </c>
      <c r="G8" s="542">
        <f>[2]!sop</f>
        <v>71</v>
      </c>
      <c r="H8" s="543">
        <f>[2]Perso!$G$22</f>
        <v>82</v>
      </c>
      <c r="I8" s="542">
        <f>[3]!sop</f>
        <v>51</v>
      </c>
      <c r="J8" s="543">
        <f>[3]Perso!$G$22</f>
        <v>64</v>
      </c>
      <c r="K8" s="559" t="str">
        <f>PerA!F18</f>
        <v>défense</v>
      </c>
      <c r="L8" s="555">
        <f>PerA!G18</f>
        <v>35</v>
      </c>
      <c r="M8" s="555">
        <f>PerB!G18</f>
        <v>45</v>
      </c>
      <c r="N8" s="556">
        <f>PerC!G18</f>
        <v>65</v>
      </c>
      <c r="O8" s="557">
        <f>PerD!G18</f>
        <v>50</v>
      </c>
      <c r="P8" s="288" t="s">
        <v>194</v>
      </c>
      <c r="Q8" s="462"/>
      <c r="R8" s="462"/>
      <c r="S8" s="462"/>
      <c r="T8" s="462"/>
      <c r="U8" s="288" t="s">
        <v>227</v>
      </c>
      <c r="V8" s="463"/>
      <c r="W8" s="463"/>
      <c r="X8" s="463"/>
      <c r="Y8" s="469"/>
    </row>
    <row r="9" spans="1:25" ht="13.5" thickBot="1" x14ac:dyDescent="0.35">
      <c r="A9" s="278" t="s">
        <v>21</v>
      </c>
      <c r="B9" s="379" t="s">
        <v>7</v>
      </c>
      <c r="C9" s="542">
        <f>[4]!equ</f>
        <v>15</v>
      </c>
      <c r="D9" s="543">
        <f>[4]Perso!$G$23</f>
        <v>19</v>
      </c>
      <c r="E9" s="542">
        <f>[1]!equ</f>
        <v>40</v>
      </c>
      <c r="F9" s="543">
        <f>[1]Perso!$G$23</f>
        <v>65</v>
      </c>
      <c r="G9" s="542">
        <f>[2]!equ</f>
        <v>51</v>
      </c>
      <c r="H9" s="543">
        <f>[2]Perso!$G$23</f>
        <v>66</v>
      </c>
      <c r="I9" s="542">
        <f>[3]!equ</f>
        <v>45</v>
      </c>
      <c r="J9" s="543">
        <f>[3]Perso!$G$23</f>
        <v>64</v>
      </c>
      <c r="K9" s="559" t="str">
        <f>PerA!F19</f>
        <v>embuscade</v>
      </c>
      <c r="L9" s="555">
        <f>PerA!G19</f>
        <v>7</v>
      </c>
      <c r="M9" s="555">
        <f>PerB!G19</f>
        <v>62.4</v>
      </c>
      <c r="N9" s="556">
        <f>PerC!G19</f>
        <v>47.3</v>
      </c>
      <c r="O9" s="557">
        <f>PerD!G19</f>
        <v>26.4</v>
      </c>
      <c r="P9" s="288" t="s">
        <v>1025</v>
      </c>
      <c r="Q9" s="462"/>
      <c r="R9" s="462"/>
      <c r="S9" s="462"/>
      <c r="T9" s="462"/>
      <c r="U9" s="288" t="s">
        <v>228</v>
      </c>
      <c r="V9" s="463"/>
      <c r="W9" s="463"/>
      <c r="X9" s="463"/>
      <c r="Y9" s="469"/>
    </row>
    <row r="10" spans="1:25" ht="13.5" thickBot="1" x14ac:dyDescent="0.35">
      <c r="A10" s="278" t="s">
        <v>30</v>
      </c>
      <c r="B10" s="378" t="s">
        <v>47</v>
      </c>
      <c r="C10" s="542">
        <f>[4]!rai</f>
        <v>82</v>
      </c>
      <c r="D10" s="543">
        <f>[4]Perso!$G$25</f>
        <v>82</v>
      </c>
      <c r="E10" s="542">
        <f>[1]!rai</f>
        <v>47</v>
      </c>
      <c r="F10" s="543">
        <f>[1]Perso!$G$25</f>
        <v>52</v>
      </c>
      <c r="G10" s="542">
        <f>[2]!rai</f>
        <v>28</v>
      </c>
      <c r="H10" s="543">
        <f>[2]Perso!$G$25</f>
        <v>28</v>
      </c>
      <c r="I10" s="542">
        <f>[3]!rai</f>
        <v>73</v>
      </c>
      <c r="J10" s="543">
        <f>[3]Perso!$G$25</f>
        <v>80</v>
      </c>
      <c r="K10" s="559" t="str">
        <f>PerA!F20</f>
        <v>esquive</v>
      </c>
      <c r="L10" s="555">
        <f>PerA!G20</f>
        <v>22.75</v>
      </c>
      <c r="M10" s="555">
        <f>PerB!G20</f>
        <v>56.15</v>
      </c>
      <c r="N10" s="556">
        <f>PerC!G20</f>
        <v>66.099999999999994</v>
      </c>
      <c r="O10" s="557">
        <f>PerD!G20</f>
        <v>74.55</v>
      </c>
      <c r="P10" s="288" t="s">
        <v>195</v>
      </c>
      <c r="Q10" s="462"/>
      <c r="R10" s="462"/>
      <c r="S10" s="462"/>
      <c r="T10" s="462"/>
      <c r="U10" s="288" t="s">
        <v>229</v>
      </c>
      <c r="V10" s="463"/>
      <c r="W10" s="463"/>
      <c r="X10" s="463"/>
      <c r="Y10" s="469"/>
    </row>
    <row r="11" spans="1:25" ht="13.5" thickBot="1" x14ac:dyDescent="0.35">
      <c r="A11" s="278" t="s">
        <v>30</v>
      </c>
      <c r="B11" s="379" t="s">
        <v>8</v>
      </c>
      <c r="C11" s="542">
        <f>[4]!mem</f>
        <v>82</v>
      </c>
      <c r="D11" s="543">
        <f>[4]Perso!$G$26</f>
        <v>82</v>
      </c>
      <c r="E11" s="542">
        <f>[1]!mem</f>
        <v>33</v>
      </c>
      <c r="F11" s="543">
        <f>[1]Perso!$G$26</f>
        <v>44</v>
      </c>
      <c r="G11" s="542">
        <f>[2]!mem</f>
        <v>28</v>
      </c>
      <c r="H11" s="543">
        <f>[2]Perso!$G$26</f>
        <v>28</v>
      </c>
      <c r="I11" s="542">
        <f>[3]!mem</f>
        <v>58</v>
      </c>
      <c r="J11" s="543">
        <f>[3]Perso!$G$26</f>
        <v>80</v>
      </c>
      <c r="K11" s="559" t="str">
        <f>PerA!F21</f>
        <v>fuite</v>
      </c>
      <c r="L11" s="555">
        <f>PerA!G21</f>
        <v>7.2750000000000004</v>
      </c>
      <c r="M11" s="555">
        <f>PerB!G21</f>
        <v>40.424999999999997</v>
      </c>
      <c r="N11" s="556">
        <f>PerC!G21</f>
        <v>17.399999999999999</v>
      </c>
      <c r="O11" s="557">
        <f>PerD!G21</f>
        <v>63.6</v>
      </c>
      <c r="P11" s="288" t="s">
        <v>274</v>
      </c>
      <c r="Q11" s="462"/>
      <c r="R11" s="462"/>
      <c r="S11" s="462"/>
      <c r="T11" s="462"/>
      <c r="U11" s="288" t="s">
        <v>230</v>
      </c>
      <c r="V11" s="463"/>
      <c r="W11" s="463"/>
      <c r="X11" s="463"/>
      <c r="Y11" s="469"/>
    </row>
    <row r="12" spans="1:25" ht="13.5" thickBot="1" x14ac:dyDescent="0.35">
      <c r="A12" s="278" t="s">
        <v>31</v>
      </c>
      <c r="B12" s="378" t="s">
        <v>9</v>
      </c>
      <c r="C12" s="542">
        <f>[4]!car</f>
        <v>73</v>
      </c>
      <c r="D12" s="543">
        <f>[4]Perso!$G$28</f>
        <v>77</v>
      </c>
      <c r="E12" s="542">
        <f>[1]!car</f>
        <v>50</v>
      </c>
      <c r="F12" s="543">
        <f>[1]Perso!$G$28</f>
        <v>68</v>
      </c>
      <c r="G12" s="542">
        <f>[2]!car</f>
        <v>30</v>
      </c>
      <c r="H12" s="543">
        <f>[2]Perso!$G$28</f>
        <v>44</v>
      </c>
      <c r="I12" s="542">
        <f>[3]!car</f>
        <v>50</v>
      </c>
      <c r="J12" s="543">
        <f>[3]Perso!$G$28</f>
        <v>66</v>
      </c>
      <c r="K12" s="559" t="str">
        <f>PerA!F22</f>
        <v>mêlée</v>
      </c>
      <c r="L12" s="555">
        <f>PerA!G22</f>
        <v>5.5</v>
      </c>
      <c r="M12" s="555">
        <f>PerB!G22</f>
        <v>18</v>
      </c>
      <c r="N12" s="556">
        <f>PerC!G22</f>
        <v>24</v>
      </c>
      <c r="O12" s="557">
        <f>PerD!G22</f>
        <v>4</v>
      </c>
      <c r="P12" s="288" t="s">
        <v>196</v>
      </c>
      <c r="Q12" s="462"/>
      <c r="R12" s="462"/>
      <c r="S12" s="462"/>
      <c r="T12" s="462"/>
      <c r="U12" s="288" t="s">
        <v>231</v>
      </c>
      <c r="V12" s="463"/>
      <c r="W12" s="463"/>
      <c r="X12" s="463"/>
      <c r="Y12" s="469"/>
    </row>
    <row r="13" spans="1:25" ht="13.5" thickBot="1" x14ac:dyDescent="0.35">
      <c r="A13" s="278" t="s">
        <v>31</v>
      </c>
      <c r="B13" s="379" t="s">
        <v>10</v>
      </c>
      <c r="C13" s="542">
        <f>[4]!res</f>
        <v>85</v>
      </c>
      <c r="D13" s="543">
        <f>[4]Perso!$G$29</f>
        <v>92</v>
      </c>
      <c r="E13" s="542">
        <f>[1]!res</f>
        <v>52</v>
      </c>
      <c r="F13" s="543">
        <f>[1]Perso!$G$29</f>
        <v>52</v>
      </c>
      <c r="G13" s="542">
        <f>[2]!res</f>
        <v>52</v>
      </c>
      <c r="H13" s="543">
        <f>[2]Perso!$G$29</f>
        <v>52</v>
      </c>
      <c r="I13" s="542">
        <f>[3]!res</f>
        <v>50</v>
      </c>
      <c r="J13" s="543">
        <f>[3]Perso!$G$29</f>
        <v>66</v>
      </c>
      <c r="K13" s="559" t="str">
        <f>PerA!F23</f>
        <v>obéissance</v>
      </c>
      <c r="L13" s="555">
        <f>PerA!G23</f>
        <v>36.700000000000003</v>
      </c>
      <c r="M13" s="555">
        <f>PerB!G23</f>
        <v>5.5</v>
      </c>
      <c r="N13" s="556">
        <f>PerC!G23</f>
        <v>16</v>
      </c>
      <c r="O13" s="557">
        <f>PerD!G23</f>
        <v>5</v>
      </c>
      <c r="P13" s="288" t="s">
        <v>197</v>
      </c>
      <c r="Q13" s="462"/>
      <c r="R13" s="462"/>
      <c r="S13" s="462"/>
      <c r="T13" s="462"/>
      <c r="U13" s="288" t="s">
        <v>280</v>
      </c>
      <c r="V13" s="463"/>
      <c r="W13" s="463"/>
      <c r="X13" s="463"/>
      <c r="Y13" s="469"/>
    </row>
    <row r="14" spans="1:25" ht="13.5" thickBot="1" x14ac:dyDescent="0.35">
      <c r="A14" s="278" t="s">
        <v>22</v>
      </c>
      <c r="B14" s="378" t="s">
        <v>11</v>
      </c>
      <c r="C14" s="542">
        <f>[4]!voi</f>
        <v>24</v>
      </c>
      <c r="D14" s="543">
        <f>[4]Perso!$G$31</f>
        <v>24</v>
      </c>
      <c r="E14" s="542">
        <f>[1]!voi</f>
        <v>15</v>
      </c>
      <c r="F14" s="543">
        <f>[1]Perso!$G$31</f>
        <v>15</v>
      </c>
      <c r="G14" s="542">
        <f>[2]!voi</f>
        <v>11</v>
      </c>
      <c r="H14" s="543">
        <f>[2]Perso!$G$31</f>
        <v>19</v>
      </c>
      <c r="I14" s="542">
        <f>[3]!voi</f>
        <v>24</v>
      </c>
      <c r="J14" s="543">
        <f>[3]Perso!$G$31</f>
        <v>40</v>
      </c>
      <c r="K14" s="559" t="str">
        <f>PerA!F24</f>
        <v>réaction</v>
      </c>
      <c r="L14" s="555">
        <f>PerA!G24</f>
        <v>26.175000000000001</v>
      </c>
      <c r="M14" s="555">
        <f>PerB!G24</f>
        <v>44.8</v>
      </c>
      <c r="N14" s="556">
        <f>PerC!G24</f>
        <v>24.625</v>
      </c>
      <c r="O14" s="557">
        <f>PerD!G24</f>
        <v>46.9</v>
      </c>
      <c r="P14" s="288" t="s">
        <v>198</v>
      </c>
      <c r="Q14" s="462"/>
      <c r="R14" s="462"/>
      <c r="S14" s="462"/>
      <c r="T14" s="462"/>
      <c r="U14" s="288" t="s">
        <v>232</v>
      </c>
      <c r="V14" s="463"/>
      <c r="W14" s="463"/>
      <c r="X14" s="463"/>
      <c r="Y14" s="469"/>
    </row>
    <row r="15" spans="1:25" ht="13.5" thickBot="1" x14ac:dyDescent="0.35">
      <c r="A15" s="278" t="s">
        <v>22</v>
      </c>
      <c r="B15" s="379" t="s">
        <v>12</v>
      </c>
      <c r="C15" s="542">
        <f>[4]!rap</f>
        <v>24</v>
      </c>
      <c r="D15" s="543">
        <f>[4]Perso!$G$32</f>
        <v>24</v>
      </c>
      <c r="E15" s="542">
        <f>[1]!rap</f>
        <v>15</v>
      </c>
      <c r="F15" s="543">
        <f>[1]Perso!$G$32</f>
        <v>15</v>
      </c>
      <c r="G15" s="542">
        <f>[2]!rap</f>
        <v>15</v>
      </c>
      <c r="H15" s="543">
        <f>[2]Perso!$G$32</f>
        <v>23</v>
      </c>
      <c r="I15" s="542">
        <f>[3]!rap</f>
        <v>25</v>
      </c>
      <c r="J15" s="543">
        <f>[3]Perso!$G$32</f>
        <v>40</v>
      </c>
      <c r="K15" s="559" t="str">
        <f>PerA!F25</f>
        <v>résistance</v>
      </c>
      <c r="L15" s="555">
        <f>PerA!G25</f>
        <v>15</v>
      </c>
      <c r="M15" s="555">
        <f>PerB!G25</f>
        <v>49</v>
      </c>
      <c r="N15" s="556">
        <f>PerC!G25</f>
        <v>63.7</v>
      </c>
      <c r="O15" s="557">
        <f>PerD!G25</f>
        <v>8</v>
      </c>
      <c r="P15" s="288" t="s">
        <v>199</v>
      </c>
      <c r="Q15" s="462"/>
      <c r="R15" s="462"/>
      <c r="S15" s="462"/>
      <c r="T15" s="462"/>
      <c r="U15" s="288" t="s">
        <v>233</v>
      </c>
      <c r="V15" s="463"/>
      <c r="W15" s="463"/>
      <c r="X15" s="463"/>
      <c r="Y15" s="469"/>
    </row>
    <row r="16" spans="1:25" ht="13.5" thickBot="1" x14ac:dyDescent="0.35">
      <c r="A16" s="278" t="s">
        <v>32</v>
      </c>
      <c r="B16" s="378" t="s">
        <v>46</v>
      </c>
      <c r="C16" s="542">
        <f>[4]!com</f>
        <v>41</v>
      </c>
      <c r="D16" s="543">
        <f>[4]Perso!$G$34</f>
        <v>59</v>
      </c>
      <c r="E16" s="542">
        <f>[1]!com</f>
        <v>36</v>
      </c>
      <c r="F16" s="543">
        <f>[1]Perso!$G$34</f>
        <v>36</v>
      </c>
      <c r="G16" s="542">
        <f>[2]!com</f>
        <v>14</v>
      </c>
      <c r="H16" s="543">
        <f>[2]Perso!$G$34</f>
        <v>22</v>
      </c>
      <c r="I16" s="542">
        <f>[3]!com</f>
        <v>12</v>
      </c>
      <c r="J16" s="543">
        <f>[3]Perso!$G$34</f>
        <v>14</v>
      </c>
      <c r="K16" s="558" t="str">
        <f>PerA!F26</f>
        <v>vitesse</v>
      </c>
      <c r="L16" s="555">
        <f>PerA!G26</f>
        <v>9.8000000000000007</v>
      </c>
      <c r="M16" s="555">
        <f>PerB!G26</f>
        <v>37.65</v>
      </c>
      <c r="N16" s="556">
        <f>PerC!G26</f>
        <v>52.25</v>
      </c>
      <c r="O16" s="557">
        <f>PerD!G26</f>
        <v>12.8</v>
      </c>
      <c r="P16" s="288" t="s">
        <v>200</v>
      </c>
      <c r="Q16" s="462"/>
      <c r="R16" s="462"/>
      <c r="S16" s="462"/>
      <c r="T16" s="462"/>
      <c r="U16" s="288" t="s">
        <v>234</v>
      </c>
      <c r="V16" s="463"/>
      <c r="W16" s="463"/>
      <c r="X16" s="463"/>
      <c r="Y16" s="469"/>
    </row>
    <row r="17" spans="1:25" ht="13.5" thickBot="1" x14ac:dyDescent="0.35">
      <c r="A17" s="278" t="s">
        <v>32</v>
      </c>
      <c r="B17" s="379" t="s">
        <v>13</v>
      </c>
      <c r="C17" s="542">
        <f>[4]!inu</f>
        <v>35</v>
      </c>
      <c r="D17" s="543">
        <f>[4]Perso!$G$35</f>
        <v>59</v>
      </c>
      <c r="E17" s="542">
        <f>[1]!inu</f>
        <v>36</v>
      </c>
      <c r="F17" s="543">
        <f>[1]Perso!$G$35</f>
        <v>36</v>
      </c>
      <c r="G17" s="542">
        <f>[2]!inu</f>
        <v>11</v>
      </c>
      <c r="H17" s="543">
        <f>[2]Perso!$G$35</f>
        <v>22</v>
      </c>
      <c r="I17" s="542">
        <f>[3]!inu</f>
        <v>12</v>
      </c>
      <c r="J17" s="543">
        <f>[3]Perso!$G$35</f>
        <v>14</v>
      </c>
      <c r="K17" s="559" t="str">
        <f>PerA!F27</f>
        <v>VIT</v>
      </c>
      <c r="L17" s="555">
        <f>PerA!G27</f>
        <v>4</v>
      </c>
      <c r="M17" s="555">
        <f>PerB!G27</f>
        <v>8</v>
      </c>
      <c r="N17" s="556">
        <f>PerC!G27</f>
        <v>12</v>
      </c>
      <c r="O17" s="557">
        <f>PerD!G27</f>
        <v>6</v>
      </c>
      <c r="P17" s="288" t="s">
        <v>201</v>
      </c>
      <c r="Q17" s="462"/>
      <c r="R17" s="462"/>
      <c r="S17" s="462"/>
      <c r="T17" s="462"/>
      <c r="U17" s="288" t="s">
        <v>235</v>
      </c>
      <c r="V17" s="463"/>
      <c r="W17" s="463"/>
      <c r="X17" s="463"/>
      <c r="Y17" s="469"/>
    </row>
    <row r="18" spans="1:25" ht="13.5" thickBot="1" x14ac:dyDescent="0.35">
      <c r="A18" s="278" t="s">
        <v>33</v>
      </c>
      <c r="B18" s="378" t="s">
        <v>14</v>
      </c>
      <c r="C18" s="542">
        <f>[4]!san</f>
        <v>39</v>
      </c>
      <c r="D18" s="543">
        <f>[4]Perso!$G$37</f>
        <v>39</v>
      </c>
      <c r="E18" s="542">
        <f>[1]!san</f>
        <v>44</v>
      </c>
      <c r="F18" s="543">
        <f>[1]Perso!$G$37</f>
        <v>44</v>
      </c>
      <c r="G18" s="542">
        <f>[2]!san</f>
        <v>50</v>
      </c>
      <c r="H18" s="543">
        <f>[2]Perso!$G$37</f>
        <v>50</v>
      </c>
      <c r="I18" s="542">
        <f>[3]!san</f>
        <v>42</v>
      </c>
      <c r="J18" s="543">
        <f>[3]Perso!$G$37</f>
        <v>44</v>
      </c>
      <c r="K18" s="558" t="str">
        <f>PerA!F28</f>
        <v>Moral (+0)</v>
      </c>
      <c r="L18" s="555">
        <f>PerA!G28</f>
        <v>8</v>
      </c>
      <c r="M18" s="555">
        <f>PerB!G28</f>
        <v>11</v>
      </c>
      <c r="N18" s="556">
        <f>PerC!G28</f>
        <v>15</v>
      </c>
      <c r="O18" s="557">
        <f>PerD!G28</f>
        <v>6</v>
      </c>
      <c r="P18" s="288" t="s">
        <v>202</v>
      </c>
      <c r="Q18" s="462"/>
      <c r="R18" s="462"/>
      <c r="S18" s="462"/>
      <c r="T18" s="462"/>
      <c r="U18" s="288" t="s">
        <v>236</v>
      </c>
      <c r="V18" s="463"/>
      <c r="W18" s="463"/>
      <c r="X18" s="463"/>
      <c r="Y18" s="469"/>
    </row>
    <row r="19" spans="1:25" ht="13.5" thickBot="1" x14ac:dyDescent="0.35">
      <c r="A19" s="278" t="s">
        <v>33</v>
      </c>
      <c r="B19" s="379" t="s">
        <v>15</v>
      </c>
      <c r="C19" s="542">
        <f>[4]!rob</f>
        <v>39</v>
      </c>
      <c r="D19" s="543">
        <f>[4]Perso!$G$38</f>
        <v>39</v>
      </c>
      <c r="E19" s="542">
        <f>[1]!rob</f>
        <v>44</v>
      </c>
      <c r="F19" s="543">
        <f>[1]Perso!$G$38</f>
        <v>45</v>
      </c>
      <c r="G19" s="542">
        <f>[2]!rob</f>
        <v>58</v>
      </c>
      <c r="H19" s="543">
        <f>[2]Perso!$G$38</f>
        <v>58</v>
      </c>
      <c r="I19" s="542">
        <f>[3]!rob</f>
        <v>44</v>
      </c>
      <c r="J19" s="543">
        <f>[3]Perso!$G$38</f>
        <v>44</v>
      </c>
      <c r="K19" s="558" t="str">
        <f>PerA!F29</f>
        <v>Soin(CS)</v>
      </c>
      <c r="L19" s="555">
        <f>PerA!G29</f>
        <v>45</v>
      </c>
      <c r="M19" s="555">
        <f>PerB!G29</f>
        <v>55</v>
      </c>
      <c r="N19" s="556">
        <f>PerC!G29</f>
        <v>49</v>
      </c>
      <c r="O19" s="557">
        <f>PerD!G29</f>
        <v>48</v>
      </c>
      <c r="P19" s="288" t="s">
        <v>203</v>
      </c>
      <c r="Q19" s="462"/>
      <c r="R19" s="462"/>
      <c r="S19" s="462"/>
      <c r="T19" s="462"/>
      <c r="U19" s="288" t="s">
        <v>237</v>
      </c>
      <c r="V19" s="463"/>
      <c r="W19" s="463"/>
      <c r="X19" s="463"/>
      <c r="Y19" s="469"/>
    </row>
    <row r="20" spans="1:25" ht="13.5" thickBot="1" x14ac:dyDescent="0.35">
      <c r="A20" s="278" t="s">
        <v>34</v>
      </c>
      <c r="B20" s="378" t="s">
        <v>16</v>
      </c>
      <c r="C20" s="542">
        <f>[4]!bea</f>
        <v>35</v>
      </c>
      <c r="D20" s="543">
        <f>[4]Perso!$G$40</f>
        <v>35</v>
      </c>
      <c r="E20" s="542">
        <f>[1]!bea</f>
        <v>22</v>
      </c>
      <c r="F20" s="543">
        <f>[1]Perso!$G$40</f>
        <v>33</v>
      </c>
      <c r="G20" s="542">
        <f>[2]!bea</f>
        <v>17</v>
      </c>
      <c r="H20" s="543">
        <f>[2]Perso!$G$40</f>
        <v>21</v>
      </c>
      <c r="I20" s="542">
        <f>[3]!bea</f>
        <v>20</v>
      </c>
      <c r="J20" s="543">
        <f>[3]Perso!$G$40</f>
        <v>20</v>
      </c>
      <c r="K20" s="558" t="str">
        <f>PerA!F30</f>
        <v>Porter</v>
      </c>
      <c r="L20" s="555">
        <f>PerA!G30</f>
        <v>32</v>
      </c>
      <c r="M20" s="555">
        <f>PerB!G30</f>
        <v>52</v>
      </c>
      <c r="N20" s="556">
        <f>PerC!G30</f>
        <v>80</v>
      </c>
      <c r="O20" s="557">
        <f>PerD!G30</f>
        <v>43</v>
      </c>
      <c r="P20" s="288" t="s">
        <v>204</v>
      </c>
      <c r="Q20" s="462"/>
      <c r="R20" s="462"/>
      <c r="S20" s="462"/>
      <c r="T20" s="462"/>
      <c r="U20" s="288" t="s">
        <v>238</v>
      </c>
      <c r="V20" s="463"/>
      <c r="W20" s="463"/>
      <c r="X20" s="463"/>
      <c r="Y20" s="469"/>
    </row>
    <row r="21" spans="1:25" ht="13.5" thickBot="1" x14ac:dyDescent="0.35">
      <c r="A21" s="278" t="s">
        <v>34</v>
      </c>
      <c r="B21" s="379" t="s">
        <v>17</v>
      </c>
      <c r="C21" s="542">
        <f>[4]!cha</f>
        <v>46</v>
      </c>
      <c r="D21" s="543">
        <f>[4]Perso!$G$41</f>
        <v>47</v>
      </c>
      <c r="E21" s="542">
        <f>[1]!cha</f>
        <v>21</v>
      </c>
      <c r="F21" s="543">
        <f>[1]Perso!$G$41</f>
        <v>33</v>
      </c>
      <c r="G21" s="542">
        <f>[2]!cha</f>
        <v>25</v>
      </c>
      <c r="H21" s="543">
        <f>[2]Perso!$G$41</f>
        <v>25</v>
      </c>
      <c r="I21" s="542">
        <f>[3]!cha</f>
        <v>20</v>
      </c>
      <c r="J21" s="543">
        <f>[3]Perso!$G$41</f>
        <v>20</v>
      </c>
      <c r="K21" s="558" t="str">
        <f>PerA!F31</f>
        <v>Tirer</v>
      </c>
      <c r="L21" s="555">
        <f>PerA!G31</f>
        <v>64</v>
      </c>
      <c r="M21" s="555">
        <f>PerB!G31</f>
        <v>104</v>
      </c>
      <c r="N21" s="556">
        <f>PerC!G31</f>
        <v>160</v>
      </c>
      <c r="O21" s="557">
        <f>PerD!G31</f>
        <v>86</v>
      </c>
      <c r="P21" s="288" t="s">
        <v>205</v>
      </c>
      <c r="Q21" s="462"/>
      <c r="R21" s="462"/>
      <c r="S21" s="462"/>
      <c r="T21" s="462"/>
      <c r="U21" s="288" t="s">
        <v>239</v>
      </c>
      <c r="V21" s="463"/>
      <c r="W21" s="463"/>
      <c r="X21" s="463"/>
      <c r="Y21" s="469"/>
    </row>
    <row r="22" spans="1:25" ht="54" customHeight="1" thickBot="1" x14ac:dyDescent="0.35">
      <c r="B22" s="381" t="s">
        <v>40</v>
      </c>
      <c r="C22" s="529">
        <f>[4]!NEC</f>
        <v>5</v>
      </c>
      <c r="D22" s="530"/>
      <c r="E22" s="529">
        <f>[1]!NEC</f>
        <v>7</v>
      </c>
      <c r="F22" s="530"/>
      <c r="G22" s="544">
        <f>[2]!NEC</f>
        <v>9</v>
      </c>
      <c r="H22" s="545"/>
      <c r="I22" s="544">
        <f>[3]!NEC</f>
        <v>6</v>
      </c>
      <c r="J22" s="545"/>
      <c r="K22" s="558" t="str">
        <f>PerA!F32</f>
        <v>Arracher</v>
      </c>
      <c r="L22" s="555">
        <f>PerA!G32</f>
        <v>96</v>
      </c>
      <c r="M22" s="555">
        <f>PerB!G32</f>
        <v>156</v>
      </c>
      <c r="N22" s="556">
        <f>PerC!G32</f>
        <v>240</v>
      </c>
      <c r="O22" s="557">
        <f>PerD!G32</f>
        <v>129</v>
      </c>
      <c r="P22" s="288" t="s">
        <v>206</v>
      </c>
      <c r="Q22" s="462"/>
      <c r="R22" s="462"/>
      <c r="S22" s="462"/>
      <c r="T22" s="462"/>
      <c r="U22" s="288" t="s">
        <v>295</v>
      </c>
      <c r="V22" s="463"/>
      <c r="W22" s="463"/>
      <c r="X22" s="463"/>
      <c r="Y22" s="469"/>
    </row>
    <row r="23" spans="1:25" s="384" customFormat="1" ht="32" customHeight="1" thickBot="1" x14ac:dyDescent="0.35">
      <c r="B23" s="381" t="s">
        <v>43</v>
      </c>
      <c r="C23" s="382">
        <f>[4]!NEM</f>
        <v>6</v>
      </c>
      <c r="D23" s="383"/>
      <c r="E23" s="382">
        <f>[1]!NEM</f>
        <v>0</v>
      </c>
      <c r="F23" s="383"/>
      <c r="G23" s="535">
        <f>[2]!NEM</f>
        <v>0</v>
      </c>
      <c r="H23" s="383"/>
      <c r="I23" s="382">
        <f>[3]!NEM</f>
        <v>0</v>
      </c>
      <c r="J23" s="383"/>
      <c r="K23" s="558" t="str">
        <f>PerA!F33</f>
        <v>Encombrem</v>
      </c>
      <c r="L23" s="555">
        <f>PerA!G33</f>
        <v>10789</v>
      </c>
      <c r="M23" s="555">
        <f>PerB!G33</f>
        <v>14752</v>
      </c>
      <c r="N23" s="556">
        <f>PerC!G33</f>
        <v>27038</v>
      </c>
      <c r="O23" s="557">
        <f>PerD!G33</f>
        <v>12900</v>
      </c>
      <c r="P23" s="288" t="s">
        <v>207</v>
      </c>
      <c r="Q23" s="462"/>
      <c r="R23" s="462"/>
      <c r="S23" s="462"/>
      <c r="T23" s="462"/>
      <c r="U23" s="288" t="s">
        <v>240</v>
      </c>
      <c r="V23" s="463"/>
      <c r="W23" s="463"/>
      <c r="X23" s="463"/>
      <c r="Y23" s="469"/>
    </row>
    <row r="24" spans="1:25" s="369" customFormat="1" ht="12" customHeight="1" thickBot="1" x14ac:dyDescent="0.35">
      <c r="B24" s="357" t="s">
        <v>35</v>
      </c>
      <c r="C24" s="523">
        <f>[4]!Vue</f>
        <v>79</v>
      </c>
      <c r="D24" s="524"/>
      <c r="E24" s="523">
        <f>[1]!Vue</f>
        <v>60</v>
      </c>
      <c r="F24" s="524"/>
      <c r="G24" s="536">
        <f>[2]!Vue</f>
        <v>65</v>
      </c>
      <c r="H24" s="524"/>
      <c r="I24" s="523">
        <f>[3]!Vue</f>
        <v>56</v>
      </c>
      <c r="J24" s="524"/>
      <c r="K24" s="558" t="str">
        <f>PerA!F34</f>
        <v>NEM</v>
      </c>
      <c r="L24" s="555">
        <f>C23</f>
        <v>6</v>
      </c>
      <c r="M24" s="555">
        <f>E23</f>
        <v>0</v>
      </c>
      <c r="N24" s="556">
        <f>G23</f>
        <v>0</v>
      </c>
      <c r="O24" s="557">
        <f>I23</f>
        <v>0</v>
      </c>
      <c r="P24" s="288" t="s">
        <v>208</v>
      </c>
      <c r="Q24" s="462"/>
      <c r="R24" s="462"/>
      <c r="S24" s="462"/>
      <c r="T24" s="462"/>
      <c r="U24" s="288" t="s">
        <v>241</v>
      </c>
      <c r="V24" s="463"/>
      <c r="W24" s="463"/>
      <c r="X24" s="463"/>
      <c r="Y24" s="469"/>
    </row>
    <row r="25" spans="1:25" s="369" customFormat="1" ht="12.5" thickBot="1" x14ac:dyDescent="0.35">
      <c r="B25" s="363" t="s">
        <v>36</v>
      </c>
      <c r="C25" s="525">
        <f>[4]!Ouïe</f>
        <v>77</v>
      </c>
      <c r="D25" s="526"/>
      <c r="E25" s="525">
        <f>[1]!Ouïe</f>
        <v>64</v>
      </c>
      <c r="F25" s="526"/>
      <c r="G25" s="537">
        <f>[2]!Ouïe</f>
        <v>53</v>
      </c>
      <c r="H25" s="526"/>
      <c r="I25" s="525">
        <f>[3]!Ouïe</f>
        <v>46</v>
      </c>
      <c r="J25" s="526"/>
      <c r="K25" s="558" t="str">
        <f>PerA!F35</f>
        <v>Attaqu Magique</v>
      </c>
      <c r="L25" s="555">
        <f>PerA!G35</f>
        <v>66</v>
      </c>
      <c r="M25" s="555">
        <f>PerB!G35</f>
        <v>20</v>
      </c>
      <c r="N25" s="556">
        <f>PerC!G35</f>
        <v>20</v>
      </c>
      <c r="O25" s="557">
        <f>PerD!G35</f>
        <v>20</v>
      </c>
      <c r="P25" s="288" t="s">
        <v>209</v>
      </c>
      <c r="Q25" s="462"/>
      <c r="R25" s="462"/>
      <c r="S25" s="462"/>
      <c r="T25" s="462"/>
      <c r="U25" s="288" t="s">
        <v>1031</v>
      </c>
      <c r="V25" s="463"/>
      <c r="W25" s="463"/>
      <c r="X25" s="463"/>
      <c r="Y25" s="469"/>
    </row>
    <row r="26" spans="1:25" s="369" customFormat="1" ht="12.5" thickBot="1" x14ac:dyDescent="0.35">
      <c r="B26" s="363" t="s">
        <v>38</v>
      </c>
      <c r="C26" s="525">
        <f>[4]!Odorat</f>
        <v>50</v>
      </c>
      <c r="D26" s="526"/>
      <c r="E26" s="525">
        <f>[1]!Odorat</f>
        <v>63</v>
      </c>
      <c r="F26" s="526"/>
      <c r="G26" s="537">
        <f>[2]!Odorat</f>
        <v>46</v>
      </c>
      <c r="H26" s="526"/>
      <c r="I26" s="525">
        <f>[3]!Odorat</f>
        <v>67</v>
      </c>
      <c r="J26" s="526"/>
      <c r="K26" s="558" t="str">
        <f>PerA!F36</f>
        <v>Résist Magique</v>
      </c>
      <c r="L26" s="555">
        <f>PerA!G36</f>
        <v>25.400000000000002</v>
      </c>
      <c r="M26" s="555">
        <f>PerB!G36</f>
        <v>8</v>
      </c>
      <c r="N26" s="556">
        <f>PerC!G36</f>
        <v>9</v>
      </c>
      <c r="O26" s="557">
        <f>PerD!G36</f>
        <v>10</v>
      </c>
      <c r="P26" s="288" t="s">
        <v>210</v>
      </c>
      <c r="Q26" s="462"/>
      <c r="R26" s="462"/>
      <c r="S26" s="462"/>
      <c r="T26" s="462"/>
      <c r="U26" s="288" t="s">
        <v>242</v>
      </c>
      <c r="V26" s="463"/>
      <c r="W26" s="463"/>
      <c r="X26" s="463"/>
      <c r="Y26" s="469"/>
    </row>
    <row r="27" spans="1:25" s="369" customFormat="1" ht="12.5" thickBot="1" x14ac:dyDescent="0.35">
      <c r="B27" s="363" t="s">
        <v>37</v>
      </c>
      <c r="C27" s="525">
        <f>[4]!Goût</f>
        <v>46</v>
      </c>
      <c r="D27" s="526"/>
      <c r="E27" s="525">
        <f>[1]!Goût</f>
        <v>55</v>
      </c>
      <c r="F27" s="526"/>
      <c r="G27" s="537">
        <f>[2]!Goût</f>
        <v>48</v>
      </c>
      <c r="H27" s="526"/>
      <c r="I27" s="525">
        <f>[3]!Goût</f>
        <v>53</v>
      </c>
      <c r="J27" s="526"/>
      <c r="K27" s="558" t="str">
        <f>PerA!F37</f>
        <v>Puiss. Magique</v>
      </c>
      <c r="L27" s="555">
        <f>PerA!G37</f>
        <v>23</v>
      </c>
      <c r="M27" s="555">
        <f>PerB!G37</f>
        <v>12</v>
      </c>
      <c r="N27" s="556">
        <f>PerC!G37</f>
        <v>10</v>
      </c>
      <c r="O27" s="557">
        <f>PerD!G37</f>
        <v>14</v>
      </c>
      <c r="P27" s="288" t="s">
        <v>211</v>
      </c>
      <c r="Q27" s="462"/>
      <c r="R27" s="462"/>
      <c r="S27" s="462"/>
      <c r="T27" s="462"/>
      <c r="U27" s="288" t="s">
        <v>294</v>
      </c>
      <c r="V27" s="463"/>
      <c r="W27" s="463"/>
      <c r="X27" s="463"/>
      <c r="Y27" s="469"/>
    </row>
    <row r="28" spans="1:25" s="369" customFormat="1" ht="12.5" thickBot="1" x14ac:dyDescent="0.35">
      <c r="B28" s="531" t="s">
        <v>39</v>
      </c>
      <c r="C28" s="527">
        <f>[4]!Toucher</f>
        <v>47</v>
      </c>
      <c r="D28" s="528"/>
      <c r="E28" s="527">
        <f>[1]!Toucher</f>
        <v>60</v>
      </c>
      <c r="F28" s="528"/>
      <c r="G28" s="538">
        <f>[2]!Toucher</f>
        <v>70</v>
      </c>
      <c r="H28" s="528"/>
      <c r="I28" s="527">
        <f>[3]!Toucher</f>
        <v>63</v>
      </c>
      <c r="J28" s="528"/>
      <c r="K28" s="558" t="str">
        <f>PerA!F38</f>
        <v xml:space="preserve">Mana </v>
      </c>
      <c r="L28" s="555">
        <f>PerA!G38</f>
        <v>152</v>
      </c>
      <c r="M28" s="555">
        <f>PerB!G38</f>
        <v>0</v>
      </c>
      <c r="N28" s="556">
        <f>PerC!G38</f>
        <v>0</v>
      </c>
      <c r="O28" s="557">
        <f>PerD!G38</f>
        <v>0</v>
      </c>
      <c r="P28" s="288" t="s">
        <v>212</v>
      </c>
      <c r="Q28" s="462"/>
      <c r="R28" s="462"/>
      <c r="S28" s="462"/>
      <c r="T28" s="462"/>
      <c r="U28" s="288" t="s">
        <v>243</v>
      </c>
      <c r="V28" s="463"/>
      <c r="W28" s="463"/>
      <c r="X28" s="463"/>
      <c r="Y28" s="469"/>
    </row>
    <row r="29" spans="1:25" ht="10.25" customHeight="1" thickBot="1" x14ac:dyDescent="0.35">
      <c r="B29" s="532" t="s">
        <v>183</v>
      </c>
      <c r="C29" s="388" t="str">
        <f>[4]Perso!$B$2</f>
        <v>5/2/979</v>
      </c>
      <c r="D29" s="385"/>
      <c r="E29" s="388" t="str">
        <f>[1]Perso!$B$2</f>
        <v>12/1/978</v>
      </c>
      <c r="F29" s="385"/>
      <c r="G29" s="539" t="str">
        <f>[2]Perso!$B$2</f>
        <v>16/3/975</v>
      </c>
      <c r="H29" s="385"/>
      <c r="I29" s="388" t="str">
        <f>[3]Perso!$B$2</f>
        <v>14/8/978</v>
      </c>
      <c r="J29" s="385"/>
      <c r="K29" s="558" t="str">
        <f>PerA!F39</f>
        <v>Regen Magie</v>
      </c>
      <c r="L29" s="555" t="str">
        <f>PerA!G39</f>
        <v>19 /+ 6</v>
      </c>
      <c r="M29" s="555" t="str">
        <f>PerB!G39</f>
        <v>6 /+ 0</v>
      </c>
      <c r="N29" s="556" t="str">
        <f>PerC!G39</f>
        <v>4 /+ 0</v>
      </c>
      <c r="O29" s="557" t="str">
        <f>PerD!G39</f>
        <v>8 /+ 0</v>
      </c>
      <c r="P29" s="288" t="s">
        <v>213</v>
      </c>
      <c r="Q29" s="462"/>
      <c r="R29" s="462"/>
      <c r="S29" s="462"/>
      <c r="T29" s="462"/>
      <c r="U29" s="288" t="s">
        <v>244</v>
      </c>
      <c r="V29" s="463"/>
      <c r="W29" s="463"/>
      <c r="X29" s="463"/>
      <c r="Y29" s="469"/>
    </row>
    <row r="30" spans="1:25" ht="10.25" customHeight="1" thickBot="1" x14ac:dyDescent="0.35">
      <c r="B30" s="533" t="s">
        <v>184</v>
      </c>
      <c r="C30" s="389">
        <f>[4]!taille</f>
        <v>180</v>
      </c>
      <c r="D30" s="386"/>
      <c r="E30" s="389">
        <f>[1]!taille</f>
        <v>165</v>
      </c>
      <c r="F30" s="386"/>
      <c r="G30" s="540">
        <f>[2]!taille</f>
        <v>192</v>
      </c>
      <c r="H30" s="386"/>
      <c r="I30" s="389">
        <f>[3]!taille</f>
        <v>172</v>
      </c>
      <c r="J30" s="386"/>
      <c r="K30" s="560" t="str">
        <f>PerA!F40</f>
        <v>Détection Magie</v>
      </c>
      <c r="L30" s="555">
        <f>PerA!G40</f>
        <v>18</v>
      </c>
      <c r="M30" s="555">
        <f>PerB!G40</f>
        <v>12</v>
      </c>
      <c r="N30" s="556">
        <f>PerC!G40</f>
        <v>4</v>
      </c>
      <c r="O30" s="557">
        <f>PerD!G40</f>
        <v>4</v>
      </c>
      <c r="P30" s="288" t="s">
        <v>214</v>
      </c>
      <c r="Q30" s="462"/>
      <c r="R30" s="462"/>
      <c r="S30" s="462"/>
      <c r="T30" s="462"/>
      <c r="U30" s="288" t="s">
        <v>281</v>
      </c>
      <c r="V30" s="463"/>
      <c r="W30" s="463"/>
      <c r="X30" s="463"/>
      <c r="Y30" s="469"/>
    </row>
    <row r="31" spans="1:25" ht="10.25" customHeight="1" thickBot="1" x14ac:dyDescent="0.35">
      <c r="B31" s="533" t="s">
        <v>185</v>
      </c>
      <c r="C31" s="389">
        <f>[4]!poids</f>
        <v>80</v>
      </c>
      <c r="D31" s="386"/>
      <c r="E31" s="389">
        <f>[1]!poids</f>
        <v>58</v>
      </c>
      <c r="F31" s="386"/>
      <c r="G31" s="540">
        <f>[2]!poids</f>
        <v>112</v>
      </c>
      <c r="H31" s="386"/>
      <c r="I31" s="389">
        <f>[3]!poids</f>
        <v>66</v>
      </c>
      <c r="J31" s="386"/>
      <c r="K31" s="558" t="str">
        <f>PerA!F41</f>
        <v>Energie</v>
      </c>
      <c r="L31" s="555">
        <f>PerA!G41</f>
        <v>119</v>
      </c>
      <c r="M31" s="555">
        <f>PerB!G41</f>
        <v>91</v>
      </c>
      <c r="N31" s="556">
        <f>PerC!G41</f>
        <v>88</v>
      </c>
      <c r="O31" s="557">
        <f>PerD!G41</f>
        <v>80</v>
      </c>
      <c r="P31" s="288" t="s">
        <v>296</v>
      </c>
      <c r="Q31" s="462"/>
      <c r="R31" s="462"/>
      <c r="S31" s="462"/>
      <c r="T31" s="462"/>
      <c r="U31" s="290" t="s">
        <v>282</v>
      </c>
      <c r="V31" s="463"/>
      <c r="W31" s="463"/>
      <c r="X31" s="463"/>
      <c r="Y31" s="469"/>
    </row>
    <row r="32" spans="1:25" ht="10.25" customHeight="1" thickBot="1" x14ac:dyDescent="0.35">
      <c r="B32" s="532" t="s">
        <v>186</v>
      </c>
      <c r="C32" s="388" t="str">
        <f>[4]Perso!$E$2</f>
        <v xml:space="preserve">brun </v>
      </c>
      <c r="D32" s="385"/>
      <c r="E32" s="388" t="str">
        <f>[1]Perso!$E$2</f>
        <v>brun foncé</v>
      </c>
      <c r="F32" s="385"/>
      <c r="G32" s="539" t="str">
        <f>[2]Perso!$E$2</f>
        <v>châtain</v>
      </c>
      <c r="H32" s="385"/>
      <c r="I32" s="388" t="str">
        <f>[3]Perso!$E$2</f>
        <v>noir</v>
      </c>
      <c r="J32" s="385"/>
      <c r="K32" s="558" t="str">
        <f>PerA!F42</f>
        <v>Rés.Poison</v>
      </c>
      <c r="L32" s="555">
        <f>PerA!G42</f>
        <v>6</v>
      </c>
      <c r="M32" s="555">
        <f>PerB!G42</f>
        <v>9</v>
      </c>
      <c r="N32" s="556">
        <f>PerC!G42</f>
        <v>6</v>
      </c>
      <c r="O32" s="557">
        <f>PerD!G42</f>
        <v>6</v>
      </c>
      <c r="P32" s="288" t="s">
        <v>215</v>
      </c>
      <c r="Q32" s="462"/>
      <c r="R32" s="462"/>
      <c r="S32" s="462"/>
      <c r="T32" s="462"/>
      <c r="U32" s="290" t="s">
        <v>283</v>
      </c>
      <c r="V32" s="463"/>
      <c r="W32" s="463"/>
      <c r="X32" s="463"/>
      <c r="Y32" s="469"/>
    </row>
    <row r="33" spans="2:25" ht="10.25" customHeight="1" thickBot="1" x14ac:dyDescent="0.35">
      <c r="B33" s="534" t="s">
        <v>181</v>
      </c>
      <c r="C33" s="390" t="str">
        <f>[4]Perso!$E$3</f>
        <v>longs</v>
      </c>
      <c r="D33" s="387" t="str">
        <f>[4]Perso!$F$3</f>
        <v>frisé</v>
      </c>
      <c r="E33" s="390" t="str">
        <f>[1]Perso!$E$3</f>
        <v>plat</v>
      </c>
      <c r="F33" s="387" t="str">
        <f>[1]Perso!$F$3</f>
        <v>bas de nuque</v>
      </c>
      <c r="G33" s="541" t="str">
        <f>[2]Perso!$E$3</f>
        <v>plat</v>
      </c>
      <c r="H33" s="387" t="str">
        <f>[2]Perso!$F$3</f>
        <v>bas nuque</v>
      </c>
      <c r="I33" s="390" t="str">
        <f>[3]Perso!$E$3</f>
        <v>courts</v>
      </c>
      <c r="J33" s="387" t="str">
        <f>[3]Perso!$F$3</f>
        <v>crépus</v>
      </c>
      <c r="K33" s="558" t="str">
        <f>PerA!F43</f>
        <v>Influ.base (CI)</v>
      </c>
      <c r="L33" s="555">
        <f>PerA!G43</f>
        <v>72</v>
      </c>
      <c r="M33" s="555">
        <f>PerB!G43</f>
        <v>46.75</v>
      </c>
      <c r="N33" s="556">
        <f>PerC!G43</f>
        <v>33.6</v>
      </c>
      <c r="O33" s="557">
        <f>PerD!G43</f>
        <v>47.45</v>
      </c>
      <c r="P33" s="288" t="s">
        <v>216</v>
      </c>
      <c r="Q33" s="462"/>
      <c r="R33" s="462"/>
      <c r="S33" s="462"/>
      <c r="T33" s="462"/>
      <c r="U33" s="290" t="s">
        <v>284</v>
      </c>
      <c r="V33" s="463"/>
      <c r="W33" s="463"/>
      <c r="X33" s="463"/>
      <c r="Y33" s="469"/>
    </row>
    <row r="34" spans="2:25" ht="10.25" customHeight="1" thickBot="1" x14ac:dyDescent="0.35">
      <c r="B34" s="533" t="s">
        <v>114</v>
      </c>
      <c r="C34" s="389" t="str">
        <f>[4]Perso!$F$2</f>
        <v>brun</v>
      </c>
      <c r="D34" s="386"/>
      <c r="E34" s="389" t="str">
        <f>[1]Perso!$F$2</f>
        <v>or</v>
      </c>
      <c r="F34" s="386"/>
      <c r="G34" s="540" t="str">
        <f>[2]Perso!$F$2</f>
        <v>noisette</v>
      </c>
      <c r="H34" s="386"/>
      <c r="I34" s="389" t="str">
        <f>[3]Perso!$F$2</f>
        <v>noisette</v>
      </c>
      <c r="J34" s="386"/>
      <c r="K34" s="558" t="str">
        <f>PerA!F44</f>
        <v>Nourriture</v>
      </c>
      <c r="L34" s="555" t="str">
        <f>PerA!G44</f>
        <v>2 PdN/j</v>
      </c>
      <c r="M34" s="555" t="str">
        <f>PerB!G44</f>
        <v>2 PdN/j</v>
      </c>
      <c r="N34" s="556" t="str">
        <f>PerC!G44</f>
        <v>5 PdN/j</v>
      </c>
      <c r="O34" s="557" t="str">
        <f>PerD!G44</f>
        <v>3 PdN/j</v>
      </c>
      <c r="P34" s="288" t="s">
        <v>275</v>
      </c>
      <c r="Q34" s="462"/>
      <c r="R34" s="462"/>
      <c r="S34" s="462"/>
      <c r="T34" s="462"/>
      <c r="U34" s="290" t="s">
        <v>285</v>
      </c>
      <c r="V34" s="463"/>
      <c r="W34" s="463"/>
      <c r="X34" s="463"/>
      <c r="Y34" s="469"/>
    </row>
    <row r="35" spans="2:25" ht="10.25" customHeight="1" thickBot="1" x14ac:dyDescent="0.35">
      <c r="B35" s="363" t="s">
        <v>71</v>
      </c>
      <c r="C35" s="389" t="str">
        <f>[4]Perso!$G$2</f>
        <v>fine</v>
      </c>
      <c r="D35" s="386"/>
      <c r="E35" s="389">
        <f>[1]Perso!$G$2</f>
        <v>0</v>
      </c>
      <c r="F35" s="386"/>
      <c r="G35" s="540" t="str">
        <f>[2]Perso!$G$2</f>
        <v>très large</v>
      </c>
      <c r="H35" s="386"/>
      <c r="I35" s="389">
        <f>[3]Perso!$G$2</f>
        <v>0</v>
      </c>
      <c r="J35" s="386"/>
      <c r="K35" s="558" t="str">
        <f>PerA!F45</f>
        <v>Mvt Stratégique</v>
      </c>
      <c r="L35" s="555" t="str">
        <f>PerA!G45</f>
        <v>3,5 km/h</v>
      </c>
      <c r="M35" s="555" t="str">
        <f>PerB!G45</f>
        <v>3,6 km/h</v>
      </c>
      <c r="N35" s="556" t="str">
        <f>PerC!G45</f>
        <v>4,3 km/h</v>
      </c>
      <c r="O35" s="557" t="str">
        <f>PerD!G45</f>
        <v>3,5 km/h</v>
      </c>
      <c r="P35" s="288" t="s">
        <v>217</v>
      </c>
      <c r="Q35" s="462"/>
      <c r="R35" s="462"/>
      <c r="S35" s="462"/>
      <c r="T35" s="462"/>
      <c r="U35" s="290" t="s">
        <v>286</v>
      </c>
      <c r="V35" s="463"/>
      <c r="W35" s="463"/>
      <c r="X35" s="463"/>
      <c r="Y35" s="469"/>
    </row>
    <row r="36" spans="2:25" ht="10.25" customHeight="1" thickBot="1" x14ac:dyDescent="0.35">
      <c r="B36" s="363" t="s">
        <v>115</v>
      </c>
      <c r="C36" s="389">
        <f>[4]Perso!$H$2</f>
        <v>0</v>
      </c>
      <c r="D36" s="386" t="str">
        <f>[4]Perso!$H$3</f>
        <v xml:space="preserve"> </v>
      </c>
      <c r="E36" s="389">
        <f>[1]Perso!$H$2</f>
        <v>0</v>
      </c>
      <c r="F36" s="386" t="str">
        <f>[1]Perso!$H$3</f>
        <v xml:space="preserve"> </v>
      </c>
      <c r="G36" s="540" t="str">
        <f>[2]Perso!$H$2</f>
        <v>ébène</v>
      </c>
      <c r="H36" s="386">
        <f>[2]Perso!$H$3</f>
        <v>0</v>
      </c>
      <c r="I36" s="389" t="str">
        <f>[3]Perso!$H$2</f>
        <v>pâle</v>
      </c>
      <c r="J36" s="386">
        <f>[3]Perso!$H$3</f>
        <v>0</v>
      </c>
      <c r="K36" s="558" t="str">
        <f>PerA!F46</f>
        <v>Mouvement</v>
      </c>
      <c r="L36" s="555">
        <f>PerA!G46</f>
        <v>6</v>
      </c>
      <c r="M36" s="555">
        <f>PerB!G46</f>
        <v>11</v>
      </c>
      <c r="N36" s="556">
        <f>PerC!G46</f>
        <v>15</v>
      </c>
      <c r="O36" s="557">
        <f>PerD!G46</f>
        <v>11</v>
      </c>
      <c r="P36" s="288" t="s">
        <v>218</v>
      </c>
      <c r="Q36" s="462"/>
      <c r="R36" s="462"/>
      <c r="S36" s="462"/>
      <c r="T36" s="462"/>
      <c r="U36" s="290" t="s">
        <v>287</v>
      </c>
      <c r="V36" s="463"/>
      <c r="W36" s="463"/>
      <c r="X36" s="463"/>
      <c r="Y36" s="469"/>
    </row>
    <row r="37" spans="2:25" ht="10.25" customHeight="1" thickBot="1" x14ac:dyDescent="0.35">
      <c r="B37" s="357" t="s">
        <v>177</v>
      </c>
      <c r="C37" s="388" t="str">
        <f>[4]Perso!$I$2</f>
        <v>barbichette</v>
      </c>
      <c r="D37" s="385"/>
      <c r="E37" s="388" t="str">
        <f>[1]Perso!$I$2</f>
        <v>bouc</v>
      </c>
      <c r="F37" s="385"/>
      <c r="G37" s="539" t="str">
        <f>[2]Perso!$I$2</f>
        <v>moustache</v>
      </c>
      <c r="H37" s="385"/>
      <c r="I37" s="388" t="str">
        <f>[3]Perso!$I$2</f>
        <v>imberbe</v>
      </c>
      <c r="J37" s="385"/>
      <c r="K37" s="558" t="str">
        <f>PerA!F47</f>
        <v>Saut long/haut</v>
      </c>
      <c r="L37" s="555" t="str">
        <f>PerA!G47</f>
        <v>2,7m / 0,9m</v>
      </c>
      <c r="M37" s="555" t="str">
        <f>PerB!G47</f>
        <v>4,5m / 1,5m</v>
      </c>
      <c r="N37" s="556" t="str">
        <f>PerC!G47</f>
        <v>7,2m / 2,4m</v>
      </c>
      <c r="O37" s="557" t="str">
        <f>PerD!G47</f>
        <v>4,7m / 1,6m</v>
      </c>
      <c r="P37" s="288" t="s">
        <v>219</v>
      </c>
      <c r="Q37" s="462"/>
      <c r="R37" s="462"/>
      <c r="S37" s="462"/>
      <c r="T37" s="462"/>
      <c r="U37" s="290" t="s">
        <v>288</v>
      </c>
      <c r="V37" s="463"/>
      <c r="W37" s="463"/>
      <c r="X37" s="463"/>
      <c r="Y37" s="469"/>
    </row>
    <row r="38" spans="2:25" ht="10.25" customHeight="1" thickBot="1" x14ac:dyDescent="0.35">
      <c r="B38" s="531" t="s">
        <v>178</v>
      </c>
      <c r="C38" s="390" t="str">
        <f>[4]Perso!$I$3</f>
        <v>toison</v>
      </c>
      <c r="D38" s="387"/>
      <c r="E38" s="390" t="str">
        <f>[1]Perso!$I$3</f>
        <v>peu pileux</v>
      </c>
      <c r="F38" s="387"/>
      <c r="G38" s="541" t="str">
        <f>[2]Perso!$I$3</f>
        <v>duvet</v>
      </c>
      <c r="H38" s="387"/>
      <c r="I38" s="390">
        <f>[3]Perso!$I$3</f>
        <v>0</v>
      </c>
      <c r="J38" s="387"/>
      <c r="L38" s="391"/>
      <c r="P38" s="288" t="s">
        <v>276</v>
      </c>
      <c r="Q38" s="462"/>
      <c r="R38" s="462"/>
      <c r="S38" s="462"/>
      <c r="T38" s="462"/>
      <c r="U38" s="290" t="s">
        <v>289</v>
      </c>
      <c r="V38" s="463"/>
      <c r="W38" s="463"/>
      <c r="X38" s="463"/>
      <c r="Y38" s="469"/>
    </row>
    <row r="39" spans="2:25" ht="10.25" customHeight="1" thickBot="1" x14ac:dyDescent="0.35">
      <c r="B39" s="393" t="s">
        <v>117</v>
      </c>
      <c r="C39" s="399" t="str">
        <f>[4]Perso!$J$2</f>
        <v>mauvaise</v>
      </c>
      <c r="D39" s="396" t="str">
        <f>PerA!J3</f>
        <v xml:space="preserve"> </v>
      </c>
      <c r="E39" s="399">
        <f>[1]Perso!$J$2</f>
        <v>0</v>
      </c>
      <c r="F39" s="396" t="str">
        <f>PerA!L3</f>
        <v>Agriculture</v>
      </c>
      <c r="G39" s="394" t="str">
        <f>[2]Perso!$J$2</f>
        <v>bonne</v>
      </c>
      <c r="H39" s="395">
        <f>PerA!N3</f>
        <v>7</v>
      </c>
      <c r="I39" s="394" t="str">
        <f>[3]Perso!$J$2</f>
        <v>tr bonne</v>
      </c>
      <c r="J39" s="395">
        <f>PerA!P3</f>
        <v>41</v>
      </c>
      <c r="P39" s="288" t="s">
        <v>220</v>
      </c>
      <c r="Q39" s="462"/>
      <c r="R39" s="462"/>
      <c r="S39" s="462"/>
      <c r="T39" s="462"/>
      <c r="U39" s="290" t="s">
        <v>290</v>
      </c>
      <c r="V39" s="463"/>
      <c r="W39" s="463"/>
      <c r="X39" s="463"/>
      <c r="Y39" s="469"/>
    </row>
    <row r="40" spans="2:25" ht="10.25" customHeight="1" thickBot="1" x14ac:dyDescent="0.35">
      <c r="B40" s="363" t="s">
        <v>9</v>
      </c>
      <c r="C40" s="389" t="str">
        <f>[4]Perso!$A$5</f>
        <v>capricieux</v>
      </c>
      <c r="D40" s="397"/>
      <c r="E40" s="389" t="str">
        <f>[1]Perso!$A$5</f>
        <v>agressif</v>
      </c>
      <c r="F40" s="397"/>
      <c r="G40" s="540" t="str">
        <f>[2]Perso!$A$5</f>
        <v>violent</v>
      </c>
      <c r="H40" s="397"/>
      <c r="I40" s="389" t="str">
        <f>[3]Perso!$A$5</f>
        <v>vindicative</v>
      </c>
      <c r="J40" s="397"/>
      <c r="L40" s="391"/>
      <c r="P40" s="288" t="s">
        <v>221</v>
      </c>
      <c r="Q40" s="462"/>
      <c r="R40" s="462"/>
      <c r="S40" s="462"/>
      <c r="T40" s="462"/>
      <c r="U40" s="290" t="s">
        <v>291</v>
      </c>
      <c r="V40" s="463"/>
      <c r="W40" s="463"/>
      <c r="X40" s="463"/>
      <c r="Y40" s="469"/>
    </row>
    <row r="41" spans="2:25" ht="10.25" customHeight="1" thickBot="1" x14ac:dyDescent="0.35">
      <c r="B41" s="363"/>
      <c r="C41" s="389" t="str">
        <f>[4]Perso!$A$6</f>
        <v xml:space="preserve"> </v>
      </c>
      <c r="D41" s="398"/>
      <c r="E41" s="389" t="str">
        <f>[1]Perso!$A$6</f>
        <v>introverti</v>
      </c>
      <c r="F41" s="398"/>
      <c r="G41" s="540">
        <f>[2]Perso!$A$6</f>
        <v>0</v>
      </c>
      <c r="H41" s="398"/>
      <c r="I41" s="389" t="str">
        <f>[3]Perso!$A$6</f>
        <v>AVARICE</v>
      </c>
      <c r="J41" s="398"/>
      <c r="L41" s="391"/>
      <c r="P41" s="288"/>
      <c r="Q41" s="462"/>
      <c r="R41" s="462"/>
      <c r="S41" s="462"/>
      <c r="T41" s="462"/>
      <c r="U41" s="290"/>
      <c r="V41" s="463"/>
      <c r="W41" s="463"/>
      <c r="X41" s="463"/>
      <c r="Y41" s="469"/>
    </row>
    <row r="42" spans="2:25" ht="10.25" customHeight="1" thickBot="1" x14ac:dyDescent="0.35">
      <c r="B42" s="363" t="s">
        <v>187</v>
      </c>
      <c r="C42" s="389" t="str">
        <f>[4]Perso!$B$5</f>
        <v>âge+3 !</v>
      </c>
      <c r="D42" s="397"/>
      <c r="E42" s="389">
        <f>[1]Perso!$B$5</f>
        <v>0</v>
      </c>
      <c r="F42" s="397"/>
      <c r="G42" s="540" t="str">
        <f>[2]Perso!$B$5</f>
        <v>violent Vx3</v>
      </c>
      <c r="H42" s="397"/>
      <c r="I42" s="389">
        <f>[3]Perso!$B$5</f>
        <v>0</v>
      </c>
      <c r="J42" s="397"/>
      <c r="P42" s="288" t="s">
        <v>222</v>
      </c>
      <c r="Q42" s="462"/>
      <c r="R42" s="462"/>
      <c r="S42" s="462"/>
      <c r="T42" s="462"/>
      <c r="U42" s="290" t="s">
        <v>292</v>
      </c>
      <c r="V42" s="463"/>
      <c r="W42" s="463"/>
      <c r="X42" s="463"/>
      <c r="Y42" s="469"/>
    </row>
    <row r="43" spans="2:25" ht="10.25" customHeight="1" thickBot="1" x14ac:dyDescent="0.35">
      <c r="B43" s="363"/>
      <c r="C43" s="389" t="str">
        <f>[4]Perso!$B$6</f>
        <v xml:space="preserve"> </v>
      </c>
      <c r="D43" s="398"/>
      <c r="E43" s="389">
        <f>[1]Perso!$B$6</f>
        <v>0</v>
      </c>
      <c r="F43" s="398"/>
      <c r="G43" s="540" t="str">
        <f>[2]Perso!$B$6</f>
        <v>cynophobe Vx2</v>
      </c>
      <c r="H43" s="398"/>
      <c r="I43" s="389">
        <f>[3]Perso!$B$6</f>
        <v>0</v>
      </c>
      <c r="J43" s="398"/>
      <c r="P43" s="288"/>
      <c r="Q43" s="462"/>
      <c r="R43" s="462"/>
      <c r="S43" s="462"/>
      <c r="T43" s="462"/>
      <c r="U43" s="290"/>
      <c r="V43" s="463"/>
      <c r="W43" s="463"/>
      <c r="X43" s="463"/>
      <c r="Y43" s="469"/>
    </row>
    <row r="44" spans="2:25" ht="10.25" customHeight="1" thickBot="1" x14ac:dyDescent="0.35">
      <c r="B44" s="363" t="s">
        <v>119</v>
      </c>
      <c r="C44" s="389" t="str">
        <f>[4]Perso!$D$5</f>
        <v>allergie puce (forte)</v>
      </c>
      <c r="D44" s="397"/>
      <c r="E44" s="389">
        <f>[1]Perso!$D$5</f>
        <v>0</v>
      </c>
      <c r="F44" s="397"/>
      <c r="G44" s="540">
        <f>[2]Perso!$D$5</f>
        <v>0</v>
      </c>
      <c r="H44" s="397"/>
      <c r="I44" s="389">
        <f>[3]Perso!$D$5</f>
        <v>0</v>
      </c>
      <c r="J44" s="397"/>
      <c r="P44" s="288" t="s">
        <v>297</v>
      </c>
      <c r="Q44" s="462"/>
      <c r="R44" s="462"/>
      <c r="S44" s="462"/>
      <c r="T44" s="462"/>
      <c r="U44" s="290" t="s">
        <v>293</v>
      </c>
      <c r="V44" s="463"/>
      <c r="W44" s="463"/>
      <c r="X44" s="463"/>
      <c r="Y44" s="469"/>
    </row>
    <row r="45" spans="2:25" ht="10.25" customHeight="1" thickBot="1" x14ac:dyDescent="0.35">
      <c r="B45" s="363"/>
      <c r="C45" s="389">
        <f>[4]Perso!$D$6</f>
        <v>0</v>
      </c>
      <c r="D45" s="398"/>
      <c r="E45" s="389">
        <f>[1]Perso!$D$6</f>
        <v>0</v>
      </c>
      <c r="F45" s="398"/>
      <c r="G45" s="540">
        <f>[2]Perso!$D$6</f>
        <v>0</v>
      </c>
      <c r="H45" s="398"/>
      <c r="I45" s="389">
        <f>[3]Perso!$D$6</f>
        <v>0</v>
      </c>
      <c r="J45" s="398"/>
      <c r="K45" s="284" t="s">
        <v>250</v>
      </c>
      <c r="L45" s="561">
        <f>PerA!S41</f>
        <v>10</v>
      </c>
      <c r="M45" s="456">
        <f>PerB!S41</f>
        <v>23</v>
      </c>
      <c r="N45" s="456">
        <f>PerC!S41</f>
        <v>12.5</v>
      </c>
      <c r="O45" s="457">
        <f>PerD!S41</f>
        <v>56</v>
      </c>
      <c r="P45" s="288"/>
      <c r="Q45" s="462"/>
      <c r="R45" s="462"/>
      <c r="S45" s="462"/>
      <c r="T45" s="462"/>
      <c r="U45" s="290"/>
      <c r="V45" s="463"/>
      <c r="W45" s="463"/>
      <c r="X45" s="463"/>
      <c r="Y45" s="469"/>
    </row>
    <row r="46" spans="2:25" ht="13.5" thickBot="1" x14ac:dyDescent="0.35">
      <c r="B46" s="546" t="s">
        <v>176</v>
      </c>
      <c r="C46" s="547">
        <f>[4]!artGraphique</f>
        <v>11.8</v>
      </c>
      <c r="D46" s="548"/>
      <c r="E46" s="547">
        <f>[1]!artGraphique</f>
        <v>40</v>
      </c>
      <c r="F46" s="548"/>
      <c r="G46" s="549">
        <f>[2]!artGraphique</f>
        <v>5</v>
      </c>
      <c r="H46" s="550"/>
      <c r="I46" s="549">
        <f>[3]!artGraphique</f>
        <v>9</v>
      </c>
      <c r="J46" s="550"/>
      <c r="K46" s="300" t="s">
        <v>251</v>
      </c>
      <c r="L46" s="562">
        <f>PerA!S42</f>
        <v>6</v>
      </c>
      <c r="M46" s="458">
        <f>PerB!S42</f>
        <v>8.5</v>
      </c>
      <c r="N46" s="458">
        <f>PerC!S42</f>
        <v>58</v>
      </c>
      <c r="O46" s="459">
        <f>PerD!S42</f>
        <v>4</v>
      </c>
      <c r="P46" s="288" t="s">
        <v>223</v>
      </c>
      <c r="Q46" s="462"/>
      <c r="R46" s="462"/>
      <c r="S46" s="462"/>
      <c r="T46" s="462"/>
      <c r="U46" s="288" t="s">
        <v>245</v>
      </c>
      <c r="V46" s="463"/>
      <c r="W46" s="463"/>
      <c r="X46" s="463"/>
      <c r="Y46" s="469"/>
    </row>
    <row r="47" spans="2:25" ht="13.5" thickBot="1" x14ac:dyDescent="0.35">
      <c r="B47" s="357" t="s">
        <v>76</v>
      </c>
      <c r="C47" s="389" t="str">
        <f>[4]Perso!$G$5</f>
        <v>EE/EI</v>
      </c>
      <c r="D47" s="386" t="str">
        <f>[4]Perso!$H$6</f>
        <v>Gav'Reel</v>
      </c>
      <c r="E47" s="389" t="str">
        <f>[1]Perso!$G$5</f>
        <v>EI</v>
      </c>
      <c r="F47" s="386" t="str">
        <f>[1]Perso!$H$6</f>
        <v>Dargos</v>
      </c>
      <c r="G47" s="540" t="str">
        <f>[2]Perso!$G$5</f>
        <v>EI</v>
      </c>
      <c r="H47" s="386" t="str">
        <f>[2]Perso!$H$6</f>
        <v>dargos</v>
      </c>
      <c r="I47" s="389" t="str">
        <f>[3]Perso!$G$5</f>
        <v>EI</v>
      </c>
      <c r="J47" s="386" t="str">
        <f>[3]Perso!$H$6</f>
        <v>Dargos</v>
      </c>
      <c r="K47" s="280" t="s">
        <v>252</v>
      </c>
      <c r="L47" s="562">
        <f>PerA!S43</f>
        <v>8</v>
      </c>
      <c r="M47" s="458">
        <f>PerB!S43</f>
        <v>16.5</v>
      </c>
      <c r="N47" s="458">
        <f>PerC!S43</f>
        <v>12.5</v>
      </c>
      <c r="O47" s="459">
        <f>PerD!S43</f>
        <v>18</v>
      </c>
      <c r="P47" s="288" t="s">
        <v>224</v>
      </c>
      <c r="Q47" s="462"/>
      <c r="R47" s="462"/>
      <c r="S47" s="462"/>
      <c r="T47" s="462"/>
      <c r="U47" s="288" t="s">
        <v>246</v>
      </c>
      <c r="V47" s="463"/>
      <c r="W47" s="463"/>
      <c r="X47" s="463"/>
      <c r="Y47" s="469"/>
    </row>
    <row r="48" spans="2:25" ht="17" customHeight="1" thickBot="1" x14ac:dyDescent="0.35">
      <c r="B48" s="551" t="s">
        <v>179</v>
      </c>
      <c r="C48" s="552">
        <f>[4]!Foi</f>
        <v>40</v>
      </c>
      <c r="D48" s="553"/>
      <c r="E48" s="552">
        <f>[1]!Foi</f>
        <v>54</v>
      </c>
      <c r="F48" s="553"/>
      <c r="G48" s="554">
        <f>[2]!Foi</f>
        <v>29</v>
      </c>
      <c r="H48" s="553"/>
      <c r="I48" s="552">
        <f>[3]!Foi</f>
        <v>51</v>
      </c>
      <c r="J48" s="380"/>
      <c r="K48" s="76" t="s">
        <v>253</v>
      </c>
      <c r="L48" s="562">
        <f>PerA!S44</f>
        <v>28</v>
      </c>
      <c r="M48" s="458">
        <f>PerB!S44</f>
        <v>61</v>
      </c>
      <c r="N48" s="458">
        <f>PerC!S44</f>
        <v>78</v>
      </c>
      <c r="O48" s="459">
        <f>PerD!S44</f>
        <v>60</v>
      </c>
      <c r="P48" s="288" t="s">
        <v>277</v>
      </c>
      <c r="Q48" s="462"/>
      <c r="R48" s="462"/>
      <c r="S48" s="462"/>
      <c r="T48" s="462"/>
      <c r="U48" s="288" t="s">
        <v>247</v>
      </c>
      <c r="V48" s="463"/>
      <c r="W48" s="463"/>
      <c r="X48" s="463"/>
      <c r="Y48" s="469"/>
    </row>
    <row r="49" spans="2:25" ht="13.5" thickBot="1" x14ac:dyDescent="0.35">
      <c r="B49" s="363" t="s">
        <v>121</v>
      </c>
      <c r="C49" s="389" t="str">
        <f>[4]Perso!$H$5</f>
        <v xml:space="preserve"> </v>
      </c>
      <c r="D49" s="386"/>
      <c r="E49" s="389" t="str">
        <f>[1]Perso!$H$5</f>
        <v xml:space="preserve"> </v>
      </c>
      <c r="F49" s="386"/>
      <c r="G49" s="540">
        <f>[2]Perso!$H$5</f>
        <v>0</v>
      </c>
      <c r="H49" s="386"/>
      <c r="I49" s="389">
        <f>[3]Perso!$H$5</f>
        <v>0</v>
      </c>
      <c r="J49" s="386"/>
      <c r="K49" s="280" t="s">
        <v>254</v>
      </c>
      <c r="L49" s="562">
        <f>PerA!S45</f>
        <v>6</v>
      </c>
      <c r="M49" s="458">
        <f>PerB!S45</f>
        <v>11</v>
      </c>
      <c r="N49" s="458">
        <f>PerC!S45</f>
        <v>55</v>
      </c>
      <c r="O49" s="459">
        <f>PerD!S45</f>
        <v>4</v>
      </c>
      <c r="P49" s="288" t="s">
        <v>278</v>
      </c>
      <c r="Q49" s="462"/>
      <c r="R49" s="462"/>
      <c r="S49" s="462"/>
      <c r="T49" s="462"/>
      <c r="U49" s="288" t="s">
        <v>248</v>
      </c>
      <c r="V49" s="463"/>
      <c r="W49" s="463"/>
      <c r="X49" s="463"/>
      <c r="Y49" s="469"/>
    </row>
    <row r="50" spans="2:25" ht="13.5" thickBot="1" x14ac:dyDescent="0.35">
      <c r="B50" s="357" t="s">
        <v>180</v>
      </c>
      <c r="C50" s="388">
        <f>[4]!NS</f>
        <v>2</v>
      </c>
      <c r="D50" s="385"/>
      <c r="E50" s="388">
        <f>[1]!NS</f>
        <v>2</v>
      </c>
      <c r="F50" s="385"/>
      <c r="G50" s="539">
        <f>[2]!NS</f>
        <v>3</v>
      </c>
      <c r="H50" s="385"/>
      <c r="I50" s="388">
        <f>[3]!NS</f>
        <v>2</v>
      </c>
      <c r="J50" s="385"/>
      <c r="K50" s="280" t="s">
        <v>41</v>
      </c>
      <c r="L50" s="562">
        <f>PerA!S46</f>
        <v>4</v>
      </c>
      <c r="M50" s="458">
        <f>PerB!S46</f>
        <v>8</v>
      </c>
      <c r="N50" s="458">
        <f>PerC!S46</f>
        <v>64</v>
      </c>
      <c r="O50" s="459">
        <f>PerD!S46</f>
        <v>12</v>
      </c>
      <c r="P50" s="289" t="s">
        <v>1029</v>
      </c>
      <c r="Q50" s="462"/>
      <c r="R50" s="462"/>
      <c r="S50" s="462"/>
      <c r="T50" s="462"/>
      <c r="U50" s="289" t="s">
        <v>249</v>
      </c>
      <c r="V50" s="464"/>
      <c r="W50" s="464"/>
      <c r="X50" s="464"/>
      <c r="Y50" s="470"/>
    </row>
    <row r="51" spans="2:25" x14ac:dyDescent="0.3">
      <c r="B51" s="363" t="s">
        <v>1037</v>
      </c>
      <c r="C51" s="389" t="str">
        <f>[4]Perso!$I$6</f>
        <v>sombre</v>
      </c>
      <c r="D51" s="386"/>
      <c r="E51" s="389" t="str">
        <f>[1]Perso!$I$6</f>
        <v>sombre</v>
      </c>
      <c r="F51" s="386"/>
      <c r="G51" s="540" t="str">
        <f>[2]Perso!$I$6</f>
        <v>guerre</v>
      </c>
      <c r="H51" s="386"/>
      <c r="I51" s="389" t="str">
        <f>[3]Perso!$I$6</f>
        <v>sombre</v>
      </c>
      <c r="J51" s="386"/>
      <c r="K51" s="280" t="s">
        <v>255</v>
      </c>
      <c r="L51" s="562">
        <f>PerA!S47</f>
        <v>8</v>
      </c>
      <c r="M51" s="458">
        <f>PerB!S47</f>
        <v>16.5</v>
      </c>
      <c r="N51" s="458">
        <f>PerC!S47</f>
        <v>55</v>
      </c>
      <c r="O51" s="459">
        <f>PerD!S47</f>
        <v>18</v>
      </c>
      <c r="P51" s="282" t="s">
        <v>23</v>
      </c>
      <c r="Q51" s="564">
        <f>PerA!S54</f>
        <v>19</v>
      </c>
      <c r="R51" s="465">
        <f>PerB!S54</f>
        <v>44</v>
      </c>
      <c r="S51" s="465">
        <f>PerC!S54</f>
        <v>60</v>
      </c>
      <c r="T51" s="471">
        <f>PerD!S54</f>
        <v>51</v>
      </c>
      <c r="U51" s="282" t="s">
        <v>20</v>
      </c>
      <c r="V51" s="564">
        <f>PerA!S61</f>
        <v>32</v>
      </c>
      <c r="W51" s="465">
        <f>PerB!S61</f>
        <v>5.5</v>
      </c>
      <c r="X51" s="465">
        <f>PerC!S61</f>
        <v>16</v>
      </c>
      <c r="Y51" s="471">
        <f>PerD!S61</f>
        <v>5</v>
      </c>
    </row>
    <row r="52" spans="2:25" ht="13.5" thickBot="1" x14ac:dyDescent="0.35">
      <c r="B52" s="363" t="s">
        <v>1038</v>
      </c>
      <c r="C52" s="389">
        <f>[4]!BM</f>
        <v>80</v>
      </c>
      <c r="D52" s="386" t="str">
        <f>[4]Perso!$J$6</f>
        <v>sorcier</v>
      </c>
      <c r="E52" s="389">
        <f>[1]!BM</f>
        <v>150</v>
      </c>
      <c r="F52" s="386" t="str">
        <f>[1]Perso!$J$6</f>
        <v>tueur</v>
      </c>
      <c r="G52" s="540">
        <f>[2]!BM</f>
        <v>200</v>
      </c>
      <c r="H52" s="386" t="str">
        <f>[2]Perso!$J$6</f>
        <v>chasse</v>
      </c>
      <c r="I52" s="389">
        <f>[3]!BM</f>
        <v>80</v>
      </c>
      <c r="J52" s="386" t="str">
        <f>[3]Perso!$J$6</f>
        <v>voleuse</v>
      </c>
      <c r="K52" s="280" t="s">
        <v>1085</v>
      </c>
      <c r="L52" s="562">
        <f>PerA!S48</f>
        <v>8</v>
      </c>
      <c r="M52" s="458">
        <f>PerB!S48</f>
        <v>25</v>
      </c>
      <c r="N52" s="458">
        <f>PerC!S48</f>
        <v>12</v>
      </c>
      <c r="O52" s="459">
        <f>PerD!S48</f>
        <v>50</v>
      </c>
      <c r="P52" s="280" t="s">
        <v>262</v>
      </c>
      <c r="Q52" s="565">
        <f>PerA!S55</f>
        <v>8</v>
      </c>
      <c r="R52" s="466">
        <f>PerB!S55</f>
        <v>16.5</v>
      </c>
      <c r="S52" s="466">
        <f>PerC!S55</f>
        <v>12.5</v>
      </c>
      <c r="T52" s="472">
        <f>PerD!S55</f>
        <v>18</v>
      </c>
      <c r="U52" s="280" t="s">
        <v>267</v>
      </c>
      <c r="V52" s="565">
        <f>PerA!S62</f>
        <v>5.5</v>
      </c>
      <c r="W52" s="466">
        <f>PerB!S62</f>
        <v>8.5</v>
      </c>
      <c r="X52" s="466">
        <f>PerC!S62</f>
        <v>18</v>
      </c>
      <c r="Y52" s="472">
        <f>PerD!S62</f>
        <v>4</v>
      </c>
    </row>
    <row r="53" spans="2:25" ht="20" customHeight="1" thickBot="1" x14ac:dyDescent="0.35">
      <c r="B53" s="393" t="s">
        <v>174</v>
      </c>
      <c r="C53" s="399"/>
      <c r="D53" s="396"/>
      <c r="E53" s="399"/>
      <c r="F53" s="396"/>
      <c r="G53" s="394"/>
      <c r="H53" s="396"/>
      <c r="I53" s="394"/>
      <c r="J53" s="396"/>
      <c r="K53" s="283" t="s">
        <v>257</v>
      </c>
      <c r="L53" s="562">
        <f>PerA!S49</f>
        <v>8</v>
      </c>
      <c r="M53" s="458">
        <f>PerB!S49</f>
        <v>54</v>
      </c>
      <c r="N53" s="458">
        <f>PerC!S49</f>
        <v>12.5</v>
      </c>
      <c r="O53" s="459">
        <f>PerD!S49</f>
        <v>54</v>
      </c>
      <c r="P53" s="280" t="s">
        <v>48</v>
      </c>
      <c r="Q53" s="565">
        <f>PerA!S56</f>
        <v>7</v>
      </c>
      <c r="R53" s="466">
        <f>PerB!S56</f>
        <v>40</v>
      </c>
      <c r="S53" s="466">
        <f>PerC!S56</f>
        <v>16.5</v>
      </c>
      <c r="T53" s="472">
        <f>PerD!S56</f>
        <v>53</v>
      </c>
      <c r="U53" s="280" t="s">
        <v>42</v>
      </c>
      <c r="V53" s="565">
        <f>PerA!S63</f>
        <v>20</v>
      </c>
      <c r="W53" s="466">
        <f>PerB!S63</f>
        <v>37</v>
      </c>
      <c r="X53" s="466">
        <f>PerC!S63</f>
        <v>20</v>
      </c>
      <c r="Y53" s="472">
        <f>PerD!S63</f>
        <v>40</v>
      </c>
    </row>
    <row r="54" spans="2:25" ht="16.5" customHeight="1" thickBot="1" x14ac:dyDescent="0.35">
      <c r="B54" s="393" t="s">
        <v>175</v>
      </c>
      <c r="C54" s="399"/>
      <c r="D54" s="396"/>
      <c r="E54" s="399"/>
      <c r="F54" s="396"/>
      <c r="G54" s="394"/>
      <c r="H54" s="396"/>
      <c r="I54" s="394"/>
      <c r="J54" s="396"/>
      <c r="K54" s="283" t="s">
        <v>258</v>
      </c>
      <c r="L54" s="562">
        <f>PerA!S50</f>
        <v>35</v>
      </c>
      <c r="M54" s="458">
        <f>PerB!S50</f>
        <v>45</v>
      </c>
      <c r="N54" s="458">
        <f>PerC!S50</f>
        <v>65</v>
      </c>
      <c r="O54" s="459">
        <f>PerD!S50</f>
        <v>50</v>
      </c>
      <c r="P54" s="280" t="s">
        <v>263</v>
      </c>
      <c r="Q54" s="565">
        <f>PerA!S57</f>
        <v>5.5</v>
      </c>
      <c r="R54" s="466">
        <f>PerB!S57</f>
        <v>8.5</v>
      </c>
      <c r="S54" s="466">
        <f>PerC!S57</f>
        <v>18</v>
      </c>
      <c r="T54" s="472">
        <f>PerD!S57</f>
        <v>4</v>
      </c>
      <c r="U54" s="280" t="s">
        <v>10</v>
      </c>
      <c r="V54" s="565">
        <f>PerA!S64</f>
        <v>15</v>
      </c>
      <c r="W54" s="466">
        <f>PerB!S64</f>
        <v>41</v>
      </c>
      <c r="X54" s="466">
        <f>PerC!S64</f>
        <v>58</v>
      </c>
      <c r="Y54" s="472">
        <f>PerD!S64</f>
        <v>8</v>
      </c>
    </row>
    <row r="55" spans="2:25" ht="16.5" customHeight="1" thickBot="1" x14ac:dyDescent="0.35">
      <c r="B55" s="393" t="s">
        <v>182</v>
      </c>
      <c r="C55" s="399"/>
      <c r="D55" s="396"/>
      <c r="E55" s="399"/>
      <c r="F55" s="396"/>
      <c r="G55" s="394"/>
      <c r="H55" s="396"/>
      <c r="I55" s="394"/>
      <c r="J55" s="396"/>
      <c r="K55" s="283" t="s">
        <v>259</v>
      </c>
      <c r="L55" s="562">
        <f>PerA!S51</f>
        <v>8</v>
      </c>
      <c r="M55" s="458">
        <f>PerB!S51</f>
        <v>18</v>
      </c>
      <c r="N55" s="458">
        <f>PerC!S51</f>
        <v>12.5</v>
      </c>
      <c r="O55" s="459">
        <f>PerD!S51</f>
        <v>18</v>
      </c>
      <c r="P55" s="280" t="s">
        <v>264</v>
      </c>
      <c r="Q55" s="565">
        <f>PerA!S58</f>
        <v>5.5</v>
      </c>
      <c r="R55" s="466">
        <f>PerB!S58</f>
        <v>8.5</v>
      </c>
      <c r="S55" s="466">
        <f>PerC!S58</f>
        <v>60</v>
      </c>
      <c r="T55" s="472">
        <f>PerD!S58</f>
        <v>4</v>
      </c>
      <c r="U55" s="280" t="s">
        <v>268</v>
      </c>
      <c r="V55" s="565">
        <f>PerA!S65</f>
        <v>13.5</v>
      </c>
      <c r="W55" s="466">
        <f>PerB!S65</f>
        <v>8.5</v>
      </c>
      <c r="X55" s="466">
        <f>PerC!S65</f>
        <v>3.5</v>
      </c>
      <c r="Y55" s="472">
        <f>PerD!S65</f>
        <v>11</v>
      </c>
    </row>
    <row r="56" spans="2:25" ht="16.5" customHeight="1" thickBot="1" x14ac:dyDescent="0.35">
      <c r="B56" s="393" t="s">
        <v>1036</v>
      </c>
      <c r="C56" s="399"/>
      <c r="D56" s="396"/>
      <c r="E56" s="399"/>
      <c r="F56" s="396"/>
      <c r="G56" s="394"/>
      <c r="H56" s="396"/>
      <c r="I56" s="394"/>
      <c r="J56" s="396"/>
      <c r="K56" s="283" t="s">
        <v>260</v>
      </c>
      <c r="L56" s="562">
        <f>PerA!S52</f>
        <v>8</v>
      </c>
      <c r="M56" s="458">
        <f>PerB!S52</f>
        <v>42</v>
      </c>
      <c r="N56" s="458">
        <f>PerC!S52</f>
        <v>42</v>
      </c>
      <c r="O56" s="459">
        <f>PerD!S52</f>
        <v>12</v>
      </c>
      <c r="P56" s="280" t="s">
        <v>265</v>
      </c>
      <c r="Q56" s="565">
        <f>PerA!S59</f>
        <v>29</v>
      </c>
      <c r="R56" s="466">
        <f>PerB!S59</f>
        <v>8.5</v>
      </c>
      <c r="S56" s="466">
        <f>PerC!S59</f>
        <v>17</v>
      </c>
      <c r="T56" s="472">
        <f>PerD!S59</f>
        <v>4</v>
      </c>
      <c r="U56" s="280" t="s">
        <v>269</v>
      </c>
      <c r="V56" s="565">
        <f>PerA!S66</f>
        <v>9</v>
      </c>
      <c r="W56" s="466">
        <f>PerB!S66</f>
        <v>36</v>
      </c>
      <c r="X56" s="466">
        <f>PerC!S66</f>
        <v>51</v>
      </c>
      <c r="Y56" s="472">
        <f>PerD!S66</f>
        <v>11</v>
      </c>
    </row>
    <row r="57" spans="2:25" ht="16.5" customHeight="1" thickBot="1" x14ac:dyDescent="0.35">
      <c r="B57" s="393"/>
      <c r="C57" s="399"/>
      <c r="D57" s="396"/>
      <c r="E57" s="399"/>
      <c r="F57" s="396"/>
      <c r="G57" s="394"/>
      <c r="H57" s="396"/>
      <c r="I57" s="394"/>
      <c r="J57" s="396"/>
      <c r="K57" s="285" t="s">
        <v>261</v>
      </c>
      <c r="L57" s="563">
        <f>PerA!S53</f>
        <v>11</v>
      </c>
      <c r="M57" s="460">
        <f>PerB!S53</f>
        <v>12</v>
      </c>
      <c r="N57" s="460">
        <f>PerC!S53</f>
        <v>44</v>
      </c>
      <c r="O57" s="461">
        <f>PerD!S53</f>
        <v>4</v>
      </c>
      <c r="P57" s="281" t="s">
        <v>266</v>
      </c>
      <c r="Q57" s="566">
        <f>PerA!S60</f>
        <v>5.5</v>
      </c>
      <c r="R57" s="467">
        <f>PerB!S60</f>
        <v>18</v>
      </c>
      <c r="S57" s="467">
        <f>PerC!S60</f>
        <v>23</v>
      </c>
      <c r="T57" s="473">
        <f>PerD!S60</f>
        <v>4</v>
      </c>
      <c r="U57" s="281" t="s">
        <v>312</v>
      </c>
      <c r="V57" s="566">
        <f>PerA!S67</f>
        <v>1</v>
      </c>
      <c r="W57" s="467">
        <f>PerB!S67</f>
        <v>1</v>
      </c>
      <c r="X57" s="467">
        <f>PerC!S67</f>
        <v>1</v>
      </c>
      <c r="Y57" s="473">
        <f>PerD!S67</f>
        <v>1</v>
      </c>
    </row>
    <row r="67" spans="22:25" x14ac:dyDescent="0.3">
      <c r="V67" s="278"/>
      <c r="W67" s="278"/>
      <c r="X67" s="278"/>
      <c r="Y67" s="278"/>
    </row>
    <row r="68" spans="22:25" x14ac:dyDescent="0.3">
      <c r="V68" s="278"/>
      <c r="W68" s="278"/>
      <c r="X68" s="278"/>
      <c r="Y68" s="278"/>
    </row>
    <row r="69" spans="22:25" x14ac:dyDescent="0.3">
      <c r="V69" s="278"/>
      <c r="W69" s="278"/>
      <c r="X69" s="278"/>
      <c r="Y69" s="278"/>
    </row>
    <row r="70" spans="22:25" x14ac:dyDescent="0.3">
      <c r="V70" s="278"/>
      <c r="W70" s="278"/>
      <c r="X70" s="278"/>
      <c r="Y70" s="278"/>
    </row>
    <row r="71" spans="22:25" x14ac:dyDescent="0.3">
      <c r="V71" s="278"/>
      <c r="W71" s="278"/>
      <c r="X71" s="278"/>
      <c r="Y71" s="278"/>
    </row>
    <row r="72" spans="22:25" x14ac:dyDescent="0.3">
      <c r="V72" s="278"/>
      <c r="W72" s="278"/>
      <c r="X72" s="278"/>
      <c r="Y72" s="278"/>
    </row>
    <row r="73" spans="22:25" x14ac:dyDescent="0.3">
      <c r="V73" s="278"/>
      <c r="W73" s="278"/>
      <c r="X73" s="278"/>
      <c r="Y73" s="278"/>
    </row>
    <row r="74" spans="22:25" x14ac:dyDescent="0.3">
      <c r="V74" s="278"/>
      <c r="W74" s="278"/>
      <c r="X74" s="278"/>
      <c r="Y74" s="278"/>
    </row>
    <row r="75" spans="22:25" x14ac:dyDescent="0.3">
      <c r="V75" s="278"/>
      <c r="W75" s="278"/>
      <c r="X75" s="278"/>
      <c r="Y75" s="278"/>
    </row>
  </sheetData>
  <mergeCells count="4">
    <mergeCell ref="C1:D1"/>
    <mergeCell ref="E1:F1"/>
    <mergeCell ref="G1:H1"/>
    <mergeCell ref="I1:J1"/>
  </mergeCells>
  <pageMargins left="0.23622047244094491" right="0.23622047244094491" top="0.51181102362204722" bottom="0.35433070866141736" header="0.31496062992125984" footer="0.31496062992125984"/>
  <pageSetup paperSize="9" orientation="portrait" r:id="rId1"/>
  <headerFooter alignWithMargins="0">
    <oddHeader>&amp;R &amp;F-&amp;D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38"/>
  <sheetViews>
    <sheetView showZeros="0" topLeftCell="L22" workbookViewId="0">
      <selection activeCell="AH17" sqref="AH17"/>
    </sheetView>
  </sheetViews>
  <sheetFormatPr baseColWidth="10" defaultColWidth="8.90625" defaultRowHeight="27.65" customHeight="1" x14ac:dyDescent="0.2"/>
  <cols>
    <col min="1" max="1" width="17.6328125" style="43" hidden="1" customWidth="1"/>
    <col min="2" max="3" width="4.36328125" style="43" hidden="1" customWidth="1"/>
    <col min="4" max="4" width="22.453125" style="43" hidden="1" customWidth="1"/>
    <col min="5" max="5" width="10.6328125" style="43" hidden="1" customWidth="1"/>
    <col min="6" max="6" width="3.6328125" style="43" hidden="1" customWidth="1"/>
    <col min="7" max="11" width="8.90625" style="43" hidden="1" customWidth="1"/>
    <col min="12" max="12" width="13.6328125" style="43" customWidth="1"/>
    <col min="13" max="13" width="6.6328125" style="43" customWidth="1"/>
    <col min="14" max="14" width="2.6328125" style="43" customWidth="1"/>
    <col min="15" max="15" width="6.6328125" style="43" customWidth="1"/>
    <col min="16" max="16" width="2.6328125" style="43" customWidth="1"/>
    <col min="17" max="17" width="6.6328125" style="43" customWidth="1"/>
    <col min="18" max="18" width="2.6328125" style="43" customWidth="1"/>
    <col min="19" max="19" width="6.6328125" style="43" customWidth="1"/>
    <col min="20" max="20" width="2.6328125" style="43" customWidth="1"/>
    <col min="21" max="21" width="12.90625" style="43" bestFit="1" customWidth="1"/>
    <col min="22" max="22" width="6.6328125" style="43" customWidth="1"/>
    <col min="23" max="23" width="2.6328125" style="43" customWidth="1"/>
    <col min="24" max="24" width="6.6328125" style="43" customWidth="1"/>
    <col min="25" max="25" width="2.6328125" style="43" customWidth="1"/>
    <col min="26" max="26" width="6.6328125" style="43" customWidth="1"/>
    <col min="27" max="27" width="2.6328125" style="43" customWidth="1"/>
    <col min="28" max="28" width="6.6328125" style="43" customWidth="1"/>
    <col min="29" max="29" width="2.6328125" style="43" customWidth="1"/>
    <col min="30" max="164" width="8.90625" style="674"/>
    <col min="165" max="16384" width="8.90625" style="43"/>
  </cols>
  <sheetData>
    <row r="1" spans="1:164" ht="13" customHeight="1" x14ac:dyDescent="0.2">
      <c r="A1" s="257" t="s">
        <v>1002</v>
      </c>
      <c r="B1" s="57" t="s">
        <v>1003</v>
      </c>
      <c r="C1" s="57" t="s">
        <v>1004</v>
      </c>
      <c r="M1" s="746" t="str">
        <f>[4]Perso!$A$3</f>
        <v>Jem</v>
      </c>
      <c r="N1" s="747"/>
      <c r="O1" s="746" t="str">
        <f>[1]Perso!$A$3</f>
        <v>Raoul</v>
      </c>
      <c r="P1" s="747"/>
      <c r="Q1" s="746" t="str">
        <f>[2]Perso!$A$3</f>
        <v>Arnaud</v>
      </c>
      <c r="R1" s="747"/>
      <c r="S1" s="746" t="str">
        <f>[3]Perso!$A$3</f>
        <v>Kar</v>
      </c>
      <c r="T1" s="747"/>
      <c r="U1" s="698" t="s">
        <v>1698</v>
      </c>
      <c r="V1" s="681">
        <f>PerA!M69</f>
        <v>0</v>
      </c>
      <c r="W1" s="690"/>
      <c r="X1" s="686">
        <f>PerB!M69</f>
        <v>0</v>
      </c>
      <c r="Y1" s="691"/>
      <c r="Z1" s="681">
        <f>PerC!M69</f>
        <v>0</v>
      </c>
      <c r="AA1" s="690"/>
      <c r="AB1" s="686">
        <f>PerD!M69</f>
        <v>0</v>
      </c>
      <c r="AC1" s="682"/>
    </row>
    <row r="2" spans="1:164" ht="13" customHeight="1" x14ac:dyDescent="0.2">
      <c r="A2" s="47" t="s">
        <v>188</v>
      </c>
      <c r="B2" s="46">
        <v>70</v>
      </c>
      <c r="C2" s="46">
        <v>6</v>
      </c>
      <c r="D2" s="43" t="str">
        <f>A2&amp;"/"&amp;B2&amp;"-"&amp;C2</f>
        <v>Acrobatie/70-6</v>
      </c>
      <c r="L2" s="296" t="s">
        <v>1643</v>
      </c>
      <c r="M2" s="678">
        <f>PerA!M2</f>
        <v>0</v>
      </c>
      <c r="N2" s="679"/>
      <c r="O2" s="678">
        <f>PerB!M2</f>
        <v>0</v>
      </c>
      <c r="P2" s="679"/>
      <c r="Q2" s="678">
        <f>PerC!M2</f>
        <v>0</v>
      </c>
      <c r="R2" s="679"/>
      <c r="S2" s="678">
        <f>PerD!M2</f>
        <v>0</v>
      </c>
      <c r="T2" s="679"/>
      <c r="U2" s="699" t="s">
        <v>1699</v>
      </c>
      <c r="V2" s="677">
        <f>PerA!M70</f>
        <v>0</v>
      </c>
      <c r="W2" s="683"/>
      <c r="X2" s="687">
        <f>PerB!M70</f>
        <v>0</v>
      </c>
      <c r="Y2" s="692"/>
      <c r="Z2" s="677">
        <f>PerC!M70</f>
        <v>0</v>
      </c>
      <c r="AA2" s="683"/>
      <c r="AB2" s="687">
        <f>PerD!M70</f>
        <v>0</v>
      </c>
      <c r="AC2" s="683"/>
    </row>
    <row r="3" spans="1:164" s="262" customFormat="1" ht="13" customHeight="1" x14ac:dyDescent="0.2">
      <c r="A3" s="260" t="s">
        <v>189</v>
      </c>
      <c r="B3" s="261">
        <v>10</v>
      </c>
      <c r="C3" s="261">
        <v>3</v>
      </c>
      <c r="D3" s="262" t="str">
        <f t="shared" ref="D3:D94" si="0">A3&amp;"/"&amp;B3&amp;"-"&amp;C3</f>
        <v>Agriculture/10-3</v>
      </c>
      <c r="L3" s="296" t="s">
        <v>1644</v>
      </c>
      <c r="M3" s="678">
        <f>PerA!M3</f>
        <v>0</v>
      </c>
      <c r="N3" s="679"/>
      <c r="O3" s="678">
        <f>PerB!M3</f>
        <v>0</v>
      </c>
      <c r="P3" s="679"/>
      <c r="Q3" s="678">
        <f>PerC!M3</f>
        <v>0</v>
      </c>
      <c r="R3" s="679"/>
      <c r="S3" s="678">
        <f>PerD!M3</f>
        <v>0</v>
      </c>
      <c r="T3" s="679"/>
      <c r="U3" s="700" t="s">
        <v>1700</v>
      </c>
      <c r="V3" s="677">
        <f>PerA!M71</f>
        <v>0</v>
      </c>
      <c r="W3" s="683"/>
      <c r="X3" s="687">
        <f>PerB!M71</f>
        <v>0</v>
      </c>
      <c r="Y3" s="692"/>
      <c r="Z3" s="677">
        <f>PerC!M71</f>
        <v>0</v>
      </c>
      <c r="AA3" s="683"/>
      <c r="AB3" s="687">
        <f>PerD!M71</f>
        <v>0</v>
      </c>
      <c r="AC3" s="683"/>
      <c r="AD3" s="674"/>
      <c r="AE3" s="674"/>
      <c r="AF3" s="674"/>
      <c r="AG3" s="674"/>
      <c r="AH3" s="674"/>
      <c r="AI3" s="674"/>
      <c r="AJ3" s="674"/>
      <c r="AK3" s="674"/>
      <c r="AL3" s="674"/>
      <c r="AM3" s="674"/>
      <c r="AN3" s="674"/>
      <c r="AO3" s="674"/>
      <c r="AP3" s="674"/>
      <c r="AQ3" s="674"/>
      <c r="AR3" s="674"/>
      <c r="AS3" s="674"/>
      <c r="AT3" s="674"/>
      <c r="AU3" s="674"/>
      <c r="AV3" s="674"/>
      <c r="AW3" s="674"/>
      <c r="AX3" s="674"/>
      <c r="AY3" s="674"/>
      <c r="AZ3" s="674"/>
      <c r="BA3" s="674"/>
      <c r="BB3" s="674"/>
      <c r="BC3" s="674"/>
      <c r="BD3" s="674"/>
      <c r="BE3" s="674"/>
      <c r="BF3" s="674"/>
      <c r="BG3" s="674"/>
      <c r="BH3" s="674"/>
      <c r="BI3" s="674"/>
      <c r="BJ3" s="674"/>
      <c r="BK3" s="674"/>
      <c r="BL3" s="674"/>
      <c r="BM3" s="674"/>
      <c r="BN3" s="674"/>
      <c r="BO3" s="674"/>
      <c r="BP3" s="674"/>
      <c r="BQ3" s="674"/>
      <c r="BR3" s="674"/>
      <c r="BS3" s="674"/>
      <c r="BT3" s="674"/>
      <c r="BU3" s="674"/>
      <c r="BV3" s="674"/>
      <c r="BW3" s="674"/>
      <c r="BX3" s="674"/>
      <c r="BY3" s="674"/>
      <c r="BZ3" s="674"/>
      <c r="CA3" s="674"/>
      <c r="CB3" s="674"/>
      <c r="CC3" s="674"/>
      <c r="CD3" s="674"/>
      <c r="CE3" s="674"/>
      <c r="CF3" s="674"/>
      <c r="CG3" s="674"/>
      <c r="CH3" s="674"/>
      <c r="CI3" s="674"/>
      <c r="CJ3" s="674"/>
      <c r="CK3" s="674"/>
      <c r="CL3" s="674"/>
      <c r="CM3" s="674"/>
      <c r="CN3" s="674"/>
      <c r="CO3" s="674"/>
      <c r="CP3" s="674"/>
      <c r="CQ3" s="674"/>
      <c r="CR3" s="674"/>
      <c r="CS3" s="674"/>
      <c r="CT3" s="674"/>
      <c r="CU3" s="674"/>
      <c r="CV3" s="674"/>
      <c r="CW3" s="674"/>
      <c r="CX3" s="674"/>
      <c r="CY3" s="674"/>
      <c r="CZ3" s="674"/>
      <c r="DA3" s="674"/>
      <c r="DB3" s="674"/>
      <c r="DC3" s="674"/>
      <c r="DD3" s="674"/>
      <c r="DE3" s="674"/>
      <c r="DF3" s="674"/>
      <c r="DG3" s="674"/>
      <c r="DH3" s="674"/>
      <c r="DI3" s="674"/>
      <c r="DJ3" s="674"/>
      <c r="DK3" s="674"/>
      <c r="DL3" s="674"/>
      <c r="DM3" s="674"/>
      <c r="DN3" s="674"/>
      <c r="DO3" s="674"/>
      <c r="DP3" s="674"/>
      <c r="DQ3" s="674"/>
      <c r="DR3" s="674"/>
      <c r="DS3" s="674"/>
      <c r="DT3" s="674"/>
      <c r="DU3" s="674"/>
      <c r="DV3" s="674"/>
      <c r="DW3" s="674"/>
      <c r="DX3" s="674"/>
      <c r="DY3" s="674"/>
      <c r="DZ3" s="674"/>
      <c r="EA3" s="674"/>
      <c r="EB3" s="674"/>
      <c r="EC3" s="674"/>
      <c r="ED3" s="674"/>
      <c r="EE3" s="674"/>
      <c r="EF3" s="674"/>
      <c r="EG3" s="674"/>
      <c r="EH3" s="674"/>
      <c r="EI3" s="674"/>
      <c r="EJ3" s="674"/>
      <c r="EK3" s="674"/>
      <c r="EL3" s="674"/>
      <c r="EM3" s="674"/>
      <c r="EN3" s="674"/>
      <c r="EO3" s="674"/>
      <c r="EP3" s="674"/>
      <c r="EQ3" s="674"/>
      <c r="ER3" s="674"/>
      <c r="ES3" s="674"/>
      <c r="ET3" s="674"/>
      <c r="EU3" s="674"/>
      <c r="EV3" s="674"/>
      <c r="EW3" s="674"/>
      <c r="EX3" s="674"/>
      <c r="EY3" s="674"/>
      <c r="EZ3" s="674"/>
      <c r="FA3" s="674"/>
      <c r="FB3" s="674"/>
      <c r="FC3" s="674"/>
      <c r="FD3" s="674"/>
      <c r="FE3" s="674"/>
      <c r="FF3" s="674"/>
      <c r="FG3" s="674"/>
      <c r="FH3" s="674"/>
    </row>
    <row r="4" spans="1:164" ht="13" customHeight="1" x14ac:dyDescent="0.2">
      <c r="A4" s="47" t="s">
        <v>190</v>
      </c>
      <c r="B4" s="46">
        <v>70</v>
      </c>
      <c r="C4" s="46">
        <v>7</v>
      </c>
      <c r="D4" s="43" t="str">
        <f t="shared" si="0"/>
        <v>Alchimie/70-7</v>
      </c>
      <c r="L4" s="296" t="s">
        <v>1645</v>
      </c>
      <c r="M4" s="678">
        <f>PerA!M4</f>
        <v>0</v>
      </c>
      <c r="N4" s="679"/>
      <c r="O4" s="678">
        <f>PerB!M4</f>
        <v>0</v>
      </c>
      <c r="P4" s="679"/>
      <c r="Q4" s="678">
        <f>PerC!M4</f>
        <v>0</v>
      </c>
      <c r="R4" s="679"/>
      <c r="S4" s="678">
        <f>PerD!M4</f>
        <v>0</v>
      </c>
      <c r="T4" s="679"/>
      <c r="U4" s="701" t="s">
        <v>1701</v>
      </c>
      <c r="V4" s="676">
        <f>PerA!S2</f>
        <v>17</v>
      </c>
      <c r="W4" s="683"/>
      <c r="X4" s="688">
        <f>PerB!S2</f>
        <v>40</v>
      </c>
      <c r="Y4" s="692"/>
      <c r="Z4" s="676">
        <f>PerC!S2</f>
        <v>17</v>
      </c>
      <c r="AA4" s="683"/>
      <c r="AB4" s="688">
        <f>PerD!S2</f>
        <v>24</v>
      </c>
      <c r="AC4" s="683"/>
    </row>
    <row r="5" spans="1:164" s="262" customFormat="1" ht="13" customHeight="1" x14ac:dyDescent="0.2">
      <c r="A5" s="260" t="s">
        <v>191</v>
      </c>
      <c r="B5" s="261">
        <v>40</v>
      </c>
      <c r="C5" s="261">
        <v>6</v>
      </c>
      <c r="D5" s="262" t="str">
        <f t="shared" si="0"/>
        <v>Archerie/40-6</v>
      </c>
      <c r="L5" s="296" t="s">
        <v>1646</v>
      </c>
      <c r="M5" s="678">
        <f>PerA!M5</f>
        <v>0</v>
      </c>
      <c r="N5" s="679"/>
      <c r="O5" s="678">
        <f>PerB!M5</f>
        <v>0</v>
      </c>
      <c r="P5" s="679"/>
      <c r="Q5" s="678">
        <f>PerC!M5</f>
        <v>15</v>
      </c>
      <c r="R5" s="679"/>
      <c r="S5" s="678">
        <f>PerD!M5</f>
        <v>0</v>
      </c>
      <c r="T5" s="679"/>
      <c r="U5" s="699" t="s">
        <v>1702</v>
      </c>
      <c r="V5" s="676">
        <f>PerA!S3</f>
        <v>0</v>
      </c>
      <c r="W5" s="683"/>
      <c r="X5" s="688">
        <f>PerB!S3</f>
        <v>0</v>
      </c>
      <c r="Y5" s="692"/>
      <c r="Z5" s="676">
        <f>PerC!S3</f>
        <v>0</v>
      </c>
      <c r="AA5" s="683"/>
      <c r="AB5" s="688">
        <f>PerD!S3</f>
        <v>0</v>
      </c>
      <c r="AC5" s="683"/>
      <c r="AD5" s="674"/>
      <c r="AE5" s="674"/>
      <c r="AF5" s="674"/>
      <c r="AG5" s="674"/>
      <c r="AH5" s="674"/>
      <c r="AI5" s="674"/>
      <c r="AJ5" s="674"/>
      <c r="AK5" s="674"/>
      <c r="AL5" s="674"/>
      <c r="AM5" s="674"/>
      <c r="AN5" s="674"/>
      <c r="AO5" s="674"/>
      <c r="AP5" s="674"/>
      <c r="AQ5" s="674"/>
      <c r="AR5" s="674"/>
      <c r="AS5" s="674"/>
      <c r="AT5" s="674"/>
      <c r="AU5" s="674"/>
      <c r="AV5" s="674"/>
      <c r="AW5" s="674"/>
      <c r="AX5" s="674"/>
      <c r="AY5" s="674"/>
      <c r="AZ5" s="674"/>
      <c r="BA5" s="674"/>
      <c r="BB5" s="674"/>
      <c r="BC5" s="674"/>
      <c r="BD5" s="674"/>
      <c r="BE5" s="674"/>
      <c r="BF5" s="674"/>
      <c r="BG5" s="674"/>
      <c r="BH5" s="674"/>
      <c r="BI5" s="674"/>
      <c r="BJ5" s="674"/>
      <c r="BK5" s="674"/>
      <c r="BL5" s="674"/>
      <c r="BM5" s="674"/>
      <c r="BN5" s="674"/>
      <c r="BO5" s="674"/>
      <c r="BP5" s="674"/>
      <c r="BQ5" s="674"/>
      <c r="BR5" s="674"/>
      <c r="BS5" s="674"/>
      <c r="BT5" s="674"/>
      <c r="BU5" s="674"/>
      <c r="BV5" s="674"/>
      <c r="BW5" s="674"/>
      <c r="BX5" s="674"/>
      <c r="BY5" s="674"/>
      <c r="BZ5" s="674"/>
      <c r="CA5" s="674"/>
      <c r="CB5" s="674"/>
      <c r="CC5" s="674"/>
      <c r="CD5" s="674"/>
      <c r="CE5" s="674"/>
      <c r="CF5" s="674"/>
      <c r="CG5" s="674"/>
      <c r="CH5" s="674"/>
      <c r="CI5" s="674"/>
      <c r="CJ5" s="674"/>
      <c r="CK5" s="674"/>
      <c r="CL5" s="674"/>
      <c r="CM5" s="674"/>
      <c r="CN5" s="674"/>
      <c r="CO5" s="674"/>
      <c r="CP5" s="674"/>
      <c r="CQ5" s="674"/>
      <c r="CR5" s="674"/>
      <c r="CS5" s="674"/>
      <c r="CT5" s="674"/>
      <c r="CU5" s="674"/>
      <c r="CV5" s="674"/>
      <c r="CW5" s="674"/>
      <c r="CX5" s="674"/>
      <c r="CY5" s="674"/>
      <c r="CZ5" s="674"/>
      <c r="DA5" s="674"/>
      <c r="DB5" s="674"/>
      <c r="DC5" s="674"/>
      <c r="DD5" s="674"/>
      <c r="DE5" s="674"/>
      <c r="DF5" s="674"/>
      <c r="DG5" s="674"/>
      <c r="DH5" s="674"/>
      <c r="DI5" s="674"/>
      <c r="DJ5" s="674"/>
      <c r="DK5" s="674"/>
      <c r="DL5" s="674"/>
      <c r="DM5" s="674"/>
      <c r="DN5" s="674"/>
      <c r="DO5" s="674"/>
      <c r="DP5" s="674"/>
      <c r="DQ5" s="674"/>
      <c r="DR5" s="674"/>
      <c r="DS5" s="674"/>
      <c r="DT5" s="674"/>
      <c r="DU5" s="674"/>
      <c r="DV5" s="674"/>
      <c r="DW5" s="674"/>
      <c r="DX5" s="674"/>
      <c r="DY5" s="674"/>
      <c r="DZ5" s="674"/>
      <c r="EA5" s="674"/>
      <c r="EB5" s="674"/>
      <c r="EC5" s="674"/>
      <c r="ED5" s="674"/>
      <c r="EE5" s="674"/>
      <c r="EF5" s="674"/>
      <c r="EG5" s="674"/>
      <c r="EH5" s="674"/>
      <c r="EI5" s="674"/>
      <c r="EJ5" s="674"/>
      <c r="EK5" s="674"/>
      <c r="EL5" s="674"/>
      <c r="EM5" s="674"/>
      <c r="EN5" s="674"/>
      <c r="EO5" s="674"/>
      <c r="EP5" s="674"/>
      <c r="EQ5" s="674"/>
      <c r="ER5" s="674"/>
      <c r="ES5" s="674"/>
      <c r="ET5" s="674"/>
      <c r="EU5" s="674"/>
      <c r="EV5" s="674"/>
      <c r="EW5" s="674"/>
      <c r="EX5" s="674"/>
      <c r="EY5" s="674"/>
      <c r="EZ5" s="674"/>
      <c r="FA5" s="674"/>
      <c r="FB5" s="674"/>
      <c r="FC5" s="674"/>
      <c r="FD5" s="674"/>
      <c r="FE5" s="674"/>
      <c r="FF5" s="674"/>
      <c r="FG5" s="674"/>
      <c r="FH5" s="674"/>
    </row>
    <row r="6" spans="1:164" ht="13" customHeight="1" x14ac:dyDescent="0.2">
      <c r="A6" s="47" t="s">
        <v>192</v>
      </c>
      <c r="B6" s="46">
        <v>50</v>
      </c>
      <c r="C6" s="46">
        <v>7</v>
      </c>
      <c r="D6" s="43" t="str">
        <f t="shared" si="0"/>
        <v>Armurerie/50-7</v>
      </c>
      <c r="L6" s="296" t="s">
        <v>1647</v>
      </c>
      <c r="M6" s="678">
        <f>PerA!M6</f>
        <v>0</v>
      </c>
      <c r="N6" s="679"/>
      <c r="O6" s="678">
        <f>PerB!M6</f>
        <v>0</v>
      </c>
      <c r="P6" s="679"/>
      <c r="Q6" s="678">
        <f>PerC!M6</f>
        <v>0</v>
      </c>
      <c r="R6" s="679"/>
      <c r="S6" s="678">
        <f>PerD!M6</f>
        <v>0</v>
      </c>
      <c r="T6" s="679"/>
      <c r="U6" s="699" t="s">
        <v>1703</v>
      </c>
      <c r="V6" s="676">
        <f>PerA!S4</f>
        <v>0</v>
      </c>
      <c r="W6" s="683"/>
      <c r="X6" s="688">
        <f>PerB!S4</f>
        <v>0</v>
      </c>
      <c r="Y6" s="692"/>
      <c r="Z6" s="676">
        <f>PerC!S4</f>
        <v>0</v>
      </c>
      <c r="AA6" s="683"/>
      <c r="AB6" s="688">
        <f>PerD!S4</f>
        <v>0</v>
      </c>
      <c r="AC6" s="683"/>
    </row>
    <row r="7" spans="1:164" s="262" customFormat="1" ht="13" customHeight="1" x14ac:dyDescent="0.2">
      <c r="A7" s="260" t="s">
        <v>193</v>
      </c>
      <c r="B7" s="261">
        <v>90</v>
      </c>
      <c r="C7" s="261">
        <v>9</v>
      </c>
      <c r="D7" s="262" t="str">
        <f t="shared" si="0"/>
        <v>Assassinat/90-9</v>
      </c>
      <c r="L7" s="731" t="s">
        <v>1648</v>
      </c>
      <c r="M7" s="678">
        <f>PerA!M7</f>
        <v>0</v>
      </c>
      <c r="N7" s="679"/>
      <c r="O7" s="678">
        <f>PerB!M7</f>
        <v>50</v>
      </c>
      <c r="P7" s="679"/>
      <c r="Q7" s="678">
        <f>PerC!M7</f>
        <v>0</v>
      </c>
      <c r="R7" s="679"/>
      <c r="S7" s="678">
        <f>PerD!M7</f>
        <v>0</v>
      </c>
      <c r="T7" s="679"/>
      <c r="U7" s="699" t="s">
        <v>1704</v>
      </c>
      <c r="V7" s="676">
        <f>PerA!S5</f>
        <v>0</v>
      </c>
      <c r="W7" s="683"/>
      <c r="X7" s="688">
        <f>PerB!S5</f>
        <v>25</v>
      </c>
      <c r="Y7" s="692"/>
      <c r="Z7" s="676">
        <f>PerC!S5</f>
        <v>20</v>
      </c>
      <c r="AA7" s="683"/>
      <c r="AB7" s="688">
        <f>PerD!S5</f>
        <v>80</v>
      </c>
      <c r="AC7" s="683"/>
      <c r="AD7" s="674"/>
      <c r="AE7" s="674"/>
      <c r="AF7" s="674"/>
      <c r="AG7" s="674"/>
      <c r="AH7" s="674"/>
      <c r="AI7" s="674"/>
      <c r="AJ7" s="674"/>
      <c r="AK7" s="674"/>
      <c r="AL7" s="674"/>
      <c r="AM7" s="674"/>
      <c r="AN7" s="674"/>
      <c r="AO7" s="674"/>
      <c r="AP7" s="674"/>
      <c r="AQ7" s="674"/>
      <c r="AR7" s="674"/>
      <c r="AS7" s="674"/>
      <c r="AT7" s="674"/>
      <c r="AU7" s="674"/>
      <c r="AV7" s="674"/>
      <c r="AW7" s="674"/>
      <c r="AX7" s="674"/>
      <c r="AY7" s="674"/>
      <c r="AZ7" s="674"/>
      <c r="BA7" s="674"/>
      <c r="BB7" s="674"/>
      <c r="BC7" s="674"/>
      <c r="BD7" s="674"/>
      <c r="BE7" s="674"/>
      <c r="BF7" s="674"/>
      <c r="BG7" s="674"/>
      <c r="BH7" s="674"/>
      <c r="BI7" s="674"/>
      <c r="BJ7" s="674"/>
      <c r="BK7" s="674"/>
      <c r="BL7" s="674"/>
      <c r="BM7" s="674"/>
      <c r="BN7" s="674"/>
      <c r="BO7" s="674"/>
      <c r="BP7" s="674"/>
      <c r="BQ7" s="674"/>
      <c r="BR7" s="674"/>
      <c r="BS7" s="674"/>
      <c r="BT7" s="674"/>
      <c r="BU7" s="674"/>
      <c r="BV7" s="674"/>
      <c r="BW7" s="674"/>
      <c r="BX7" s="674"/>
      <c r="BY7" s="674"/>
      <c r="BZ7" s="674"/>
      <c r="CA7" s="674"/>
      <c r="CB7" s="674"/>
      <c r="CC7" s="674"/>
      <c r="CD7" s="674"/>
      <c r="CE7" s="674"/>
      <c r="CF7" s="674"/>
      <c r="CG7" s="674"/>
      <c r="CH7" s="674"/>
      <c r="CI7" s="674"/>
      <c r="CJ7" s="674"/>
      <c r="CK7" s="674"/>
      <c r="CL7" s="674"/>
      <c r="CM7" s="674"/>
      <c r="CN7" s="674"/>
      <c r="CO7" s="674"/>
      <c r="CP7" s="674"/>
      <c r="CQ7" s="674"/>
      <c r="CR7" s="674"/>
      <c r="CS7" s="674"/>
      <c r="CT7" s="674"/>
      <c r="CU7" s="674"/>
      <c r="CV7" s="674"/>
      <c r="CW7" s="674"/>
      <c r="CX7" s="674"/>
      <c r="CY7" s="674"/>
      <c r="CZ7" s="674"/>
      <c r="DA7" s="674"/>
      <c r="DB7" s="674"/>
      <c r="DC7" s="674"/>
      <c r="DD7" s="674"/>
      <c r="DE7" s="674"/>
      <c r="DF7" s="674"/>
      <c r="DG7" s="674"/>
      <c r="DH7" s="674"/>
      <c r="DI7" s="674"/>
      <c r="DJ7" s="674"/>
      <c r="DK7" s="674"/>
      <c r="DL7" s="674"/>
      <c r="DM7" s="674"/>
      <c r="DN7" s="674"/>
      <c r="DO7" s="674"/>
      <c r="DP7" s="674"/>
      <c r="DQ7" s="674"/>
      <c r="DR7" s="674"/>
      <c r="DS7" s="674"/>
      <c r="DT7" s="674"/>
      <c r="DU7" s="674"/>
      <c r="DV7" s="674"/>
      <c r="DW7" s="674"/>
      <c r="DX7" s="674"/>
      <c r="DY7" s="674"/>
      <c r="DZ7" s="674"/>
      <c r="EA7" s="674"/>
      <c r="EB7" s="674"/>
      <c r="EC7" s="674"/>
      <c r="ED7" s="674"/>
      <c r="EE7" s="674"/>
      <c r="EF7" s="674"/>
      <c r="EG7" s="674"/>
      <c r="EH7" s="674"/>
      <c r="EI7" s="674"/>
      <c r="EJ7" s="674"/>
      <c r="EK7" s="674"/>
      <c r="EL7" s="674"/>
      <c r="EM7" s="674"/>
      <c r="EN7" s="674"/>
      <c r="EO7" s="674"/>
      <c r="EP7" s="674"/>
      <c r="EQ7" s="674"/>
      <c r="ER7" s="674"/>
      <c r="ES7" s="674"/>
      <c r="ET7" s="674"/>
      <c r="EU7" s="674"/>
      <c r="EV7" s="674"/>
      <c r="EW7" s="674"/>
      <c r="EX7" s="674"/>
      <c r="EY7" s="674"/>
      <c r="EZ7" s="674"/>
      <c r="FA7" s="674"/>
      <c r="FB7" s="674"/>
      <c r="FC7" s="674"/>
      <c r="FD7" s="674"/>
      <c r="FE7" s="674"/>
      <c r="FF7" s="674"/>
      <c r="FG7" s="674"/>
      <c r="FH7" s="674"/>
    </row>
    <row r="8" spans="1:164" ht="13" customHeight="1" x14ac:dyDescent="0.2">
      <c r="A8" s="47" t="s">
        <v>194</v>
      </c>
      <c r="B8" s="46">
        <v>70</v>
      </c>
      <c r="C8" s="46">
        <v>9</v>
      </c>
      <c r="D8" s="43" t="str">
        <f t="shared" si="0"/>
        <v>Astrologie/70-9</v>
      </c>
      <c r="L8" s="296" t="s">
        <v>1649</v>
      </c>
      <c r="M8" s="678">
        <f>PerA!M8</f>
        <v>0</v>
      </c>
      <c r="N8" s="679"/>
      <c r="O8" s="678">
        <f>PerB!M8</f>
        <v>0</v>
      </c>
      <c r="P8" s="679"/>
      <c r="Q8" s="678">
        <f>PerC!M8</f>
        <v>0</v>
      </c>
      <c r="R8" s="679"/>
      <c r="S8" s="678">
        <f>PerD!M8</f>
        <v>0</v>
      </c>
      <c r="T8" s="679"/>
      <c r="U8" s="732" t="s">
        <v>1705</v>
      </c>
      <c r="V8" s="676">
        <f>PerA!S6</f>
        <v>0</v>
      </c>
      <c r="W8" s="683"/>
      <c r="X8" s="688">
        <f>PerB!S6</f>
        <v>0</v>
      </c>
      <c r="Y8" s="692"/>
      <c r="Z8" s="676">
        <f>PerC!S6</f>
        <v>57</v>
      </c>
      <c r="AA8" s="683"/>
      <c r="AB8" s="688">
        <f>PerD!S6</f>
        <v>0</v>
      </c>
      <c r="AC8" s="683"/>
    </row>
    <row r="9" spans="1:164" s="262" customFormat="1" ht="13" customHeight="1" x14ac:dyDescent="0.2">
      <c r="A9" s="260" t="s">
        <v>1005</v>
      </c>
      <c r="B9" s="261">
        <v>10</v>
      </c>
      <c r="C9" s="261">
        <v>4</v>
      </c>
      <c r="D9" s="262" t="str">
        <f t="shared" si="0"/>
        <v>Baratin/10-4</v>
      </c>
      <c r="L9" s="296" t="s">
        <v>1650</v>
      </c>
      <c r="M9" s="678">
        <f>PerA!M9</f>
        <v>0</v>
      </c>
      <c r="N9" s="679"/>
      <c r="O9" s="678">
        <f>PerB!M9</f>
        <v>21</v>
      </c>
      <c r="P9" s="679"/>
      <c r="Q9" s="678">
        <f>PerC!M9</f>
        <v>6</v>
      </c>
      <c r="R9" s="679"/>
      <c r="S9" s="678">
        <f>PerD!M9</f>
        <v>0</v>
      </c>
      <c r="T9" s="679"/>
      <c r="U9" s="699" t="s">
        <v>1706</v>
      </c>
      <c r="V9" s="676">
        <f>PerA!S7</f>
        <v>0</v>
      </c>
      <c r="W9" s="683"/>
      <c r="X9" s="688">
        <f>PerB!S7</f>
        <v>0</v>
      </c>
      <c r="Y9" s="692"/>
      <c r="Z9" s="676">
        <f>PerC!S7</f>
        <v>36</v>
      </c>
      <c r="AA9" s="683"/>
      <c r="AB9" s="688">
        <f>PerD!S7</f>
        <v>0</v>
      </c>
      <c r="AC9" s="683"/>
      <c r="AD9" s="674"/>
      <c r="AE9" s="674"/>
      <c r="AF9" s="674"/>
      <c r="AG9" s="674"/>
      <c r="AH9" s="674"/>
      <c r="AI9" s="674"/>
      <c r="AJ9" s="674"/>
      <c r="AK9" s="674"/>
      <c r="AL9" s="674"/>
      <c r="AM9" s="674"/>
      <c r="AN9" s="674"/>
      <c r="AO9" s="674"/>
      <c r="AP9" s="674"/>
      <c r="AQ9" s="674"/>
      <c r="AR9" s="674"/>
      <c r="AS9" s="674"/>
      <c r="AT9" s="674"/>
      <c r="AU9" s="674"/>
      <c r="AV9" s="674"/>
      <c r="AW9" s="674"/>
      <c r="AX9" s="674"/>
      <c r="AY9" s="674"/>
      <c r="AZ9" s="674"/>
      <c r="BA9" s="674"/>
      <c r="BB9" s="674"/>
      <c r="BC9" s="674"/>
      <c r="BD9" s="674"/>
      <c r="BE9" s="674"/>
      <c r="BF9" s="674"/>
      <c r="BG9" s="674"/>
      <c r="BH9" s="674"/>
      <c r="BI9" s="674"/>
      <c r="BJ9" s="674"/>
      <c r="BK9" s="674"/>
      <c r="BL9" s="674"/>
      <c r="BM9" s="674"/>
      <c r="BN9" s="674"/>
      <c r="BO9" s="674"/>
      <c r="BP9" s="674"/>
      <c r="BQ9" s="674"/>
      <c r="BR9" s="674"/>
      <c r="BS9" s="674"/>
      <c r="BT9" s="674"/>
      <c r="BU9" s="674"/>
      <c r="BV9" s="674"/>
      <c r="BW9" s="674"/>
      <c r="BX9" s="674"/>
      <c r="BY9" s="674"/>
      <c r="BZ9" s="674"/>
      <c r="CA9" s="674"/>
      <c r="CB9" s="674"/>
      <c r="CC9" s="674"/>
      <c r="CD9" s="674"/>
      <c r="CE9" s="674"/>
      <c r="CF9" s="674"/>
      <c r="CG9" s="674"/>
      <c r="CH9" s="674"/>
      <c r="CI9" s="674"/>
      <c r="CJ9" s="674"/>
      <c r="CK9" s="674"/>
      <c r="CL9" s="674"/>
      <c r="CM9" s="674"/>
      <c r="CN9" s="674"/>
      <c r="CO9" s="674"/>
      <c r="CP9" s="674"/>
      <c r="CQ9" s="674"/>
      <c r="CR9" s="674"/>
      <c r="CS9" s="674"/>
      <c r="CT9" s="674"/>
      <c r="CU9" s="674"/>
      <c r="CV9" s="674"/>
      <c r="CW9" s="674"/>
      <c r="CX9" s="674"/>
      <c r="CY9" s="674"/>
      <c r="CZ9" s="674"/>
      <c r="DA9" s="674"/>
      <c r="DB9" s="674"/>
      <c r="DC9" s="674"/>
      <c r="DD9" s="674"/>
      <c r="DE9" s="674"/>
      <c r="DF9" s="674"/>
      <c r="DG9" s="674"/>
      <c r="DH9" s="674"/>
      <c r="DI9" s="674"/>
      <c r="DJ9" s="674"/>
      <c r="DK9" s="674"/>
      <c r="DL9" s="674"/>
      <c r="DM9" s="674"/>
      <c r="DN9" s="674"/>
      <c r="DO9" s="674"/>
      <c r="DP9" s="674"/>
      <c r="DQ9" s="674"/>
      <c r="DR9" s="674"/>
      <c r="DS9" s="674"/>
      <c r="DT9" s="674"/>
      <c r="DU9" s="674"/>
      <c r="DV9" s="674"/>
      <c r="DW9" s="674"/>
      <c r="DX9" s="674"/>
      <c r="DY9" s="674"/>
      <c r="DZ9" s="674"/>
      <c r="EA9" s="674"/>
      <c r="EB9" s="674"/>
      <c r="EC9" s="674"/>
      <c r="ED9" s="674"/>
      <c r="EE9" s="674"/>
      <c r="EF9" s="674"/>
      <c r="EG9" s="674"/>
      <c r="EH9" s="674"/>
      <c r="EI9" s="674"/>
      <c r="EJ9" s="674"/>
      <c r="EK9" s="674"/>
      <c r="EL9" s="674"/>
      <c r="EM9" s="674"/>
      <c r="EN9" s="674"/>
      <c r="EO9" s="674"/>
      <c r="EP9" s="674"/>
      <c r="EQ9" s="674"/>
      <c r="ER9" s="674"/>
      <c r="ES9" s="674"/>
      <c r="ET9" s="674"/>
      <c r="EU9" s="674"/>
      <c r="EV9" s="674"/>
      <c r="EW9" s="674"/>
      <c r="EX9" s="674"/>
      <c r="EY9" s="674"/>
      <c r="EZ9" s="674"/>
      <c r="FA9" s="674"/>
      <c r="FB9" s="674"/>
      <c r="FC9" s="674"/>
      <c r="FD9" s="674"/>
      <c r="FE9" s="674"/>
      <c r="FF9" s="674"/>
      <c r="FG9" s="674"/>
      <c r="FH9" s="674"/>
    </row>
    <row r="10" spans="1:164" ht="13" customHeight="1" x14ac:dyDescent="0.2">
      <c r="A10" s="47" t="s">
        <v>195</v>
      </c>
      <c r="B10" s="46">
        <v>20</v>
      </c>
      <c r="C10" s="46">
        <v>4</v>
      </c>
      <c r="D10" s="43" t="str">
        <f t="shared" si="0"/>
        <v>Brasserie/20-4</v>
      </c>
      <c r="L10" s="296" t="s">
        <v>1651</v>
      </c>
      <c r="M10" s="678">
        <f>PerA!M10</f>
        <v>0</v>
      </c>
      <c r="N10" s="679"/>
      <c r="O10" s="678">
        <f>PerB!M10</f>
        <v>0</v>
      </c>
      <c r="P10" s="679"/>
      <c r="Q10" s="678">
        <f>PerC!M10</f>
        <v>0</v>
      </c>
      <c r="R10" s="679"/>
      <c r="S10" s="678">
        <f>PerD!M10</f>
        <v>0</v>
      </c>
      <c r="T10" s="679"/>
      <c r="U10" s="699" t="s">
        <v>1707</v>
      </c>
      <c r="V10" s="676">
        <f>PerA!S8</f>
        <v>0</v>
      </c>
      <c r="W10" s="683"/>
      <c r="X10" s="688">
        <f>PerB!S8</f>
        <v>0</v>
      </c>
      <c r="Y10" s="692"/>
      <c r="Z10" s="676">
        <f>PerC!S8</f>
        <v>0</v>
      </c>
      <c r="AA10" s="683"/>
      <c r="AB10" s="688">
        <f>PerD!S8</f>
        <v>0</v>
      </c>
      <c r="AC10" s="683"/>
    </row>
    <row r="11" spans="1:164" s="262" customFormat="1" ht="13" customHeight="1" x14ac:dyDescent="0.2">
      <c r="A11" s="260" t="s">
        <v>274</v>
      </c>
      <c r="B11" s="261">
        <v>40</v>
      </c>
      <c r="C11" s="261">
        <v>6</v>
      </c>
      <c r="D11" s="262" t="str">
        <f t="shared" si="0"/>
        <v>Calligraphie + /40-6</v>
      </c>
      <c r="L11" s="642" t="s">
        <v>1652</v>
      </c>
      <c r="M11" s="678">
        <f>PerA!M11</f>
        <v>0</v>
      </c>
      <c r="N11" s="679"/>
      <c r="O11" s="678">
        <f>PerB!M11</f>
        <v>0</v>
      </c>
      <c r="P11" s="679"/>
      <c r="Q11" s="678">
        <f>PerC!M11</f>
        <v>0</v>
      </c>
      <c r="R11" s="679"/>
      <c r="S11" s="678">
        <f>PerD!M11</f>
        <v>0</v>
      </c>
      <c r="T11" s="679"/>
      <c r="U11" s="699" t="s">
        <v>1708</v>
      </c>
      <c r="V11" s="676">
        <f>PerA!S9</f>
        <v>0</v>
      </c>
      <c r="W11" s="683"/>
      <c r="X11" s="688">
        <f>PerB!S9</f>
        <v>0</v>
      </c>
      <c r="Y11" s="692"/>
      <c r="Z11" s="676">
        <f>PerC!S9</f>
        <v>0</v>
      </c>
      <c r="AA11" s="683"/>
      <c r="AB11" s="688">
        <f>PerD!S9</f>
        <v>0</v>
      </c>
      <c r="AC11" s="683"/>
      <c r="AD11" s="674"/>
      <c r="AE11" s="674"/>
      <c r="AF11" s="674"/>
      <c r="AG11" s="674"/>
      <c r="AH11" s="674"/>
      <c r="AI11" s="674"/>
      <c r="AJ11" s="674"/>
      <c r="AK11" s="674"/>
      <c r="AL11" s="674"/>
      <c r="AM11" s="674"/>
      <c r="AN11" s="674"/>
      <c r="AO11" s="674"/>
      <c r="AP11" s="674"/>
      <c r="AQ11" s="674"/>
      <c r="AR11" s="674"/>
      <c r="AS11" s="674"/>
      <c r="AT11" s="674"/>
      <c r="AU11" s="674"/>
      <c r="AV11" s="674"/>
      <c r="AW11" s="674"/>
      <c r="AX11" s="674"/>
      <c r="AY11" s="674"/>
      <c r="AZ11" s="674"/>
      <c r="BA11" s="674"/>
      <c r="BB11" s="674"/>
      <c r="BC11" s="674"/>
      <c r="BD11" s="674"/>
      <c r="BE11" s="674"/>
      <c r="BF11" s="674"/>
      <c r="BG11" s="674"/>
      <c r="BH11" s="674"/>
      <c r="BI11" s="674"/>
      <c r="BJ11" s="674"/>
      <c r="BK11" s="674"/>
      <c r="BL11" s="674"/>
      <c r="BM11" s="674"/>
      <c r="BN11" s="674"/>
      <c r="BO11" s="674"/>
      <c r="BP11" s="674"/>
      <c r="BQ11" s="674"/>
      <c r="BR11" s="674"/>
      <c r="BS11" s="674"/>
      <c r="BT11" s="674"/>
      <c r="BU11" s="674"/>
      <c r="BV11" s="674"/>
      <c r="BW11" s="674"/>
      <c r="BX11" s="674"/>
      <c r="BY11" s="674"/>
      <c r="BZ11" s="674"/>
      <c r="CA11" s="674"/>
      <c r="CB11" s="674"/>
      <c r="CC11" s="674"/>
      <c r="CD11" s="674"/>
      <c r="CE11" s="674"/>
      <c r="CF11" s="674"/>
      <c r="CG11" s="674"/>
      <c r="CH11" s="674"/>
      <c r="CI11" s="674"/>
      <c r="CJ11" s="674"/>
      <c r="CK11" s="674"/>
      <c r="CL11" s="674"/>
      <c r="CM11" s="674"/>
      <c r="CN11" s="674"/>
      <c r="CO11" s="674"/>
      <c r="CP11" s="674"/>
      <c r="CQ11" s="674"/>
      <c r="CR11" s="674"/>
      <c r="CS11" s="674"/>
      <c r="CT11" s="674"/>
      <c r="CU11" s="674"/>
      <c r="CV11" s="674"/>
      <c r="CW11" s="674"/>
      <c r="CX11" s="674"/>
      <c r="CY11" s="674"/>
      <c r="CZ11" s="674"/>
      <c r="DA11" s="674"/>
      <c r="DB11" s="674"/>
      <c r="DC11" s="674"/>
      <c r="DD11" s="674"/>
      <c r="DE11" s="674"/>
      <c r="DF11" s="674"/>
      <c r="DG11" s="674"/>
      <c r="DH11" s="674"/>
      <c r="DI11" s="674"/>
      <c r="DJ11" s="674"/>
      <c r="DK11" s="674"/>
      <c r="DL11" s="674"/>
      <c r="DM11" s="674"/>
      <c r="DN11" s="674"/>
      <c r="DO11" s="674"/>
      <c r="DP11" s="674"/>
      <c r="DQ11" s="674"/>
      <c r="DR11" s="674"/>
      <c r="DS11" s="674"/>
      <c r="DT11" s="674"/>
      <c r="DU11" s="674"/>
      <c r="DV11" s="674"/>
      <c r="DW11" s="674"/>
      <c r="DX11" s="674"/>
      <c r="DY11" s="674"/>
      <c r="DZ11" s="674"/>
      <c r="EA11" s="674"/>
      <c r="EB11" s="674"/>
      <c r="EC11" s="674"/>
      <c r="ED11" s="674"/>
      <c r="EE11" s="674"/>
      <c r="EF11" s="674"/>
      <c r="EG11" s="674"/>
      <c r="EH11" s="674"/>
      <c r="EI11" s="674"/>
      <c r="EJ11" s="674"/>
      <c r="EK11" s="674"/>
      <c r="EL11" s="674"/>
      <c r="EM11" s="674"/>
      <c r="EN11" s="674"/>
      <c r="EO11" s="674"/>
      <c r="EP11" s="674"/>
      <c r="EQ11" s="674"/>
      <c r="ER11" s="674"/>
      <c r="ES11" s="674"/>
      <c r="ET11" s="674"/>
      <c r="EU11" s="674"/>
      <c r="EV11" s="674"/>
      <c r="EW11" s="674"/>
      <c r="EX11" s="674"/>
      <c r="EY11" s="674"/>
      <c r="EZ11" s="674"/>
      <c r="FA11" s="674"/>
      <c r="FB11" s="674"/>
      <c r="FC11" s="674"/>
      <c r="FD11" s="674"/>
      <c r="FE11" s="674"/>
      <c r="FF11" s="674"/>
      <c r="FG11" s="674"/>
      <c r="FH11" s="674"/>
    </row>
    <row r="12" spans="1:164" ht="13" customHeight="1" x14ac:dyDescent="0.2">
      <c r="A12" s="47" t="s">
        <v>196</v>
      </c>
      <c r="B12" s="46">
        <v>80</v>
      </c>
      <c r="C12" s="46">
        <v>9</v>
      </c>
      <c r="D12" s="43" t="str">
        <f t="shared" si="0"/>
        <v>cartographie/80-9</v>
      </c>
      <c r="L12" s="296" t="s">
        <v>1653</v>
      </c>
      <c r="M12" s="678">
        <f>PerA!M12</f>
        <v>0</v>
      </c>
      <c r="N12" s="679"/>
      <c r="O12" s="678">
        <f>PerB!M12</f>
        <v>0</v>
      </c>
      <c r="P12" s="679"/>
      <c r="Q12" s="678">
        <f>PerC!M12</f>
        <v>0</v>
      </c>
      <c r="R12" s="679"/>
      <c r="S12" s="678">
        <f>PerD!M12</f>
        <v>0</v>
      </c>
      <c r="T12" s="679"/>
      <c r="U12" s="699" t="s">
        <v>1709</v>
      </c>
      <c r="V12" s="676">
        <f>PerA!S10</f>
        <v>22</v>
      </c>
      <c r="W12" s="683"/>
      <c r="X12" s="688">
        <f>PerB!S10</f>
        <v>0</v>
      </c>
      <c r="Y12" s="692"/>
      <c r="Z12" s="676">
        <f>PerC!S10</f>
        <v>0</v>
      </c>
      <c r="AA12" s="683"/>
      <c r="AB12" s="688">
        <f>PerD!S10</f>
        <v>0</v>
      </c>
      <c r="AC12" s="683"/>
    </row>
    <row r="13" spans="1:164" s="262" customFormat="1" ht="13" customHeight="1" x14ac:dyDescent="0.2">
      <c r="A13" s="260" t="s">
        <v>197</v>
      </c>
      <c r="B13" s="261">
        <v>80</v>
      </c>
      <c r="C13" s="261">
        <v>7</v>
      </c>
      <c r="D13" s="262" t="str">
        <f t="shared" si="0"/>
        <v>Cavalerie/80-7</v>
      </c>
      <c r="L13" s="731" t="s">
        <v>1654</v>
      </c>
      <c r="M13" s="678">
        <f>PerA!M13</f>
        <v>0</v>
      </c>
      <c r="N13" s="679"/>
      <c r="O13" s="678">
        <f>PerB!M13</f>
        <v>0</v>
      </c>
      <c r="P13" s="679"/>
      <c r="Q13" s="678">
        <f>PerC!M13</f>
        <v>60</v>
      </c>
      <c r="R13" s="679"/>
      <c r="S13" s="678">
        <f>PerD!M13</f>
        <v>0</v>
      </c>
      <c r="T13" s="679"/>
      <c r="U13" s="699" t="s">
        <v>1710</v>
      </c>
      <c r="V13" s="676">
        <f>PerA!S11</f>
        <v>75</v>
      </c>
      <c r="W13" s="683"/>
      <c r="X13" s="688">
        <f>PerB!S11</f>
        <v>0</v>
      </c>
      <c r="Y13" s="692"/>
      <c r="Z13" s="676">
        <f>PerC!S11</f>
        <v>0</v>
      </c>
      <c r="AA13" s="683"/>
      <c r="AB13" s="688">
        <f>PerD!S11</f>
        <v>0</v>
      </c>
      <c r="AC13" s="683"/>
      <c r="AD13" s="674"/>
      <c r="AE13" s="674"/>
      <c r="AF13" s="674"/>
      <c r="AG13" s="674"/>
      <c r="AH13" s="674"/>
      <c r="AI13" s="674"/>
      <c r="AJ13" s="674"/>
      <c r="AK13" s="674"/>
      <c r="AL13" s="674"/>
      <c r="AM13" s="674"/>
      <c r="AN13" s="674"/>
      <c r="AO13" s="674"/>
      <c r="AP13" s="674"/>
      <c r="AQ13" s="674"/>
      <c r="AR13" s="674"/>
      <c r="AS13" s="674"/>
      <c r="AT13" s="674"/>
      <c r="AU13" s="674"/>
      <c r="AV13" s="674"/>
      <c r="AW13" s="674"/>
      <c r="AX13" s="674"/>
      <c r="AY13" s="674"/>
      <c r="AZ13" s="674"/>
      <c r="BA13" s="674"/>
      <c r="BB13" s="674"/>
      <c r="BC13" s="674"/>
      <c r="BD13" s="674"/>
      <c r="BE13" s="674"/>
      <c r="BF13" s="674"/>
      <c r="BG13" s="674"/>
      <c r="BH13" s="674"/>
      <c r="BI13" s="674"/>
      <c r="BJ13" s="674"/>
      <c r="BK13" s="674"/>
      <c r="BL13" s="674"/>
      <c r="BM13" s="674"/>
      <c r="BN13" s="674"/>
      <c r="BO13" s="674"/>
      <c r="BP13" s="674"/>
      <c r="BQ13" s="674"/>
      <c r="BR13" s="674"/>
      <c r="BS13" s="674"/>
      <c r="BT13" s="674"/>
      <c r="BU13" s="674"/>
      <c r="BV13" s="674"/>
      <c r="BW13" s="674"/>
      <c r="BX13" s="674"/>
      <c r="BY13" s="674"/>
      <c r="BZ13" s="674"/>
      <c r="CA13" s="674"/>
      <c r="CB13" s="674"/>
      <c r="CC13" s="674"/>
      <c r="CD13" s="674"/>
      <c r="CE13" s="674"/>
      <c r="CF13" s="674"/>
      <c r="CG13" s="674"/>
      <c r="CH13" s="674"/>
      <c r="CI13" s="674"/>
      <c r="CJ13" s="674"/>
      <c r="CK13" s="674"/>
      <c r="CL13" s="674"/>
      <c r="CM13" s="674"/>
      <c r="CN13" s="674"/>
      <c r="CO13" s="674"/>
      <c r="CP13" s="674"/>
      <c r="CQ13" s="674"/>
      <c r="CR13" s="674"/>
      <c r="CS13" s="674"/>
      <c r="CT13" s="674"/>
      <c r="CU13" s="674"/>
      <c r="CV13" s="674"/>
      <c r="CW13" s="674"/>
      <c r="CX13" s="674"/>
      <c r="CY13" s="674"/>
      <c r="CZ13" s="674"/>
      <c r="DA13" s="674"/>
      <c r="DB13" s="674"/>
      <c r="DC13" s="674"/>
      <c r="DD13" s="674"/>
      <c r="DE13" s="674"/>
      <c r="DF13" s="674"/>
      <c r="DG13" s="674"/>
      <c r="DH13" s="674"/>
      <c r="DI13" s="674"/>
      <c r="DJ13" s="674"/>
      <c r="DK13" s="674"/>
      <c r="DL13" s="674"/>
      <c r="DM13" s="674"/>
      <c r="DN13" s="674"/>
      <c r="DO13" s="674"/>
      <c r="DP13" s="674"/>
      <c r="DQ13" s="674"/>
      <c r="DR13" s="674"/>
      <c r="DS13" s="674"/>
      <c r="DT13" s="674"/>
      <c r="DU13" s="674"/>
      <c r="DV13" s="674"/>
      <c r="DW13" s="674"/>
      <c r="DX13" s="674"/>
      <c r="DY13" s="674"/>
      <c r="DZ13" s="674"/>
      <c r="EA13" s="674"/>
      <c r="EB13" s="674"/>
      <c r="EC13" s="674"/>
      <c r="ED13" s="674"/>
      <c r="EE13" s="674"/>
      <c r="EF13" s="674"/>
      <c r="EG13" s="674"/>
      <c r="EH13" s="674"/>
      <c r="EI13" s="674"/>
      <c r="EJ13" s="674"/>
      <c r="EK13" s="674"/>
      <c r="EL13" s="674"/>
      <c r="EM13" s="674"/>
      <c r="EN13" s="674"/>
      <c r="EO13" s="674"/>
      <c r="EP13" s="674"/>
      <c r="EQ13" s="674"/>
      <c r="ER13" s="674"/>
      <c r="ES13" s="674"/>
      <c r="ET13" s="674"/>
      <c r="EU13" s="674"/>
      <c r="EV13" s="674"/>
      <c r="EW13" s="674"/>
      <c r="EX13" s="674"/>
      <c r="EY13" s="674"/>
      <c r="EZ13" s="674"/>
      <c r="FA13" s="674"/>
      <c r="FB13" s="674"/>
      <c r="FC13" s="674"/>
      <c r="FD13" s="674"/>
      <c r="FE13" s="674"/>
      <c r="FF13" s="674"/>
      <c r="FG13" s="674"/>
      <c r="FH13" s="674"/>
    </row>
    <row r="14" spans="1:164" ht="13" customHeight="1" x14ac:dyDescent="0.2">
      <c r="A14" s="47" t="s">
        <v>198</v>
      </c>
      <c r="B14" s="46">
        <v>30</v>
      </c>
      <c r="C14" s="46">
        <v>6</v>
      </c>
      <c r="D14" s="43" t="str">
        <f t="shared" si="0"/>
        <v>Chant/30-6</v>
      </c>
      <c r="L14" s="296" t="s">
        <v>1655</v>
      </c>
      <c r="M14" s="678">
        <f>PerA!M14</f>
        <v>0</v>
      </c>
      <c r="N14" s="679"/>
      <c r="O14" s="678">
        <f>PerB!M14</f>
        <v>0</v>
      </c>
      <c r="P14" s="679"/>
      <c r="Q14" s="678">
        <f>PerC!M14</f>
        <v>0</v>
      </c>
      <c r="R14" s="679"/>
      <c r="S14" s="678">
        <f>PerD!M14</f>
        <v>0</v>
      </c>
      <c r="T14" s="679"/>
      <c r="U14" s="699" t="s">
        <v>1711</v>
      </c>
      <c r="V14" s="676">
        <f>PerA!S12</f>
        <v>0</v>
      </c>
      <c r="W14" s="683"/>
      <c r="X14" s="688">
        <f>PerB!S12</f>
        <v>0</v>
      </c>
      <c r="Y14" s="692"/>
      <c r="Z14" s="676">
        <f>PerC!S12</f>
        <v>17</v>
      </c>
      <c r="AA14" s="683"/>
      <c r="AB14" s="688">
        <f>PerD!S12</f>
        <v>0</v>
      </c>
      <c r="AC14" s="683"/>
    </row>
    <row r="15" spans="1:164" s="262" customFormat="1" ht="13" customHeight="1" x14ac:dyDescent="0.2">
      <c r="A15" s="260" t="s">
        <v>199</v>
      </c>
      <c r="B15" s="261">
        <v>20</v>
      </c>
      <c r="C15" s="261">
        <v>7</v>
      </c>
      <c r="D15" s="262" t="str">
        <f t="shared" si="0"/>
        <v>Charpente/20-7</v>
      </c>
      <c r="L15" s="296" t="s">
        <v>1656</v>
      </c>
      <c r="M15" s="678">
        <f>PerA!M15</f>
        <v>0</v>
      </c>
      <c r="N15" s="679"/>
      <c r="O15" s="678">
        <f>PerB!M15</f>
        <v>0</v>
      </c>
      <c r="P15" s="679"/>
      <c r="Q15" s="678">
        <f>PerC!M15</f>
        <v>0</v>
      </c>
      <c r="R15" s="679"/>
      <c r="S15" s="678">
        <f>PerD!M15</f>
        <v>0</v>
      </c>
      <c r="T15" s="679"/>
      <c r="U15" s="699" t="s">
        <v>1712</v>
      </c>
      <c r="V15" s="676">
        <f>PerA!S13</f>
        <v>15</v>
      </c>
      <c r="W15" s="683"/>
      <c r="X15" s="688">
        <f>PerB!S13</f>
        <v>0</v>
      </c>
      <c r="Y15" s="692"/>
      <c r="Z15" s="676">
        <f>PerC!S13</f>
        <v>0</v>
      </c>
      <c r="AA15" s="683"/>
      <c r="AB15" s="688">
        <f>PerD!S13</f>
        <v>0</v>
      </c>
      <c r="AC15" s="683"/>
      <c r="AD15" s="674"/>
      <c r="AE15" s="674"/>
      <c r="AF15" s="674"/>
      <c r="AG15" s="674"/>
      <c r="AH15" s="674"/>
      <c r="AI15" s="674"/>
      <c r="AJ15" s="674"/>
      <c r="AK15" s="674"/>
      <c r="AL15" s="674"/>
      <c r="AM15" s="674"/>
      <c r="AN15" s="674"/>
      <c r="AO15" s="674"/>
      <c r="AP15" s="674"/>
      <c r="AQ15" s="674"/>
      <c r="AR15" s="674"/>
      <c r="AS15" s="674"/>
      <c r="AT15" s="674"/>
      <c r="AU15" s="674"/>
      <c r="AV15" s="674"/>
      <c r="AW15" s="674"/>
      <c r="AX15" s="674"/>
      <c r="AY15" s="674"/>
      <c r="AZ15" s="674"/>
      <c r="BA15" s="674"/>
      <c r="BB15" s="674"/>
      <c r="BC15" s="674"/>
      <c r="BD15" s="674"/>
      <c r="BE15" s="674"/>
      <c r="BF15" s="674"/>
      <c r="BG15" s="674"/>
      <c r="BH15" s="674"/>
      <c r="BI15" s="674"/>
      <c r="BJ15" s="674"/>
      <c r="BK15" s="674"/>
      <c r="BL15" s="674"/>
      <c r="BM15" s="674"/>
      <c r="BN15" s="674"/>
      <c r="BO15" s="674"/>
      <c r="BP15" s="674"/>
      <c r="BQ15" s="674"/>
      <c r="BR15" s="674"/>
      <c r="BS15" s="674"/>
      <c r="BT15" s="674"/>
      <c r="BU15" s="674"/>
      <c r="BV15" s="674"/>
      <c r="BW15" s="674"/>
      <c r="BX15" s="674"/>
      <c r="BY15" s="674"/>
      <c r="BZ15" s="674"/>
      <c r="CA15" s="674"/>
      <c r="CB15" s="674"/>
      <c r="CC15" s="674"/>
      <c r="CD15" s="674"/>
      <c r="CE15" s="674"/>
      <c r="CF15" s="674"/>
      <c r="CG15" s="674"/>
      <c r="CH15" s="674"/>
      <c r="CI15" s="674"/>
      <c r="CJ15" s="674"/>
      <c r="CK15" s="674"/>
      <c r="CL15" s="674"/>
      <c r="CM15" s="674"/>
      <c r="CN15" s="674"/>
      <c r="CO15" s="674"/>
      <c r="CP15" s="674"/>
      <c r="CQ15" s="674"/>
      <c r="CR15" s="674"/>
      <c r="CS15" s="674"/>
      <c r="CT15" s="674"/>
      <c r="CU15" s="674"/>
      <c r="CV15" s="674"/>
      <c r="CW15" s="674"/>
      <c r="CX15" s="674"/>
      <c r="CY15" s="674"/>
      <c r="CZ15" s="674"/>
      <c r="DA15" s="674"/>
      <c r="DB15" s="674"/>
      <c r="DC15" s="674"/>
      <c r="DD15" s="674"/>
      <c r="DE15" s="674"/>
      <c r="DF15" s="674"/>
      <c r="DG15" s="674"/>
      <c r="DH15" s="674"/>
      <c r="DI15" s="674"/>
      <c r="DJ15" s="674"/>
      <c r="DK15" s="674"/>
      <c r="DL15" s="674"/>
      <c r="DM15" s="674"/>
      <c r="DN15" s="674"/>
      <c r="DO15" s="674"/>
      <c r="DP15" s="674"/>
      <c r="DQ15" s="674"/>
      <c r="DR15" s="674"/>
      <c r="DS15" s="674"/>
      <c r="DT15" s="674"/>
      <c r="DU15" s="674"/>
      <c r="DV15" s="674"/>
      <c r="DW15" s="674"/>
      <c r="DX15" s="674"/>
      <c r="DY15" s="674"/>
      <c r="DZ15" s="674"/>
      <c r="EA15" s="674"/>
      <c r="EB15" s="674"/>
      <c r="EC15" s="674"/>
      <c r="ED15" s="674"/>
      <c r="EE15" s="674"/>
      <c r="EF15" s="674"/>
      <c r="EG15" s="674"/>
      <c r="EH15" s="674"/>
      <c r="EI15" s="674"/>
      <c r="EJ15" s="674"/>
      <c r="EK15" s="674"/>
      <c r="EL15" s="674"/>
      <c r="EM15" s="674"/>
      <c r="EN15" s="674"/>
      <c r="EO15" s="674"/>
      <c r="EP15" s="674"/>
      <c r="EQ15" s="674"/>
      <c r="ER15" s="674"/>
      <c r="ES15" s="674"/>
      <c r="ET15" s="674"/>
      <c r="EU15" s="674"/>
      <c r="EV15" s="674"/>
      <c r="EW15" s="674"/>
      <c r="EX15" s="674"/>
      <c r="EY15" s="674"/>
      <c r="EZ15" s="674"/>
      <c r="FA15" s="674"/>
      <c r="FB15" s="674"/>
      <c r="FC15" s="674"/>
      <c r="FD15" s="674"/>
      <c r="FE15" s="674"/>
      <c r="FF15" s="674"/>
      <c r="FG15" s="674"/>
      <c r="FH15" s="674"/>
    </row>
    <row r="16" spans="1:164" ht="13" customHeight="1" x14ac:dyDescent="0.2">
      <c r="A16" s="47" t="s">
        <v>200</v>
      </c>
      <c r="B16" s="46">
        <v>50</v>
      </c>
      <c r="C16" s="46">
        <v>6</v>
      </c>
      <c r="D16" s="43" t="str">
        <f t="shared" si="0"/>
        <v>Chasse/50-6</v>
      </c>
      <c r="L16" s="296" t="s">
        <v>1657</v>
      </c>
      <c r="M16" s="678">
        <f>PerA!M16</f>
        <v>0</v>
      </c>
      <c r="N16" s="679"/>
      <c r="O16" s="678">
        <f>PerB!M16</f>
        <v>0</v>
      </c>
      <c r="P16" s="679"/>
      <c r="Q16" s="678">
        <f>PerC!M16</f>
        <v>73</v>
      </c>
      <c r="R16" s="679"/>
      <c r="S16" s="678">
        <f>PerD!M16</f>
        <v>0</v>
      </c>
      <c r="T16" s="679"/>
      <c r="U16" s="699" t="s">
        <v>1713</v>
      </c>
      <c r="V16" s="676">
        <f>PerA!S14</f>
        <v>0</v>
      </c>
      <c r="W16" s="683"/>
      <c r="X16" s="688">
        <f>PerB!S14</f>
        <v>0</v>
      </c>
      <c r="Y16" s="692"/>
      <c r="Z16" s="676">
        <f>PerC!S14</f>
        <v>0</v>
      </c>
      <c r="AA16" s="683"/>
      <c r="AB16" s="688">
        <f>PerD!S14</f>
        <v>0</v>
      </c>
      <c r="AC16" s="683"/>
    </row>
    <row r="17" spans="1:164" s="262" customFormat="1" ht="13" customHeight="1" x14ac:dyDescent="0.2">
      <c r="A17" s="260" t="s">
        <v>201</v>
      </c>
      <c r="B17" s="261">
        <v>30</v>
      </c>
      <c r="C17" s="261">
        <v>5</v>
      </c>
      <c r="D17" s="262" t="str">
        <f t="shared" si="0"/>
        <v>Comédie/30-5</v>
      </c>
      <c r="L17" s="296" t="s">
        <v>1658</v>
      </c>
      <c r="M17" s="678">
        <f>PerA!M17</f>
        <v>0</v>
      </c>
      <c r="N17" s="679"/>
      <c r="O17" s="678">
        <f>PerB!M17</f>
        <v>0</v>
      </c>
      <c r="P17" s="679"/>
      <c r="Q17" s="678">
        <f>PerC!M17</f>
        <v>0</v>
      </c>
      <c r="R17" s="679"/>
      <c r="S17" s="678">
        <f>PerD!M17</f>
        <v>0</v>
      </c>
      <c r="T17" s="679"/>
      <c r="U17" s="699" t="s">
        <v>1714</v>
      </c>
      <c r="V17" s="676">
        <f>PerA!S15</f>
        <v>0</v>
      </c>
      <c r="W17" s="683"/>
      <c r="X17" s="688">
        <f>PerB!S15</f>
        <v>0</v>
      </c>
      <c r="Y17" s="692"/>
      <c r="Z17" s="676">
        <f>PerC!S15</f>
        <v>0</v>
      </c>
      <c r="AA17" s="683"/>
      <c r="AB17" s="688">
        <f>PerD!S15</f>
        <v>0</v>
      </c>
      <c r="AC17" s="683"/>
      <c r="AD17" s="674"/>
      <c r="AE17" s="674"/>
      <c r="AF17" s="674"/>
      <c r="AG17" s="674"/>
      <c r="AH17" s="674"/>
      <c r="AI17" s="674"/>
      <c r="AJ17" s="674"/>
      <c r="AK17" s="674"/>
      <c r="AL17" s="674"/>
      <c r="AM17" s="674"/>
      <c r="AN17" s="674"/>
      <c r="AO17" s="674"/>
      <c r="AP17" s="674"/>
      <c r="AQ17" s="674"/>
      <c r="AR17" s="674"/>
      <c r="AS17" s="674"/>
      <c r="AT17" s="674"/>
      <c r="AU17" s="674"/>
      <c r="AV17" s="674"/>
      <c r="AW17" s="674"/>
      <c r="AX17" s="674"/>
      <c r="AY17" s="674"/>
      <c r="AZ17" s="674"/>
      <c r="BA17" s="674"/>
      <c r="BB17" s="674"/>
      <c r="BC17" s="674"/>
      <c r="BD17" s="674"/>
      <c r="BE17" s="674"/>
      <c r="BF17" s="674"/>
      <c r="BG17" s="674"/>
      <c r="BH17" s="674"/>
      <c r="BI17" s="674"/>
      <c r="BJ17" s="674"/>
      <c r="BK17" s="674"/>
      <c r="BL17" s="674"/>
      <c r="BM17" s="674"/>
      <c r="BN17" s="674"/>
      <c r="BO17" s="674"/>
      <c r="BP17" s="674"/>
      <c r="BQ17" s="674"/>
      <c r="BR17" s="674"/>
      <c r="BS17" s="674"/>
      <c r="BT17" s="674"/>
      <c r="BU17" s="674"/>
      <c r="BV17" s="674"/>
      <c r="BW17" s="674"/>
      <c r="BX17" s="674"/>
      <c r="BY17" s="674"/>
      <c r="BZ17" s="674"/>
      <c r="CA17" s="674"/>
      <c r="CB17" s="674"/>
      <c r="CC17" s="674"/>
      <c r="CD17" s="674"/>
      <c r="CE17" s="674"/>
      <c r="CF17" s="674"/>
      <c r="CG17" s="674"/>
      <c r="CH17" s="674"/>
      <c r="CI17" s="674"/>
      <c r="CJ17" s="674"/>
      <c r="CK17" s="674"/>
      <c r="CL17" s="674"/>
      <c r="CM17" s="674"/>
      <c r="CN17" s="674"/>
      <c r="CO17" s="674"/>
      <c r="CP17" s="674"/>
      <c r="CQ17" s="674"/>
      <c r="CR17" s="674"/>
      <c r="CS17" s="674"/>
      <c r="CT17" s="674"/>
      <c r="CU17" s="674"/>
      <c r="CV17" s="674"/>
      <c r="CW17" s="674"/>
      <c r="CX17" s="674"/>
      <c r="CY17" s="674"/>
      <c r="CZ17" s="674"/>
      <c r="DA17" s="674"/>
      <c r="DB17" s="674"/>
      <c r="DC17" s="674"/>
      <c r="DD17" s="674"/>
      <c r="DE17" s="674"/>
      <c r="DF17" s="674"/>
      <c r="DG17" s="674"/>
      <c r="DH17" s="674"/>
      <c r="DI17" s="674"/>
      <c r="DJ17" s="674"/>
      <c r="DK17" s="674"/>
      <c r="DL17" s="674"/>
      <c r="DM17" s="674"/>
      <c r="DN17" s="674"/>
      <c r="DO17" s="674"/>
      <c r="DP17" s="674"/>
      <c r="DQ17" s="674"/>
      <c r="DR17" s="674"/>
      <c r="DS17" s="674"/>
      <c r="DT17" s="674"/>
      <c r="DU17" s="674"/>
      <c r="DV17" s="674"/>
      <c r="DW17" s="674"/>
      <c r="DX17" s="674"/>
      <c r="DY17" s="674"/>
      <c r="DZ17" s="674"/>
      <c r="EA17" s="674"/>
      <c r="EB17" s="674"/>
      <c r="EC17" s="674"/>
      <c r="ED17" s="674"/>
      <c r="EE17" s="674"/>
      <c r="EF17" s="674"/>
      <c r="EG17" s="674"/>
      <c r="EH17" s="674"/>
      <c r="EI17" s="674"/>
      <c r="EJ17" s="674"/>
      <c r="EK17" s="674"/>
      <c r="EL17" s="674"/>
      <c r="EM17" s="674"/>
      <c r="EN17" s="674"/>
      <c r="EO17" s="674"/>
      <c r="EP17" s="674"/>
      <c r="EQ17" s="674"/>
      <c r="ER17" s="674"/>
      <c r="ES17" s="674"/>
      <c r="ET17" s="674"/>
      <c r="EU17" s="674"/>
      <c r="EV17" s="674"/>
      <c r="EW17" s="674"/>
      <c r="EX17" s="674"/>
      <c r="EY17" s="674"/>
      <c r="EZ17" s="674"/>
      <c r="FA17" s="674"/>
      <c r="FB17" s="674"/>
      <c r="FC17" s="674"/>
      <c r="FD17" s="674"/>
      <c r="FE17" s="674"/>
      <c r="FF17" s="674"/>
      <c r="FG17" s="674"/>
      <c r="FH17" s="674"/>
    </row>
    <row r="18" spans="1:164" ht="13" customHeight="1" x14ac:dyDescent="0.2">
      <c r="A18" s="47" t="s">
        <v>202</v>
      </c>
      <c r="B18" s="46">
        <v>40</v>
      </c>
      <c r="C18" s="46">
        <v>6</v>
      </c>
      <c r="D18" s="43" t="str">
        <f t="shared" si="0"/>
        <v>Commerce/40-6</v>
      </c>
      <c r="L18" s="296" t="s">
        <v>1659</v>
      </c>
      <c r="M18" s="678">
        <f>PerA!M18</f>
        <v>40</v>
      </c>
      <c r="N18" s="679"/>
      <c r="O18" s="678">
        <f>PerB!M18</f>
        <v>0</v>
      </c>
      <c r="P18" s="679"/>
      <c r="Q18" s="678">
        <f>PerC!M18</f>
        <v>0</v>
      </c>
      <c r="R18" s="679"/>
      <c r="S18" s="678">
        <f>PerD!M18</f>
        <v>0</v>
      </c>
      <c r="T18" s="679"/>
      <c r="U18" s="699" t="s">
        <v>1715</v>
      </c>
      <c r="V18" s="676">
        <f>PerA!S16</f>
        <v>0</v>
      </c>
      <c r="W18" s="683"/>
      <c r="X18" s="688">
        <f>PerB!S16</f>
        <v>0</v>
      </c>
      <c r="Y18" s="692"/>
      <c r="Z18" s="676">
        <f>PerC!S16</f>
        <v>0</v>
      </c>
      <c r="AA18" s="683"/>
      <c r="AB18" s="688">
        <f>PerD!S16</f>
        <v>0</v>
      </c>
      <c r="AC18" s="683"/>
    </row>
    <row r="19" spans="1:164" s="262" customFormat="1" ht="13" customHeight="1" thickBot="1" x14ac:dyDescent="0.25">
      <c r="A19" s="260" t="s">
        <v>203</v>
      </c>
      <c r="B19" s="261">
        <v>40</v>
      </c>
      <c r="C19" s="261">
        <v>7</v>
      </c>
      <c r="D19" s="262" t="str">
        <f t="shared" si="0"/>
        <v>Construction navale/40-7</v>
      </c>
      <c r="L19" s="296" t="s">
        <v>1660</v>
      </c>
      <c r="M19" s="678">
        <f>PerA!M19</f>
        <v>0</v>
      </c>
      <c r="N19" s="679"/>
      <c r="O19" s="678">
        <f>PerB!M19</f>
        <v>0</v>
      </c>
      <c r="P19" s="679"/>
      <c r="Q19" s="678">
        <f>PerC!M19</f>
        <v>0</v>
      </c>
      <c r="R19" s="679"/>
      <c r="S19" s="678">
        <f>PerD!M19</f>
        <v>0</v>
      </c>
      <c r="T19" s="679"/>
      <c r="U19" s="732" t="s">
        <v>1716</v>
      </c>
      <c r="V19" s="712">
        <f>PerA!S17</f>
        <v>0</v>
      </c>
      <c r="W19" s="713"/>
      <c r="X19" s="714">
        <f>PerB!S17</f>
        <v>0</v>
      </c>
      <c r="Y19" s="715"/>
      <c r="Z19" s="712">
        <f>PerC!S17</f>
        <v>0</v>
      </c>
      <c r="AA19" s="713"/>
      <c r="AB19" s="714">
        <f>PerD!S17</f>
        <v>0</v>
      </c>
      <c r="AC19" s="713"/>
      <c r="AD19" s="674"/>
      <c r="AE19" s="674"/>
      <c r="AF19" s="674"/>
      <c r="AG19" s="674"/>
      <c r="AH19" s="674"/>
      <c r="AI19" s="674"/>
      <c r="AJ19" s="674"/>
      <c r="AK19" s="674"/>
      <c r="AL19" s="674"/>
      <c r="AM19" s="674"/>
      <c r="AN19" s="674"/>
      <c r="AO19" s="674"/>
      <c r="AP19" s="674"/>
      <c r="AQ19" s="674"/>
      <c r="AR19" s="674"/>
      <c r="AS19" s="674"/>
      <c r="AT19" s="674"/>
      <c r="AU19" s="674"/>
      <c r="AV19" s="674"/>
      <c r="AW19" s="674"/>
      <c r="AX19" s="674"/>
      <c r="AY19" s="674"/>
      <c r="AZ19" s="674"/>
      <c r="BA19" s="674"/>
      <c r="BB19" s="674"/>
      <c r="BC19" s="674"/>
      <c r="BD19" s="674"/>
      <c r="BE19" s="674"/>
      <c r="BF19" s="674"/>
      <c r="BG19" s="674"/>
      <c r="BH19" s="674"/>
      <c r="BI19" s="674"/>
      <c r="BJ19" s="674"/>
      <c r="BK19" s="674"/>
      <c r="BL19" s="674"/>
      <c r="BM19" s="674"/>
      <c r="BN19" s="674"/>
      <c r="BO19" s="674"/>
      <c r="BP19" s="674"/>
      <c r="BQ19" s="674"/>
      <c r="BR19" s="674"/>
      <c r="BS19" s="674"/>
      <c r="BT19" s="674"/>
      <c r="BU19" s="674"/>
      <c r="BV19" s="674"/>
      <c r="BW19" s="674"/>
      <c r="BX19" s="674"/>
      <c r="BY19" s="674"/>
      <c r="BZ19" s="674"/>
      <c r="CA19" s="674"/>
      <c r="CB19" s="674"/>
      <c r="CC19" s="674"/>
      <c r="CD19" s="674"/>
      <c r="CE19" s="674"/>
      <c r="CF19" s="674"/>
      <c r="CG19" s="674"/>
      <c r="CH19" s="674"/>
      <c r="CI19" s="674"/>
      <c r="CJ19" s="674"/>
      <c r="CK19" s="674"/>
      <c r="CL19" s="674"/>
      <c r="CM19" s="674"/>
      <c r="CN19" s="674"/>
      <c r="CO19" s="674"/>
      <c r="CP19" s="674"/>
      <c r="CQ19" s="674"/>
      <c r="CR19" s="674"/>
      <c r="CS19" s="674"/>
      <c r="CT19" s="674"/>
      <c r="CU19" s="674"/>
      <c r="CV19" s="674"/>
      <c r="CW19" s="674"/>
      <c r="CX19" s="674"/>
      <c r="CY19" s="674"/>
      <c r="CZ19" s="674"/>
      <c r="DA19" s="674"/>
      <c r="DB19" s="674"/>
      <c r="DC19" s="674"/>
      <c r="DD19" s="674"/>
      <c r="DE19" s="674"/>
      <c r="DF19" s="674"/>
      <c r="DG19" s="674"/>
      <c r="DH19" s="674"/>
      <c r="DI19" s="674"/>
      <c r="DJ19" s="674"/>
      <c r="DK19" s="674"/>
      <c r="DL19" s="674"/>
      <c r="DM19" s="674"/>
      <c r="DN19" s="674"/>
      <c r="DO19" s="674"/>
      <c r="DP19" s="674"/>
      <c r="DQ19" s="674"/>
      <c r="DR19" s="674"/>
      <c r="DS19" s="674"/>
      <c r="DT19" s="674"/>
      <c r="DU19" s="674"/>
      <c r="DV19" s="674"/>
      <c r="DW19" s="674"/>
      <c r="DX19" s="674"/>
      <c r="DY19" s="674"/>
      <c r="DZ19" s="674"/>
      <c r="EA19" s="674"/>
      <c r="EB19" s="674"/>
      <c r="EC19" s="674"/>
      <c r="ED19" s="674"/>
      <c r="EE19" s="674"/>
      <c r="EF19" s="674"/>
      <c r="EG19" s="674"/>
      <c r="EH19" s="674"/>
      <c r="EI19" s="674"/>
      <c r="EJ19" s="674"/>
      <c r="EK19" s="674"/>
      <c r="EL19" s="674"/>
      <c r="EM19" s="674"/>
      <c r="EN19" s="674"/>
      <c r="EO19" s="674"/>
      <c r="EP19" s="674"/>
      <c r="EQ19" s="674"/>
      <c r="ER19" s="674"/>
      <c r="ES19" s="674"/>
      <c r="ET19" s="674"/>
      <c r="EU19" s="674"/>
      <c r="EV19" s="674"/>
      <c r="EW19" s="674"/>
      <c r="EX19" s="674"/>
      <c r="EY19" s="674"/>
      <c r="EZ19" s="674"/>
      <c r="FA19" s="674"/>
      <c r="FB19" s="674"/>
      <c r="FC19" s="674"/>
      <c r="FD19" s="674"/>
      <c r="FE19" s="674"/>
      <c r="FF19" s="674"/>
      <c r="FG19" s="674"/>
      <c r="FH19" s="674"/>
    </row>
    <row r="20" spans="1:164" ht="13" customHeight="1" x14ac:dyDescent="0.2">
      <c r="A20" s="47" t="s">
        <v>204</v>
      </c>
      <c r="B20" s="46">
        <v>30</v>
      </c>
      <c r="C20" s="46">
        <v>7</v>
      </c>
      <c r="D20" s="43" t="str">
        <f t="shared" si="0"/>
        <v>Construction /30-7</v>
      </c>
      <c r="L20" s="296" t="s">
        <v>1661</v>
      </c>
      <c r="M20" s="678">
        <f>PerA!M20</f>
        <v>0</v>
      </c>
      <c r="N20" s="679"/>
      <c r="O20" s="678">
        <f>PerB!M20</f>
        <v>0</v>
      </c>
      <c r="P20" s="679"/>
      <c r="Q20" s="678">
        <f>PerC!M20</f>
        <v>0</v>
      </c>
      <c r="R20" s="679"/>
      <c r="S20" s="678">
        <f>PerD!M20</f>
        <v>0</v>
      </c>
      <c r="T20" s="679"/>
      <c r="U20" s="733" t="s">
        <v>1033</v>
      </c>
      <c r="V20" s="675"/>
      <c r="W20" s="682"/>
      <c r="X20" s="734"/>
      <c r="Y20" s="735"/>
      <c r="Z20" s="675"/>
      <c r="AA20" s="682"/>
      <c r="AB20" s="734"/>
      <c r="AC20" s="682"/>
    </row>
    <row r="21" spans="1:164" s="262" customFormat="1" ht="13" customHeight="1" x14ac:dyDescent="0.2">
      <c r="A21" s="260" t="s">
        <v>205</v>
      </c>
      <c r="B21" s="261">
        <v>30</v>
      </c>
      <c r="C21" s="261">
        <v>4</v>
      </c>
      <c r="D21" s="262" t="str">
        <f t="shared" si="0"/>
        <v>Convoyage/30-4</v>
      </c>
      <c r="L21" s="296" t="s">
        <v>1662</v>
      </c>
      <c r="M21" s="678">
        <f>PerA!M21</f>
        <v>47</v>
      </c>
      <c r="N21" s="679"/>
      <c r="O21" s="678">
        <f>PerB!M21</f>
        <v>0</v>
      </c>
      <c r="P21" s="679"/>
      <c r="Q21" s="678">
        <f>PerC!M21</f>
        <v>0</v>
      </c>
      <c r="R21" s="679"/>
      <c r="S21" s="678">
        <f>PerD!M21</f>
        <v>0</v>
      </c>
      <c r="T21" s="679"/>
      <c r="U21" s="297" t="s">
        <v>1751</v>
      </c>
      <c r="V21" s="676"/>
      <c r="W21" s="683"/>
      <c r="X21" s="688"/>
      <c r="Y21" s="692"/>
      <c r="Z21" s="676"/>
      <c r="AA21" s="683"/>
      <c r="AB21" s="688"/>
      <c r="AC21" s="683"/>
      <c r="AD21" s="674"/>
      <c r="AE21" s="674"/>
      <c r="AF21" s="674"/>
      <c r="AG21" s="674"/>
      <c r="AH21" s="674"/>
      <c r="AI21" s="674"/>
      <c r="AJ21" s="674"/>
      <c r="AK21" s="674"/>
      <c r="AL21" s="674"/>
      <c r="AM21" s="674"/>
      <c r="AN21" s="674"/>
      <c r="AO21" s="674"/>
      <c r="AP21" s="674"/>
      <c r="AQ21" s="674"/>
      <c r="AR21" s="674"/>
      <c r="AS21" s="674"/>
      <c r="AT21" s="674"/>
      <c r="AU21" s="674"/>
      <c r="AV21" s="674"/>
      <c r="AW21" s="674"/>
      <c r="AX21" s="674"/>
      <c r="AY21" s="674"/>
      <c r="AZ21" s="674"/>
      <c r="BA21" s="674"/>
      <c r="BB21" s="674"/>
      <c r="BC21" s="674"/>
      <c r="BD21" s="674"/>
      <c r="BE21" s="674"/>
      <c r="BF21" s="674"/>
      <c r="BG21" s="674"/>
      <c r="BH21" s="674"/>
      <c r="BI21" s="674"/>
      <c r="BJ21" s="674"/>
      <c r="BK21" s="674"/>
      <c r="BL21" s="674"/>
      <c r="BM21" s="674"/>
      <c r="BN21" s="674"/>
      <c r="BO21" s="674"/>
      <c r="BP21" s="674"/>
      <c r="BQ21" s="674"/>
      <c r="BR21" s="674"/>
      <c r="BS21" s="674"/>
      <c r="BT21" s="674"/>
      <c r="BU21" s="674"/>
      <c r="BV21" s="674"/>
      <c r="BW21" s="674"/>
      <c r="BX21" s="674"/>
      <c r="BY21" s="674"/>
      <c r="BZ21" s="674"/>
      <c r="CA21" s="674"/>
      <c r="CB21" s="674"/>
      <c r="CC21" s="674"/>
      <c r="CD21" s="674"/>
      <c r="CE21" s="674"/>
      <c r="CF21" s="674"/>
      <c r="CG21" s="674"/>
      <c r="CH21" s="674"/>
      <c r="CI21" s="674"/>
      <c r="CJ21" s="674"/>
      <c r="CK21" s="674"/>
      <c r="CL21" s="674"/>
      <c r="CM21" s="674"/>
      <c r="CN21" s="674"/>
      <c r="CO21" s="674"/>
      <c r="CP21" s="674"/>
      <c r="CQ21" s="674"/>
      <c r="CR21" s="674"/>
      <c r="CS21" s="674"/>
      <c r="CT21" s="674"/>
      <c r="CU21" s="674"/>
      <c r="CV21" s="674"/>
      <c r="CW21" s="674"/>
      <c r="CX21" s="674"/>
      <c r="CY21" s="674"/>
      <c r="CZ21" s="674"/>
      <c r="DA21" s="674"/>
      <c r="DB21" s="674"/>
      <c r="DC21" s="674"/>
      <c r="DD21" s="674"/>
      <c r="DE21" s="674"/>
      <c r="DF21" s="674"/>
      <c r="DG21" s="674"/>
      <c r="DH21" s="674"/>
      <c r="DI21" s="674"/>
      <c r="DJ21" s="674"/>
      <c r="DK21" s="674"/>
      <c r="DL21" s="674"/>
      <c r="DM21" s="674"/>
      <c r="DN21" s="674"/>
      <c r="DO21" s="674"/>
      <c r="DP21" s="674"/>
      <c r="DQ21" s="674"/>
      <c r="DR21" s="674"/>
      <c r="DS21" s="674"/>
      <c r="DT21" s="674"/>
      <c r="DU21" s="674"/>
      <c r="DV21" s="674"/>
      <c r="DW21" s="674"/>
      <c r="DX21" s="674"/>
      <c r="DY21" s="674"/>
      <c r="DZ21" s="674"/>
      <c r="EA21" s="674"/>
      <c r="EB21" s="674"/>
      <c r="EC21" s="674"/>
      <c r="ED21" s="674"/>
      <c r="EE21" s="674"/>
      <c r="EF21" s="674"/>
      <c r="EG21" s="674"/>
      <c r="EH21" s="674"/>
      <c r="EI21" s="674"/>
      <c r="EJ21" s="674"/>
      <c r="EK21" s="674"/>
      <c r="EL21" s="674"/>
      <c r="EM21" s="674"/>
      <c r="EN21" s="674"/>
      <c r="EO21" s="674"/>
      <c r="EP21" s="674"/>
      <c r="EQ21" s="674"/>
      <c r="ER21" s="674"/>
      <c r="ES21" s="674"/>
      <c r="ET21" s="674"/>
      <c r="EU21" s="674"/>
      <c r="EV21" s="674"/>
      <c r="EW21" s="674"/>
      <c r="EX21" s="674"/>
      <c r="EY21" s="674"/>
      <c r="EZ21" s="674"/>
      <c r="FA21" s="674"/>
      <c r="FB21" s="674"/>
      <c r="FC21" s="674"/>
      <c r="FD21" s="674"/>
      <c r="FE21" s="674"/>
      <c r="FF21" s="674"/>
      <c r="FG21" s="674"/>
      <c r="FH21" s="674"/>
    </row>
    <row r="22" spans="1:164" ht="13" customHeight="1" x14ac:dyDescent="0.2">
      <c r="A22" s="47" t="s">
        <v>206</v>
      </c>
      <c r="B22" s="46">
        <v>10</v>
      </c>
      <c r="C22" s="46">
        <v>5</v>
      </c>
      <c r="D22" s="43" t="str">
        <f t="shared" si="0"/>
        <v>Corruption/10-5</v>
      </c>
      <c r="L22" s="296" t="s">
        <v>1663</v>
      </c>
      <c r="M22" s="678">
        <f>PerA!M22</f>
        <v>0</v>
      </c>
      <c r="N22" s="679"/>
      <c r="O22" s="678">
        <f>PerB!M22</f>
        <v>4</v>
      </c>
      <c r="P22" s="679"/>
      <c r="Q22" s="678">
        <f>PerC!M22</f>
        <v>0</v>
      </c>
      <c r="R22" s="679"/>
      <c r="S22" s="678">
        <f>PerD!M22</f>
        <v>38</v>
      </c>
      <c r="T22" s="679"/>
      <c r="U22" s="298" t="s">
        <v>1035</v>
      </c>
      <c r="V22" s="676"/>
      <c r="W22" s="683"/>
      <c r="X22" s="688"/>
      <c r="Y22" s="692"/>
      <c r="Z22" s="676"/>
      <c r="AA22" s="683"/>
      <c r="AB22" s="688"/>
      <c r="AC22" s="684"/>
    </row>
    <row r="23" spans="1:164" s="262" customFormat="1" ht="13" customHeight="1" x14ac:dyDescent="0.2">
      <c r="A23" s="260" t="s">
        <v>207</v>
      </c>
      <c r="B23" s="261">
        <v>40</v>
      </c>
      <c r="C23" s="261">
        <v>6</v>
      </c>
      <c r="D23" s="262" t="str">
        <f t="shared" si="0"/>
        <v>Coupe/40-6</v>
      </c>
      <c r="L23" s="296" t="s">
        <v>1664</v>
      </c>
      <c r="M23" s="678">
        <f>PerA!M23</f>
        <v>0</v>
      </c>
      <c r="N23" s="679"/>
      <c r="O23" s="678">
        <f>PerB!M23</f>
        <v>0</v>
      </c>
      <c r="P23" s="679"/>
      <c r="Q23" s="678">
        <f>PerC!M23</f>
        <v>0</v>
      </c>
      <c r="R23" s="679"/>
      <c r="S23" s="678">
        <f>PerD!M23</f>
        <v>0</v>
      </c>
      <c r="T23" s="679"/>
      <c r="U23" s="297" t="s">
        <v>1750</v>
      </c>
      <c r="V23" s="676"/>
      <c r="W23" s="683"/>
      <c r="X23" s="688"/>
      <c r="Y23" s="692"/>
      <c r="Z23" s="676"/>
      <c r="AA23" s="683"/>
      <c r="AB23" s="688"/>
      <c r="AC23" s="722"/>
      <c r="AD23" s="674"/>
      <c r="AE23" s="674"/>
      <c r="AF23" s="674"/>
      <c r="AG23" s="674"/>
      <c r="AH23" s="674"/>
      <c r="AI23" s="674"/>
      <c r="AJ23" s="674"/>
      <c r="AK23" s="674"/>
      <c r="AL23" s="674"/>
      <c r="AM23" s="674"/>
      <c r="AN23" s="674"/>
      <c r="AO23" s="674"/>
      <c r="AP23" s="674"/>
      <c r="AQ23" s="674"/>
      <c r="AR23" s="674"/>
      <c r="AS23" s="674"/>
      <c r="AT23" s="674"/>
      <c r="AU23" s="674"/>
      <c r="AV23" s="674"/>
      <c r="AW23" s="674"/>
      <c r="AX23" s="674"/>
      <c r="AY23" s="674"/>
      <c r="AZ23" s="674"/>
      <c r="BA23" s="674"/>
      <c r="BB23" s="674"/>
      <c r="BC23" s="674"/>
      <c r="BD23" s="674"/>
      <c r="BE23" s="674"/>
      <c r="BF23" s="674"/>
      <c r="BG23" s="674"/>
      <c r="BH23" s="674"/>
      <c r="BI23" s="674"/>
      <c r="BJ23" s="674"/>
      <c r="BK23" s="674"/>
      <c r="BL23" s="674"/>
      <c r="BM23" s="674"/>
      <c r="BN23" s="674"/>
      <c r="BO23" s="674"/>
      <c r="BP23" s="674"/>
      <c r="BQ23" s="674"/>
      <c r="BR23" s="674"/>
      <c r="BS23" s="674"/>
      <c r="BT23" s="674"/>
      <c r="BU23" s="674"/>
      <c r="BV23" s="674"/>
      <c r="BW23" s="674"/>
      <c r="BX23" s="674"/>
      <c r="BY23" s="674"/>
      <c r="BZ23" s="674"/>
      <c r="CA23" s="674"/>
      <c r="CB23" s="674"/>
      <c r="CC23" s="674"/>
      <c r="CD23" s="674"/>
      <c r="CE23" s="674"/>
      <c r="CF23" s="674"/>
      <c r="CG23" s="674"/>
      <c r="CH23" s="674"/>
      <c r="CI23" s="674"/>
      <c r="CJ23" s="674"/>
      <c r="CK23" s="674"/>
      <c r="CL23" s="674"/>
      <c r="CM23" s="674"/>
      <c r="CN23" s="674"/>
      <c r="CO23" s="674"/>
      <c r="CP23" s="674"/>
      <c r="CQ23" s="674"/>
      <c r="CR23" s="674"/>
      <c r="CS23" s="674"/>
      <c r="CT23" s="674"/>
      <c r="CU23" s="674"/>
      <c r="CV23" s="674"/>
      <c r="CW23" s="674"/>
      <c r="CX23" s="674"/>
      <c r="CY23" s="674"/>
      <c r="CZ23" s="674"/>
      <c r="DA23" s="674"/>
      <c r="DB23" s="674"/>
      <c r="DC23" s="674"/>
      <c r="DD23" s="674"/>
      <c r="DE23" s="674"/>
      <c r="DF23" s="674"/>
      <c r="DG23" s="674"/>
      <c r="DH23" s="674"/>
      <c r="DI23" s="674"/>
      <c r="DJ23" s="674"/>
      <c r="DK23" s="674"/>
      <c r="DL23" s="674"/>
      <c r="DM23" s="674"/>
      <c r="DN23" s="674"/>
      <c r="DO23" s="674"/>
      <c r="DP23" s="674"/>
      <c r="DQ23" s="674"/>
      <c r="DR23" s="674"/>
      <c r="DS23" s="674"/>
      <c r="DT23" s="674"/>
      <c r="DU23" s="674"/>
      <c r="DV23" s="674"/>
      <c r="DW23" s="674"/>
      <c r="DX23" s="674"/>
      <c r="DY23" s="674"/>
      <c r="DZ23" s="674"/>
      <c r="EA23" s="674"/>
      <c r="EB23" s="674"/>
      <c r="EC23" s="674"/>
      <c r="ED23" s="674"/>
      <c r="EE23" s="674"/>
      <c r="EF23" s="674"/>
      <c r="EG23" s="674"/>
      <c r="EH23" s="674"/>
      <c r="EI23" s="674"/>
      <c r="EJ23" s="674"/>
      <c r="EK23" s="674"/>
      <c r="EL23" s="674"/>
      <c r="EM23" s="674"/>
      <c r="EN23" s="674"/>
      <c r="EO23" s="674"/>
      <c r="EP23" s="674"/>
      <c r="EQ23" s="674"/>
      <c r="ER23" s="674"/>
      <c r="ES23" s="674"/>
      <c r="ET23" s="674"/>
      <c r="EU23" s="674"/>
      <c r="EV23" s="674"/>
      <c r="EW23" s="674"/>
      <c r="EX23" s="674"/>
      <c r="EY23" s="674"/>
      <c r="EZ23" s="674"/>
      <c r="FA23" s="674"/>
      <c r="FB23" s="674"/>
      <c r="FC23" s="674"/>
      <c r="FD23" s="674"/>
      <c r="FE23" s="674"/>
      <c r="FF23" s="674"/>
      <c r="FG23" s="674"/>
      <c r="FH23" s="674"/>
    </row>
    <row r="24" spans="1:164" ht="13" customHeight="1" x14ac:dyDescent="0.2">
      <c r="A24" s="47" t="s">
        <v>208</v>
      </c>
      <c r="B24" s="46">
        <v>20</v>
      </c>
      <c r="C24" s="46">
        <v>5</v>
      </c>
      <c r="D24" s="43" t="str">
        <f t="shared" si="0"/>
        <v>Couture/20-5</v>
      </c>
      <c r="L24" s="296" t="s">
        <v>1665</v>
      </c>
      <c r="M24" s="678">
        <f>PerA!M24</f>
        <v>0</v>
      </c>
      <c r="N24" s="679"/>
      <c r="O24" s="678">
        <f>PerB!M24</f>
        <v>0</v>
      </c>
      <c r="P24" s="679"/>
      <c r="Q24" s="678">
        <f>PerC!M24</f>
        <v>0</v>
      </c>
      <c r="R24" s="679"/>
      <c r="S24" s="678">
        <f>PerD!M24</f>
        <v>0</v>
      </c>
      <c r="T24" s="679"/>
      <c r="U24" s="297" t="s">
        <v>1749</v>
      </c>
      <c r="V24" s="676"/>
      <c r="W24" s="683"/>
      <c r="X24" s="688"/>
      <c r="Y24" s="692"/>
      <c r="Z24" s="676"/>
      <c r="AA24" s="683"/>
      <c r="AB24" s="688"/>
      <c r="AC24" s="722"/>
    </row>
    <row r="25" spans="1:164" s="262" customFormat="1" ht="13" customHeight="1" x14ac:dyDescent="0.2">
      <c r="A25" s="260" t="s">
        <v>209</v>
      </c>
      <c r="B25" s="261">
        <v>40</v>
      </c>
      <c r="C25" s="261">
        <v>7</v>
      </c>
      <c r="D25" s="262" t="str">
        <f t="shared" si="0"/>
        <v>Création/40-7</v>
      </c>
      <c r="L25" s="296" t="s">
        <v>1666</v>
      </c>
      <c r="M25" s="678">
        <f>PerA!M25</f>
        <v>0</v>
      </c>
      <c r="N25" s="679"/>
      <c r="O25" s="678">
        <f>PerB!M25</f>
        <v>0</v>
      </c>
      <c r="P25" s="679"/>
      <c r="Q25" s="678">
        <f>PerC!M25</f>
        <v>0</v>
      </c>
      <c r="R25" s="679"/>
      <c r="S25" s="678">
        <f>PerD!M25</f>
        <v>0</v>
      </c>
      <c r="T25" s="679"/>
      <c r="U25" s="297" t="s">
        <v>1752</v>
      </c>
      <c r="V25" s="676"/>
      <c r="W25" s="683"/>
      <c r="X25" s="688"/>
      <c r="Y25" s="692"/>
      <c r="Z25" s="676"/>
      <c r="AA25" s="683"/>
      <c r="AB25" s="688"/>
      <c r="AC25" s="722"/>
      <c r="AD25" s="674"/>
      <c r="AE25" s="674"/>
      <c r="AF25" s="674"/>
      <c r="AG25" s="674"/>
      <c r="AH25" s="674"/>
      <c r="AI25" s="674"/>
      <c r="AJ25" s="674"/>
      <c r="AK25" s="674"/>
      <c r="AL25" s="674"/>
      <c r="AM25" s="674"/>
      <c r="AN25" s="674"/>
      <c r="AO25" s="674"/>
      <c r="AP25" s="674"/>
      <c r="AQ25" s="674"/>
      <c r="AR25" s="674"/>
      <c r="AS25" s="674"/>
      <c r="AT25" s="674"/>
      <c r="AU25" s="674"/>
      <c r="AV25" s="674"/>
      <c r="AW25" s="674"/>
      <c r="AX25" s="674"/>
      <c r="AY25" s="674"/>
      <c r="AZ25" s="674"/>
      <c r="BA25" s="674"/>
      <c r="BB25" s="674"/>
      <c r="BC25" s="674"/>
      <c r="BD25" s="674"/>
      <c r="BE25" s="674"/>
      <c r="BF25" s="674"/>
      <c r="BG25" s="674"/>
      <c r="BH25" s="674"/>
      <c r="BI25" s="674"/>
      <c r="BJ25" s="674"/>
      <c r="BK25" s="674"/>
      <c r="BL25" s="674"/>
      <c r="BM25" s="674"/>
      <c r="BN25" s="674"/>
      <c r="BO25" s="674"/>
      <c r="BP25" s="674"/>
      <c r="BQ25" s="674"/>
      <c r="BR25" s="674"/>
      <c r="BS25" s="674"/>
      <c r="BT25" s="674"/>
      <c r="BU25" s="674"/>
      <c r="BV25" s="674"/>
      <c r="BW25" s="674"/>
      <c r="BX25" s="674"/>
      <c r="BY25" s="674"/>
      <c r="BZ25" s="674"/>
      <c r="CA25" s="674"/>
      <c r="CB25" s="674"/>
      <c r="CC25" s="674"/>
      <c r="CD25" s="674"/>
      <c r="CE25" s="674"/>
      <c r="CF25" s="674"/>
      <c r="CG25" s="674"/>
      <c r="CH25" s="674"/>
      <c r="CI25" s="674"/>
      <c r="CJ25" s="674"/>
      <c r="CK25" s="674"/>
      <c r="CL25" s="674"/>
      <c r="CM25" s="674"/>
      <c r="CN25" s="674"/>
      <c r="CO25" s="674"/>
      <c r="CP25" s="674"/>
      <c r="CQ25" s="674"/>
      <c r="CR25" s="674"/>
      <c r="CS25" s="674"/>
      <c r="CT25" s="674"/>
      <c r="CU25" s="674"/>
      <c r="CV25" s="674"/>
      <c r="CW25" s="674"/>
      <c r="CX25" s="674"/>
      <c r="CY25" s="674"/>
      <c r="CZ25" s="674"/>
      <c r="DA25" s="674"/>
      <c r="DB25" s="674"/>
      <c r="DC25" s="674"/>
      <c r="DD25" s="674"/>
      <c r="DE25" s="674"/>
      <c r="DF25" s="674"/>
      <c r="DG25" s="674"/>
      <c r="DH25" s="674"/>
      <c r="DI25" s="674"/>
      <c r="DJ25" s="674"/>
      <c r="DK25" s="674"/>
      <c r="DL25" s="674"/>
      <c r="DM25" s="674"/>
      <c r="DN25" s="674"/>
      <c r="DO25" s="674"/>
      <c r="DP25" s="674"/>
      <c r="DQ25" s="674"/>
      <c r="DR25" s="674"/>
      <c r="DS25" s="674"/>
      <c r="DT25" s="674"/>
      <c r="DU25" s="674"/>
      <c r="DV25" s="674"/>
      <c r="DW25" s="674"/>
      <c r="DX25" s="674"/>
      <c r="DY25" s="674"/>
      <c r="DZ25" s="674"/>
      <c r="EA25" s="674"/>
      <c r="EB25" s="674"/>
      <c r="EC25" s="674"/>
      <c r="ED25" s="674"/>
      <c r="EE25" s="674"/>
      <c r="EF25" s="674"/>
      <c r="EG25" s="674"/>
      <c r="EH25" s="674"/>
      <c r="EI25" s="674"/>
      <c r="EJ25" s="674"/>
      <c r="EK25" s="674"/>
      <c r="EL25" s="674"/>
      <c r="EM25" s="674"/>
      <c r="EN25" s="674"/>
      <c r="EO25" s="674"/>
      <c r="EP25" s="674"/>
      <c r="EQ25" s="674"/>
      <c r="ER25" s="674"/>
      <c r="ES25" s="674"/>
      <c r="ET25" s="674"/>
      <c r="EU25" s="674"/>
      <c r="EV25" s="674"/>
      <c r="EW25" s="674"/>
      <c r="EX25" s="674"/>
      <c r="EY25" s="674"/>
      <c r="EZ25" s="674"/>
      <c r="FA25" s="674"/>
      <c r="FB25" s="674"/>
      <c r="FC25" s="674"/>
      <c r="FD25" s="674"/>
      <c r="FE25" s="674"/>
      <c r="FF25" s="674"/>
      <c r="FG25" s="674"/>
      <c r="FH25" s="674"/>
    </row>
    <row r="26" spans="1:164" ht="13" customHeight="1" x14ac:dyDescent="0.2">
      <c r="A26" s="47" t="s">
        <v>210</v>
      </c>
      <c r="B26" s="46">
        <v>80</v>
      </c>
      <c r="C26" s="46">
        <v>8</v>
      </c>
      <c r="D26" s="43" t="str">
        <f t="shared" si="0"/>
        <v>Criminalité/80-8</v>
      </c>
      <c r="L26" s="296" t="s">
        <v>1667</v>
      </c>
      <c r="M26" s="678">
        <f>PerA!M26</f>
        <v>0</v>
      </c>
      <c r="N26" s="679"/>
      <c r="O26" s="678">
        <f>PerB!M26</f>
        <v>55</v>
      </c>
      <c r="P26" s="679"/>
      <c r="Q26" s="678">
        <f>PerC!M26</f>
        <v>0</v>
      </c>
      <c r="R26" s="679"/>
      <c r="S26" s="678">
        <f>PerD!M26</f>
        <v>80</v>
      </c>
      <c r="T26" s="679"/>
      <c r="U26" s="299" t="s">
        <v>1753</v>
      </c>
      <c r="V26" s="676"/>
      <c r="W26" s="683"/>
      <c r="X26" s="688"/>
      <c r="Y26" s="692"/>
      <c r="Z26" s="676"/>
      <c r="AA26" s="683"/>
      <c r="AB26" s="688"/>
      <c r="AC26" s="722"/>
    </row>
    <row r="27" spans="1:164" s="262" customFormat="1" ht="13" customHeight="1" thickBot="1" x14ac:dyDescent="0.25">
      <c r="A27" s="260" t="s">
        <v>211</v>
      </c>
      <c r="B27" s="261">
        <v>10</v>
      </c>
      <c r="C27" s="261">
        <v>3</v>
      </c>
      <c r="D27" s="262" t="str">
        <f t="shared" si="0"/>
        <v>Cueillette/10-3</v>
      </c>
      <c r="L27" s="296" t="s">
        <v>1668</v>
      </c>
      <c r="M27" s="678">
        <f>PerA!M27</f>
        <v>0</v>
      </c>
      <c r="N27" s="679"/>
      <c r="O27" s="678">
        <f>PerB!M27</f>
        <v>20</v>
      </c>
      <c r="P27" s="679"/>
      <c r="Q27" s="678">
        <f>PerC!M27</f>
        <v>14</v>
      </c>
      <c r="R27" s="679"/>
      <c r="S27" s="678">
        <f>PerD!M27</f>
        <v>0</v>
      </c>
      <c r="T27" s="679"/>
      <c r="U27" s="736" t="s">
        <v>1034</v>
      </c>
      <c r="V27" s="737"/>
      <c r="W27" s="738"/>
      <c r="X27" s="739"/>
      <c r="Y27" s="740"/>
      <c r="Z27" s="737"/>
      <c r="AA27" s="738"/>
      <c r="AB27" s="739"/>
      <c r="AC27" s="741"/>
      <c r="AD27" s="674"/>
      <c r="AE27" s="674"/>
      <c r="AF27" s="674"/>
      <c r="AG27" s="674"/>
      <c r="AH27" s="674"/>
      <c r="AI27" s="674"/>
      <c r="AJ27" s="674"/>
      <c r="AK27" s="674"/>
      <c r="AL27" s="674"/>
      <c r="AM27" s="674"/>
      <c r="AN27" s="674"/>
      <c r="AO27" s="674"/>
      <c r="AP27" s="674"/>
      <c r="AQ27" s="674"/>
      <c r="AR27" s="674"/>
      <c r="AS27" s="674"/>
      <c r="AT27" s="674"/>
      <c r="AU27" s="674"/>
      <c r="AV27" s="674"/>
      <c r="AW27" s="674"/>
      <c r="AX27" s="674"/>
      <c r="AY27" s="674"/>
      <c r="AZ27" s="674"/>
      <c r="BA27" s="674"/>
      <c r="BB27" s="674"/>
      <c r="BC27" s="674"/>
      <c r="BD27" s="674"/>
      <c r="BE27" s="674"/>
      <c r="BF27" s="674"/>
      <c r="BG27" s="674"/>
      <c r="BH27" s="674"/>
      <c r="BI27" s="674"/>
      <c r="BJ27" s="674"/>
      <c r="BK27" s="674"/>
      <c r="BL27" s="674"/>
      <c r="BM27" s="674"/>
      <c r="BN27" s="674"/>
      <c r="BO27" s="674"/>
      <c r="BP27" s="674"/>
      <c r="BQ27" s="674"/>
      <c r="BR27" s="674"/>
      <c r="BS27" s="674"/>
      <c r="BT27" s="674"/>
      <c r="BU27" s="674"/>
      <c r="BV27" s="674"/>
      <c r="BW27" s="674"/>
      <c r="BX27" s="674"/>
      <c r="BY27" s="674"/>
      <c r="BZ27" s="674"/>
      <c r="CA27" s="674"/>
      <c r="CB27" s="674"/>
      <c r="CC27" s="674"/>
      <c r="CD27" s="674"/>
      <c r="CE27" s="674"/>
      <c r="CF27" s="674"/>
      <c r="CG27" s="674"/>
      <c r="CH27" s="674"/>
      <c r="CI27" s="674"/>
      <c r="CJ27" s="674"/>
      <c r="CK27" s="674"/>
      <c r="CL27" s="674"/>
      <c r="CM27" s="674"/>
      <c r="CN27" s="674"/>
      <c r="CO27" s="674"/>
      <c r="CP27" s="674"/>
      <c r="CQ27" s="674"/>
      <c r="CR27" s="674"/>
      <c r="CS27" s="674"/>
      <c r="CT27" s="674"/>
      <c r="CU27" s="674"/>
      <c r="CV27" s="674"/>
      <c r="CW27" s="674"/>
      <c r="CX27" s="674"/>
      <c r="CY27" s="674"/>
      <c r="CZ27" s="674"/>
      <c r="DA27" s="674"/>
      <c r="DB27" s="674"/>
      <c r="DC27" s="674"/>
      <c r="DD27" s="674"/>
      <c r="DE27" s="674"/>
      <c r="DF27" s="674"/>
      <c r="DG27" s="674"/>
      <c r="DH27" s="674"/>
      <c r="DI27" s="674"/>
      <c r="DJ27" s="674"/>
      <c r="DK27" s="674"/>
      <c r="DL27" s="674"/>
      <c r="DM27" s="674"/>
      <c r="DN27" s="674"/>
      <c r="DO27" s="674"/>
      <c r="DP27" s="674"/>
      <c r="DQ27" s="674"/>
      <c r="DR27" s="674"/>
      <c r="DS27" s="674"/>
      <c r="DT27" s="674"/>
      <c r="DU27" s="674"/>
      <c r="DV27" s="674"/>
      <c r="DW27" s="674"/>
      <c r="DX27" s="674"/>
      <c r="DY27" s="674"/>
      <c r="DZ27" s="674"/>
      <c r="EA27" s="674"/>
      <c r="EB27" s="674"/>
      <c r="EC27" s="674"/>
      <c r="ED27" s="674"/>
      <c r="EE27" s="674"/>
      <c r="EF27" s="674"/>
      <c r="EG27" s="674"/>
      <c r="EH27" s="674"/>
      <c r="EI27" s="674"/>
      <c r="EJ27" s="674"/>
      <c r="EK27" s="674"/>
      <c r="EL27" s="674"/>
      <c r="EM27" s="674"/>
      <c r="EN27" s="674"/>
      <c r="EO27" s="674"/>
      <c r="EP27" s="674"/>
      <c r="EQ27" s="674"/>
      <c r="ER27" s="674"/>
      <c r="ES27" s="674"/>
      <c r="ET27" s="674"/>
      <c r="EU27" s="674"/>
      <c r="EV27" s="674"/>
      <c r="EW27" s="674"/>
      <c r="EX27" s="674"/>
      <c r="EY27" s="674"/>
      <c r="EZ27" s="674"/>
      <c r="FA27" s="674"/>
      <c r="FB27" s="674"/>
      <c r="FC27" s="674"/>
      <c r="FD27" s="674"/>
      <c r="FE27" s="674"/>
      <c r="FF27" s="674"/>
      <c r="FG27" s="674"/>
      <c r="FH27" s="674"/>
    </row>
    <row r="28" spans="1:164" ht="13" customHeight="1" x14ac:dyDescent="0.2">
      <c r="A28" s="47" t="s">
        <v>212</v>
      </c>
      <c r="B28" s="46">
        <v>30</v>
      </c>
      <c r="C28" s="46">
        <v>5</v>
      </c>
      <c r="D28" s="43" t="str">
        <f t="shared" si="0"/>
        <v>Cuir/30-5</v>
      </c>
      <c r="L28" s="296" t="s">
        <v>1669</v>
      </c>
      <c r="M28" s="678">
        <f>PerA!M28</f>
        <v>0</v>
      </c>
      <c r="N28" s="679"/>
      <c r="O28" s="678">
        <f>PerB!M28</f>
        <v>0</v>
      </c>
      <c r="P28" s="679"/>
      <c r="Q28" s="678">
        <f>PerC!M28</f>
        <v>0</v>
      </c>
      <c r="R28" s="679"/>
      <c r="S28" s="678">
        <f>PerD!M28</f>
        <v>0</v>
      </c>
      <c r="T28" s="679"/>
      <c r="U28" s="716" t="s">
        <v>1717</v>
      </c>
      <c r="V28" s="717">
        <f>PerA!S31</f>
        <v>0</v>
      </c>
      <c r="W28" s="718"/>
      <c r="X28" s="719">
        <f>PerB!S31</f>
        <v>40</v>
      </c>
      <c r="Y28" s="720"/>
      <c r="Z28" s="717">
        <f>PerC!S31</f>
        <v>0</v>
      </c>
      <c r="AA28" s="718"/>
      <c r="AB28" s="721">
        <f>PerD!S31</f>
        <v>0</v>
      </c>
      <c r="AC28" s="718"/>
    </row>
    <row r="29" spans="1:164" ht="13" customHeight="1" x14ac:dyDescent="0.2">
      <c r="A29" s="47"/>
      <c r="B29" s="46"/>
      <c r="C29" s="46"/>
      <c r="L29" s="259" t="s">
        <v>1670</v>
      </c>
      <c r="M29" s="680">
        <f>PerA!M29</f>
        <v>0</v>
      </c>
      <c r="N29" s="685"/>
      <c r="O29" s="680">
        <f>PerB!M29</f>
        <v>0</v>
      </c>
      <c r="P29" s="685"/>
      <c r="Q29" s="680">
        <f>PerC!M29</f>
        <v>0</v>
      </c>
      <c r="R29" s="685"/>
      <c r="S29" s="680">
        <f>PerD!M29</f>
        <v>0</v>
      </c>
      <c r="T29" s="704"/>
      <c r="U29" s="702" t="s">
        <v>1718</v>
      </c>
      <c r="V29" s="676">
        <f>PerA!S32</f>
        <v>43</v>
      </c>
      <c r="W29" s="683"/>
      <c r="X29" s="688">
        <f>PerB!S32</f>
        <v>35</v>
      </c>
      <c r="Y29" s="692"/>
      <c r="Z29" s="676">
        <f>PerC!S32</f>
        <v>53</v>
      </c>
      <c r="AA29" s="683"/>
      <c r="AB29" s="694">
        <f>PerD!S32</f>
        <v>8</v>
      </c>
      <c r="AC29" s="683"/>
    </row>
    <row r="30" spans="1:164" ht="13" customHeight="1" x14ac:dyDescent="0.2">
      <c r="A30" s="47"/>
      <c r="B30" s="46"/>
      <c r="C30" s="46"/>
      <c r="L30" s="296" t="s">
        <v>1671</v>
      </c>
      <c r="M30" s="680">
        <f>PerA!M30</f>
        <v>0</v>
      </c>
      <c r="N30" s="695"/>
      <c r="O30" s="680">
        <f>PerB!M30</f>
        <v>0</v>
      </c>
      <c r="P30" s="695"/>
      <c r="Q30" s="680">
        <f>PerC!M30</f>
        <v>0</v>
      </c>
      <c r="R30" s="695"/>
      <c r="S30" s="680">
        <f>PerD!M30</f>
        <v>0</v>
      </c>
      <c r="T30" s="679"/>
      <c r="U30" s="703" t="s">
        <v>1719</v>
      </c>
      <c r="V30" s="676">
        <f>PerA!S33</f>
        <v>0</v>
      </c>
      <c r="W30" s="683"/>
      <c r="X30" s="688">
        <f>PerB!S33</f>
        <v>52</v>
      </c>
      <c r="Y30" s="692"/>
      <c r="Z30" s="676">
        <f>PerC!S33</f>
        <v>0</v>
      </c>
      <c r="AA30" s="683"/>
      <c r="AB30" s="694">
        <f>PerD!S33</f>
        <v>46</v>
      </c>
      <c r="AC30" s="683"/>
    </row>
    <row r="31" spans="1:164" ht="13" customHeight="1" x14ac:dyDescent="0.2">
      <c r="A31" s="47"/>
      <c r="B31" s="46"/>
      <c r="C31" s="46"/>
      <c r="L31" s="296" t="s">
        <v>1672</v>
      </c>
      <c r="M31" s="680">
        <f>PerA!M31</f>
        <v>0</v>
      </c>
      <c r="N31" s="695"/>
      <c r="O31" s="680">
        <f>PerB!M31</f>
        <v>0</v>
      </c>
      <c r="P31" s="695"/>
      <c r="Q31" s="680">
        <f>PerC!M31</f>
        <v>0</v>
      </c>
      <c r="R31" s="695"/>
      <c r="S31" s="680">
        <f>PerD!M31</f>
        <v>0</v>
      </c>
      <c r="T31" s="679"/>
      <c r="U31" s="259" t="s">
        <v>1720</v>
      </c>
      <c r="V31" s="680">
        <f>PerA!S34</f>
        <v>0</v>
      </c>
      <c r="W31" s="685"/>
      <c r="X31" s="689">
        <f>PerB!S34</f>
        <v>0</v>
      </c>
      <c r="Y31" s="693"/>
      <c r="Z31" s="680">
        <f>PerC!S34</f>
        <v>0</v>
      </c>
      <c r="AA31" s="685"/>
      <c r="AB31" s="689">
        <f>PerD!S34</f>
        <v>9</v>
      </c>
      <c r="AC31" s="685"/>
    </row>
    <row r="32" spans="1:164" ht="13" customHeight="1" x14ac:dyDescent="0.2">
      <c r="A32" s="47"/>
      <c r="B32" s="46"/>
      <c r="C32" s="46"/>
      <c r="L32" s="571" t="s">
        <v>1673</v>
      </c>
      <c r="M32" s="680">
        <f>PerA!M32</f>
        <v>27</v>
      </c>
      <c r="N32" s="695"/>
      <c r="O32" s="680">
        <f>PerB!M32</f>
        <v>58</v>
      </c>
      <c r="P32" s="695"/>
      <c r="Q32" s="680">
        <f>PerC!M32</f>
        <v>57</v>
      </c>
      <c r="R32" s="695"/>
      <c r="S32" s="680">
        <f>PerD!M32</f>
        <v>53</v>
      </c>
      <c r="T32" s="679"/>
      <c r="U32" s="296" t="s">
        <v>1721</v>
      </c>
      <c r="V32" s="680">
        <f>PerA!S35</f>
        <v>0</v>
      </c>
      <c r="W32" s="685"/>
      <c r="X32" s="689">
        <f>PerB!S35</f>
        <v>0</v>
      </c>
      <c r="Y32" s="693"/>
      <c r="Z32" s="680">
        <f>PerC!S35</f>
        <v>0</v>
      </c>
      <c r="AA32" s="685"/>
      <c r="AB32" s="689">
        <f>PerD!S35</f>
        <v>52</v>
      </c>
      <c r="AC32" s="685"/>
    </row>
    <row r="33" spans="1:29" ht="13" customHeight="1" x14ac:dyDescent="0.2">
      <c r="A33" s="47"/>
      <c r="B33" s="46"/>
      <c r="C33" s="46"/>
      <c r="L33" s="296" t="s">
        <v>1674</v>
      </c>
      <c r="M33" s="680">
        <f>PerA!M33</f>
        <v>0</v>
      </c>
      <c r="N33" s="695"/>
      <c r="O33" s="680">
        <f>PerB!M33</f>
        <v>0</v>
      </c>
      <c r="P33" s="695"/>
      <c r="Q33" s="680">
        <f>PerC!M33</f>
        <v>0</v>
      </c>
      <c r="R33" s="695"/>
      <c r="S33" s="680">
        <f>PerD!M33</f>
        <v>0</v>
      </c>
      <c r="T33" s="679"/>
      <c r="U33" s="643" t="s">
        <v>1722</v>
      </c>
      <c r="V33" s="680">
        <f>PerA!S41</f>
        <v>10</v>
      </c>
      <c r="W33" s="685"/>
      <c r="X33" s="689">
        <f>PerB!S41</f>
        <v>23</v>
      </c>
      <c r="Y33" s="693"/>
      <c r="Z33" s="680">
        <f>PerC!S41</f>
        <v>12.5</v>
      </c>
      <c r="AA33" s="685"/>
      <c r="AB33" s="689">
        <f>PerD!S41</f>
        <v>56</v>
      </c>
      <c r="AC33" s="685"/>
    </row>
    <row r="34" spans="1:29" ht="13" customHeight="1" x14ac:dyDescent="0.2">
      <c r="A34" s="47"/>
      <c r="B34" s="46"/>
      <c r="C34" s="46"/>
      <c r="L34" s="642" t="s">
        <v>1675</v>
      </c>
      <c r="M34" s="680">
        <f>PerA!M34</f>
        <v>0</v>
      </c>
      <c r="N34" s="695"/>
      <c r="O34" s="680">
        <f>PerB!M34</f>
        <v>0</v>
      </c>
      <c r="P34" s="695"/>
      <c r="Q34" s="680">
        <f>PerC!M34</f>
        <v>0</v>
      </c>
      <c r="R34" s="695"/>
      <c r="S34" s="680">
        <f>PerD!M34</f>
        <v>0</v>
      </c>
      <c r="T34" s="679"/>
      <c r="U34" s="643" t="s">
        <v>1723</v>
      </c>
      <c r="V34" s="680">
        <f>PerA!S42</f>
        <v>6</v>
      </c>
      <c r="W34" s="685"/>
      <c r="X34" s="689">
        <f>PerB!S42</f>
        <v>8.5</v>
      </c>
      <c r="Y34" s="693"/>
      <c r="Z34" s="680">
        <f>PerC!S42</f>
        <v>58</v>
      </c>
      <c r="AA34" s="685"/>
      <c r="AB34" s="689">
        <f>PerD!S42</f>
        <v>4</v>
      </c>
      <c r="AC34" s="685"/>
    </row>
    <row r="35" spans="1:29" ht="13" customHeight="1" x14ac:dyDescent="0.2">
      <c r="A35" s="47"/>
      <c r="B35" s="46"/>
      <c r="C35" s="46"/>
      <c r="L35" s="296" t="s">
        <v>1676</v>
      </c>
      <c r="M35" s="680">
        <f>PerA!M35</f>
        <v>0</v>
      </c>
      <c r="N35" s="695"/>
      <c r="O35" s="680">
        <f>PerB!M35</f>
        <v>24</v>
      </c>
      <c r="P35" s="695"/>
      <c r="Q35" s="680">
        <f>PerC!M35</f>
        <v>4</v>
      </c>
      <c r="R35" s="695"/>
      <c r="S35" s="680">
        <f>PerD!M35</f>
        <v>0</v>
      </c>
      <c r="T35" s="679"/>
      <c r="U35" s="263" t="s">
        <v>1724</v>
      </c>
      <c r="V35" s="723"/>
      <c r="W35" s="724"/>
      <c r="X35" s="725"/>
      <c r="Y35" s="726"/>
      <c r="Z35" s="723">
        <v>3</v>
      </c>
      <c r="AA35" s="724"/>
      <c r="AB35" s="725"/>
      <c r="AC35" s="724"/>
    </row>
    <row r="36" spans="1:29" ht="13" customHeight="1" x14ac:dyDescent="0.2">
      <c r="A36" s="47"/>
      <c r="B36" s="46"/>
      <c r="C36" s="46"/>
      <c r="L36" s="571" t="s">
        <v>1677</v>
      </c>
      <c r="M36" s="680">
        <f>PerA!M36</f>
        <v>23</v>
      </c>
      <c r="N36" s="695"/>
      <c r="O36" s="680">
        <f>PerB!M36</f>
        <v>50</v>
      </c>
      <c r="P36" s="695"/>
      <c r="Q36" s="680">
        <f>PerC!M36</f>
        <v>73</v>
      </c>
      <c r="R36" s="695"/>
      <c r="S36" s="680">
        <f>PerD!M36</f>
        <v>71</v>
      </c>
      <c r="T36" s="679"/>
      <c r="U36" s="263" t="s">
        <v>1725</v>
      </c>
      <c r="V36" s="723">
        <f>PerA!S43</f>
        <v>8</v>
      </c>
      <c r="W36" s="724"/>
      <c r="X36" s="725">
        <f>PerB!S43</f>
        <v>16.5</v>
      </c>
      <c r="Y36" s="726"/>
      <c r="Z36" s="723">
        <f>PerC!S43</f>
        <v>12.5</v>
      </c>
      <c r="AA36" s="724"/>
      <c r="AB36" s="725">
        <f>PerD!S43</f>
        <v>18</v>
      </c>
      <c r="AC36" s="724"/>
    </row>
    <row r="37" spans="1:29" ht="13" customHeight="1" x14ac:dyDescent="0.2">
      <c r="A37" s="47"/>
      <c r="B37" s="46"/>
      <c r="C37" s="46"/>
      <c r="L37" s="296" t="s">
        <v>1678</v>
      </c>
      <c r="M37" s="680">
        <f>PerA!M37</f>
        <v>20</v>
      </c>
      <c r="N37" s="695"/>
      <c r="O37" s="680">
        <f>PerB!M37</f>
        <v>0</v>
      </c>
      <c r="P37" s="695"/>
      <c r="Q37" s="680">
        <f>PerC!M37</f>
        <v>0</v>
      </c>
      <c r="R37" s="695"/>
      <c r="S37" s="680">
        <f>PerD!M37</f>
        <v>0</v>
      </c>
      <c r="T37" s="679"/>
      <c r="U37" s="263" t="s">
        <v>1726</v>
      </c>
      <c r="V37" s="723">
        <f>PerA!S44</f>
        <v>28</v>
      </c>
      <c r="W37" s="724"/>
      <c r="X37" s="725">
        <f>PerB!S44</f>
        <v>61</v>
      </c>
      <c r="Y37" s="726"/>
      <c r="Z37" s="723">
        <f>PerC!S44</f>
        <v>78</v>
      </c>
      <c r="AA37" s="724"/>
      <c r="AB37" s="725">
        <f>PerD!S44</f>
        <v>60</v>
      </c>
      <c r="AC37" s="724"/>
    </row>
    <row r="38" spans="1:29" ht="13" customHeight="1" x14ac:dyDescent="0.2">
      <c r="A38" s="47"/>
      <c r="B38" s="46"/>
      <c r="C38" s="46"/>
      <c r="L38" s="642" t="s">
        <v>1679</v>
      </c>
      <c r="M38" s="680">
        <f>PerA!M38</f>
        <v>0</v>
      </c>
      <c r="N38" s="695"/>
      <c r="O38" s="680">
        <f>PerB!M38</f>
        <v>0</v>
      </c>
      <c r="P38" s="695"/>
      <c r="Q38" s="680">
        <f>PerC!M38</f>
        <v>0</v>
      </c>
      <c r="R38" s="695"/>
      <c r="S38" s="680">
        <f>PerD!M38</f>
        <v>0</v>
      </c>
      <c r="T38" s="679"/>
      <c r="U38" s="643" t="s">
        <v>1727</v>
      </c>
      <c r="V38" s="723">
        <f>PerA!S45</f>
        <v>6</v>
      </c>
      <c r="W38" s="724"/>
      <c r="X38" s="725">
        <f>PerB!S45</f>
        <v>11</v>
      </c>
      <c r="Y38" s="726"/>
      <c r="Z38" s="723">
        <f>PerC!S45</f>
        <v>55</v>
      </c>
      <c r="AA38" s="724"/>
      <c r="AB38" s="725">
        <f>PerD!S45</f>
        <v>4</v>
      </c>
      <c r="AC38" s="724"/>
    </row>
    <row r="39" spans="1:29" ht="13" customHeight="1" x14ac:dyDescent="0.2">
      <c r="A39" s="47"/>
      <c r="B39" s="46"/>
      <c r="C39" s="46"/>
      <c r="L39" s="296" t="s">
        <v>1680</v>
      </c>
      <c r="M39" s="680">
        <f>PerA!M39</f>
        <v>0</v>
      </c>
      <c r="N39" s="695"/>
      <c r="O39" s="680">
        <f>PerB!M39</f>
        <v>0</v>
      </c>
      <c r="P39" s="695"/>
      <c r="Q39" s="680">
        <f>PerC!M39</f>
        <v>0</v>
      </c>
      <c r="R39" s="695"/>
      <c r="S39" s="680">
        <f>PerD!M39</f>
        <v>0</v>
      </c>
      <c r="T39" s="679"/>
      <c r="U39" s="263" t="s">
        <v>1728</v>
      </c>
      <c r="V39" s="723">
        <f>PerA!S46</f>
        <v>4</v>
      </c>
      <c r="W39" s="724"/>
      <c r="X39" s="725">
        <f>PerB!S46</f>
        <v>8</v>
      </c>
      <c r="Y39" s="726"/>
      <c r="Z39" s="723">
        <f>PerC!S46</f>
        <v>64</v>
      </c>
      <c r="AA39" s="724"/>
      <c r="AB39" s="725">
        <f>PerD!S46</f>
        <v>12</v>
      </c>
      <c r="AC39" s="724"/>
    </row>
    <row r="40" spans="1:29" ht="13" customHeight="1" x14ac:dyDescent="0.2">
      <c r="A40" s="47"/>
      <c r="B40" s="46"/>
      <c r="C40" s="46"/>
      <c r="L40" s="296" t="s">
        <v>1681</v>
      </c>
      <c r="M40" s="680">
        <f>PerA!M40</f>
        <v>0</v>
      </c>
      <c r="N40" s="695"/>
      <c r="O40" s="680">
        <f>PerB!M40</f>
        <v>0</v>
      </c>
      <c r="P40" s="695"/>
      <c r="Q40" s="680">
        <f>PerC!M40</f>
        <v>0</v>
      </c>
      <c r="R40" s="695"/>
      <c r="S40" s="680">
        <f>PerD!M40</f>
        <v>0</v>
      </c>
      <c r="T40" s="679"/>
      <c r="U40" s="263" t="s">
        <v>1729</v>
      </c>
      <c r="V40" s="723">
        <f>PerA!S47</f>
        <v>8</v>
      </c>
      <c r="W40" s="724"/>
      <c r="X40" s="725">
        <f>PerB!S47</f>
        <v>16.5</v>
      </c>
      <c r="Y40" s="726"/>
      <c r="Z40" s="723">
        <f>PerC!S47</f>
        <v>55</v>
      </c>
      <c r="AA40" s="724"/>
      <c r="AB40" s="725">
        <f>PerD!S47</f>
        <v>18</v>
      </c>
      <c r="AC40" s="724"/>
    </row>
    <row r="41" spans="1:29" ht="13" customHeight="1" x14ac:dyDescent="0.2">
      <c r="A41" s="47"/>
      <c r="B41" s="46"/>
      <c r="C41" s="46"/>
      <c r="L41" s="296" t="s">
        <v>1682</v>
      </c>
      <c r="M41" s="680">
        <f>PerA!M41</f>
        <v>0</v>
      </c>
      <c r="N41" s="695"/>
      <c r="O41" s="680">
        <f>PerB!M41</f>
        <v>0</v>
      </c>
      <c r="P41" s="695"/>
      <c r="Q41" s="680">
        <f>PerC!M41</f>
        <v>0</v>
      </c>
      <c r="R41" s="695"/>
      <c r="S41" s="680">
        <f>PerD!M41</f>
        <v>0</v>
      </c>
      <c r="T41" s="679"/>
      <c r="U41" s="263" t="s">
        <v>1730</v>
      </c>
      <c r="V41" s="723">
        <f>PerA!S48</f>
        <v>8</v>
      </c>
      <c r="W41" s="724"/>
      <c r="X41" s="725">
        <f>PerB!S48</f>
        <v>25</v>
      </c>
      <c r="Y41" s="726"/>
      <c r="Z41" s="723">
        <f>PerC!S48</f>
        <v>12</v>
      </c>
      <c r="AA41" s="724"/>
      <c r="AB41" s="725">
        <f>PerD!S48</f>
        <v>50</v>
      </c>
      <c r="AC41" s="724"/>
    </row>
    <row r="42" spans="1:29" ht="13" customHeight="1" x14ac:dyDescent="0.2">
      <c r="A42" s="47"/>
      <c r="B42" s="46"/>
      <c r="C42" s="46"/>
      <c r="L42" s="296" t="s">
        <v>1683</v>
      </c>
      <c r="M42" s="680">
        <f>PerA!M42</f>
        <v>0</v>
      </c>
      <c r="N42" s="695"/>
      <c r="O42" s="680">
        <f>PerB!M42</f>
        <v>33</v>
      </c>
      <c r="P42" s="695"/>
      <c r="Q42" s="680">
        <f>PerC!M42</f>
        <v>0</v>
      </c>
      <c r="R42" s="695"/>
      <c r="S42" s="680">
        <f>PerD!M42</f>
        <v>0</v>
      </c>
      <c r="T42" s="679"/>
      <c r="U42" s="643" t="s">
        <v>1731</v>
      </c>
      <c r="V42" s="723">
        <f>PerA!S49</f>
        <v>8</v>
      </c>
      <c r="W42" s="724"/>
      <c r="X42" s="725">
        <f>PerB!S49</f>
        <v>54</v>
      </c>
      <c r="Y42" s="726"/>
      <c r="Z42" s="723">
        <f>PerC!S49</f>
        <v>12.5</v>
      </c>
      <c r="AA42" s="724"/>
      <c r="AB42" s="725">
        <f>PerD!S49</f>
        <v>54</v>
      </c>
      <c r="AC42" s="724"/>
    </row>
    <row r="43" spans="1:29" ht="13" customHeight="1" x14ac:dyDescent="0.2">
      <c r="A43" s="47"/>
      <c r="B43" s="46"/>
      <c r="C43" s="46"/>
      <c r="L43" s="296" t="s">
        <v>1684</v>
      </c>
      <c r="M43" s="680">
        <f>PerA!M43</f>
        <v>0</v>
      </c>
      <c r="N43" s="695"/>
      <c r="O43" s="680">
        <f>PerB!M43</f>
        <v>0</v>
      </c>
      <c r="P43" s="695"/>
      <c r="Q43" s="680">
        <f>PerC!M43</f>
        <v>0</v>
      </c>
      <c r="R43" s="695"/>
      <c r="S43" s="680">
        <f>PerD!M43</f>
        <v>0</v>
      </c>
      <c r="T43" s="679"/>
      <c r="U43" s="263" t="s">
        <v>1732</v>
      </c>
      <c r="V43" s="723">
        <f>PerA!S50</f>
        <v>35</v>
      </c>
      <c r="W43" s="724"/>
      <c r="X43" s="725">
        <f>PerB!S50</f>
        <v>45</v>
      </c>
      <c r="Y43" s="726"/>
      <c r="Z43" s="723">
        <f>PerC!S50</f>
        <v>65</v>
      </c>
      <c r="AA43" s="724"/>
      <c r="AB43" s="725">
        <f>PerD!S50</f>
        <v>50</v>
      </c>
      <c r="AC43" s="724"/>
    </row>
    <row r="44" spans="1:29" ht="13" customHeight="1" x14ac:dyDescent="0.2">
      <c r="A44" s="47"/>
      <c r="B44" s="46"/>
      <c r="C44" s="46"/>
      <c r="L44" s="296" t="s">
        <v>1685</v>
      </c>
      <c r="M44" s="680">
        <f>PerA!M44</f>
        <v>0</v>
      </c>
      <c r="N44" s="695"/>
      <c r="O44" s="680">
        <f>PerB!M44</f>
        <v>0</v>
      </c>
      <c r="P44" s="695"/>
      <c r="Q44" s="680">
        <f>PerC!M44</f>
        <v>0</v>
      </c>
      <c r="R44" s="695"/>
      <c r="S44" s="680">
        <f>PerD!M44</f>
        <v>0</v>
      </c>
      <c r="T44" s="679"/>
      <c r="U44" s="263" t="s">
        <v>1733</v>
      </c>
      <c r="V44" s="723">
        <f>PerA!S51</f>
        <v>8</v>
      </c>
      <c r="W44" s="724"/>
      <c r="X44" s="725">
        <f>PerB!S51</f>
        <v>18</v>
      </c>
      <c r="Y44" s="726"/>
      <c r="Z44" s="723">
        <f>PerC!S51</f>
        <v>12.5</v>
      </c>
      <c r="AA44" s="724"/>
      <c r="AB44" s="725">
        <f>PerD!S51</f>
        <v>18</v>
      </c>
      <c r="AC44" s="724"/>
    </row>
    <row r="45" spans="1:29" ht="13" customHeight="1" x14ac:dyDescent="0.2">
      <c r="A45" s="47"/>
      <c r="B45" s="46"/>
      <c r="C45" s="46"/>
      <c r="L45" s="642" t="s">
        <v>1686</v>
      </c>
      <c r="M45" s="680">
        <f>PerA!M45</f>
        <v>61</v>
      </c>
      <c r="N45" s="695"/>
      <c r="O45" s="680">
        <f>PerB!M45</f>
        <v>0</v>
      </c>
      <c r="P45" s="695"/>
      <c r="Q45" s="680">
        <f>PerC!M45</f>
        <v>0</v>
      </c>
      <c r="R45" s="695"/>
      <c r="S45" s="680">
        <f>PerD!M45</f>
        <v>0</v>
      </c>
      <c r="T45" s="679"/>
      <c r="U45" s="263" t="s">
        <v>1734</v>
      </c>
      <c r="V45" s="723">
        <f>PerA!S52</f>
        <v>8</v>
      </c>
      <c r="W45" s="724"/>
      <c r="X45" s="725">
        <f>PerB!S52</f>
        <v>42</v>
      </c>
      <c r="Y45" s="726"/>
      <c r="Z45" s="723">
        <f>PerC!S52</f>
        <v>42</v>
      </c>
      <c r="AA45" s="724"/>
      <c r="AB45" s="725">
        <f>PerD!S52</f>
        <v>12</v>
      </c>
      <c r="AC45" s="724"/>
    </row>
    <row r="46" spans="1:29" ht="13" customHeight="1" x14ac:dyDescent="0.2">
      <c r="A46" s="47"/>
      <c r="B46" s="46"/>
      <c r="C46" s="46"/>
      <c r="L46" s="642" t="s">
        <v>1687</v>
      </c>
      <c r="M46" s="678">
        <f>PerA!M47</f>
        <v>0</v>
      </c>
      <c r="N46" s="695"/>
      <c r="O46" s="678">
        <f>PerB!M47</f>
        <v>0</v>
      </c>
      <c r="P46" s="695"/>
      <c r="Q46" s="678">
        <f>PerC!M47</f>
        <v>0</v>
      </c>
      <c r="R46" s="695"/>
      <c r="S46" s="678">
        <f>PerD!M47</f>
        <v>0</v>
      </c>
      <c r="T46" s="679"/>
      <c r="U46" s="643" t="s">
        <v>1735</v>
      </c>
      <c r="V46" s="723">
        <f>PerA!S53</f>
        <v>11</v>
      </c>
      <c r="W46" s="724"/>
      <c r="X46" s="725">
        <f>PerB!S53</f>
        <v>12</v>
      </c>
      <c r="Y46" s="726"/>
      <c r="Z46" s="723">
        <f>PerC!S53</f>
        <v>44</v>
      </c>
      <c r="AA46" s="724"/>
      <c r="AB46" s="725">
        <f>PerD!S53</f>
        <v>4</v>
      </c>
      <c r="AC46" s="724"/>
    </row>
    <row r="47" spans="1:29" ht="13" customHeight="1" x14ac:dyDescent="0.2">
      <c r="A47" s="47"/>
      <c r="B47" s="46"/>
      <c r="C47" s="46"/>
      <c r="L47" s="296" t="s">
        <v>1688</v>
      </c>
      <c r="M47" s="678">
        <f>PerA!M50</f>
        <v>0</v>
      </c>
      <c r="N47" s="695"/>
      <c r="O47" s="678">
        <f>PerB!M50</f>
        <v>0</v>
      </c>
      <c r="P47" s="695"/>
      <c r="Q47" s="678">
        <f>PerC!M50</f>
        <v>28</v>
      </c>
      <c r="R47" s="695"/>
      <c r="S47" s="678">
        <f>PerD!M50</f>
        <v>0</v>
      </c>
      <c r="T47" s="679"/>
      <c r="U47" s="263" t="s">
        <v>1736</v>
      </c>
      <c r="V47" s="723">
        <f>PerA!S54</f>
        <v>19</v>
      </c>
      <c r="W47" s="724"/>
      <c r="X47" s="725">
        <f>PerB!S54</f>
        <v>44</v>
      </c>
      <c r="Y47" s="726"/>
      <c r="Z47" s="723">
        <f>PerC!S54</f>
        <v>60</v>
      </c>
      <c r="AA47" s="724"/>
      <c r="AB47" s="725">
        <f>PerD!S54</f>
        <v>51</v>
      </c>
      <c r="AC47" s="724"/>
    </row>
    <row r="48" spans="1:29" ht="13" customHeight="1" x14ac:dyDescent="0.2">
      <c r="A48" s="47"/>
      <c r="B48" s="46"/>
      <c r="C48" s="46"/>
      <c r="L48" s="642" t="s">
        <v>1689</v>
      </c>
      <c r="M48" s="678">
        <f>PerA!M51</f>
        <v>80</v>
      </c>
      <c r="N48" s="695"/>
      <c r="O48" s="678">
        <f>PerB!M51</f>
        <v>47</v>
      </c>
      <c r="P48" s="695"/>
      <c r="Q48" s="678">
        <f>PerC!M51</f>
        <v>26</v>
      </c>
      <c r="R48" s="695"/>
      <c r="S48" s="678">
        <f>PerD!M51</f>
        <v>57</v>
      </c>
      <c r="T48" s="679"/>
      <c r="U48" s="643" t="s">
        <v>1737</v>
      </c>
      <c r="V48" s="723">
        <f>PerA!S55</f>
        <v>8</v>
      </c>
      <c r="W48" s="724"/>
      <c r="X48" s="725">
        <f>PerB!S55</f>
        <v>16.5</v>
      </c>
      <c r="Y48" s="726"/>
      <c r="Z48" s="723">
        <f>PerC!S55</f>
        <v>12.5</v>
      </c>
      <c r="AA48" s="724"/>
      <c r="AB48" s="725">
        <f>PerD!S55</f>
        <v>18</v>
      </c>
      <c r="AC48" s="724"/>
    </row>
    <row r="49" spans="1:29" ht="13" customHeight="1" x14ac:dyDescent="0.2">
      <c r="A49" s="47"/>
      <c r="B49" s="46"/>
      <c r="C49" s="46"/>
      <c r="L49" s="642" t="s">
        <v>1690</v>
      </c>
      <c r="M49" s="678">
        <f>PerA!M56</f>
        <v>36</v>
      </c>
      <c r="N49" s="695"/>
      <c r="O49" s="678">
        <f>PerB!M56</f>
        <v>0</v>
      </c>
      <c r="P49" s="695"/>
      <c r="Q49" s="678">
        <f>PerC!M56</f>
        <v>0</v>
      </c>
      <c r="R49" s="695"/>
      <c r="S49" s="678">
        <f>PerD!M56</f>
        <v>0</v>
      </c>
      <c r="T49" s="679"/>
      <c r="U49" s="263" t="s">
        <v>1738</v>
      </c>
      <c r="V49" s="723">
        <f>PerA!S56</f>
        <v>7</v>
      </c>
      <c r="W49" s="724"/>
      <c r="X49" s="725">
        <f>PerB!S56</f>
        <v>40</v>
      </c>
      <c r="Y49" s="726"/>
      <c r="Z49" s="723">
        <f>PerC!S56</f>
        <v>16.5</v>
      </c>
      <c r="AA49" s="724"/>
      <c r="AB49" s="725">
        <f>PerD!S56</f>
        <v>53</v>
      </c>
      <c r="AC49" s="724"/>
    </row>
    <row r="50" spans="1:29" ht="13" customHeight="1" x14ac:dyDescent="0.2">
      <c r="A50" s="47"/>
      <c r="B50" s="46"/>
      <c r="C50" s="46"/>
      <c r="L50" s="642" t="s">
        <v>1691</v>
      </c>
      <c r="M50" s="678">
        <f>PerA!M60</f>
        <v>0</v>
      </c>
      <c r="N50" s="695"/>
      <c r="O50" s="678">
        <f>PerB!M60</f>
        <v>0</v>
      </c>
      <c r="P50" s="695"/>
      <c r="Q50" s="678">
        <f>PerC!M60</f>
        <v>0</v>
      </c>
      <c r="R50" s="695"/>
      <c r="S50" s="678">
        <f>PerD!M60</f>
        <v>0</v>
      </c>
      <c r="T50" s="679"/>
      <c r="U50" s="643" t="s">
        <v>1739</v>
      </c>
      <c r="V50" s="723">
        <f>PerA!S57</f>
        <v>5.5</v>
      </c>
      <c r="W50" s="724"/>
      <c r="X50" s="725">
        <f>PerB!S57</f>
        <v>8.5</v>
      </c>
      <c r="Y50" s="726"/>
      <c r="Z50" s="723">
        <f>PerC!S57</f>
        <v>18</v>
      </c>
      <c r="AA50" s="724"/>
      <c r="AB50" s="725">
        <f>PerD!S57</f>
        <v>4</v>
      </c>
      <c r="AC50" s="724"/>
    </row>
    <row r="51" spans="1:29" ht="13" customHeight="1" x14ac:dyDescent="0.2">
      <c r="A51" s="47"/>
      <c r="B51" s="46"/>
      <c r="C51" s="46"/>
      <c r="L51" s="296" t="s">
        <v>1692</v>
      </c>
      <c r="M51" s="678">
        <f>PerA!M63</f>
        <v>0</v>
      </c>
      <c r="N51" s="695"/>
      <c r="O51" s="678">
        <f>PerB!M63</f>
        <v>0</v>
      </c>
      <c r="P51" s="695"/>
      <c r="Q51" s="678">
        <f>PerC!M63</f>
        <v>0</v>
      </c>
      <c r="R51" s="695"/>
      <c r="S51" s="678">
        <f>PerD!M63</f>
        <v>0</v>
      </c>
      <c r="T51" s="679"/>
      <c r="U51" s="643" t="s">
        <v>1740</v>
      </c>
      <c r="V51" s="723">
        <f>PerA!S58</f>
        <v>5.5</v>
      </c>
      <c r="W51" s="724"/>
      <c r="X51" s="725">
        <f>PerB!S58</f>
        <v>8.5</v>
      </c>
      <c r="Y51" s="726"/>
      <c r="Z51" s="723">
        <f>PerC!S58</f>
        <v>60</v>
      </c>
      <c r="AA51" s="724"/>
      <c r="AB51" s="725">
        <f>PerD!S58</f>
        <v>4</v>
      </c>
      <c r="AC51" s="724"/>
    </row>
    <row r="52" spans="1:29" ht="13" customHeight="1" x14ac:dyDescent="0.2">
      <c r="A52" s="47"/>
      <c r="B52" s="46"/>
      <c r="C52" s="46"/>
      <c r="L52" s="296" t="s">
        <v>1693</v>
      </c>
      <c r="M52" s="678">
        <f>PerA!M64</f>
        <v>67</v>
      </c>
      <c r="N52" s="695"/>
      <c r="O52" s="678">
        <f>PerB!M64</f>
        <v>0</v>
      </c>
      <c r="P52" s="695"/>
      <c r="Q52" s="678">
        <f>PerC!M64</f>
        <v>0</v>
      </c>
      <c r="R52" s="695"/>
      <c r="S52" s="678">
        <f>PerD!M64</f>
        <v>0</v>
      </c>
      <c r="T52" s="679"/>
      <c r="U52" s="643" t="s">
        <v>1741</v>
      </c>
      <c r="V52" s="723">
        <f>PerA!S59</f>
        <v>29</v>
      </c>
      <c r="W52" s="724"/>
      <c r="X52" s="725">
        <f>PerB!S59</f>
        <v>8.5</v>
      </c>
      <c r="Y52" s="726"/>
      <c r="Z52" s="723">
        <f>PerC!S59</f>
        <v>17</v>
      </c>
      <c r="AA52" s="724"/>
      <c r="AB52" s="725">
        <f>PerD!S59</f>
        <v>4</v>
      </c>
      <c r="AC52" s="724"/>
    </row>
    <row r="53" spans="1:29" ht="13" customHeight="1" x14ac:dyDescent="0.2">
      <c r="A53" s="47"/>
      <c r="B53" s="46"/>
      <c r="C53" s="46"/>
      <c r="L53" s="296" t="s">
        <v>1694</v>
      </c>
      <c r="M53" s="678">
        <f>PerA!M65</f>
        <v>0</v>
      </c>
      <c r="N53" s="695"/>
      <c r="O53" s="678">
        <f>PerB!M65</f>
        <v>0</v>
      </c>
      <c r="P53" s="695"/>
      <c r="Q53" s="678">
        <f>PerC!M65</f>
        <v>0</v>
      </c>
      <c r="R53" s="695"/>
      <c r="S53" s="678">
        <f>PerD!M65</f>
        <v>61</v>
      </c>
      <c r="T53" s="679"/>
      <c r="U53" s="263" t="s">
        <v>1742</v>
      </c>
      <c r="V53" s="723">
        <f>PerA!S60</f>
        <v>5.5</v>
      </c>
      <c r="W53" s="724"/>
      <c r="X53" s="725">
        <f>PerB!S60</f>
        <v>18</v>
      </c>
      <c r="Y53" s="726"/>
      <c r="Z53" s="723">
        <f>PerC!S60</f>
        <v>23</v>
      </c>
      <c r="AA53" s="724"/>
      <c r="AB53" s="725">
        <f>PerD!S60</f>
        <v>4</v>
      </c>
      <c r="AC53" s="724"/>
    </row>
    <row r="54" spans="1:29" ht="13" customHeight="1" x14ac:dyDescent="0.2">
      <c r="A54" s="47"/>
      <c r="B54" s="46"/>
      <c r="C54" s="46"/>
      <c r="L54" s="296" t="s">
        <v>1695</v>
      </c>
      <c r="M54" s="678">
        <f>PerA!M66</f>
        <v>0</v>
      </c>
      <c r="N54" s="695"/>
      <c r="O54" s="678">
        <f>PerB!M66</f>
        <v>0</v>
      </c>
      <c r="P54" s="695"/>
      <c r="Q54" s="678">
        <f>PerC!M66</f>
        <v>0</v>
      </c>
      <c r="R54" s="695"/>
      <c r="S54" s="678">
        <f>PerD!M66</f>
        <v>0</v>
      </c>
      <c r="T54" s="679"/>
      <c r="U54" s="263" t="s">
        <v>1743</v>
      </c>
      <c r="V54" s="723">
        <f>PerA!S61</f>
        <v>32</v>
      </c>
      <c r="W54" s="724"/>
      <c r="X54" s="725">
        <f>PerB!S61</f>
        <v>5.5</v>
      </c>
      <c r="Y54" s="726"/>
      <c r="Z54" s="723">
        <f>PerC!S61</f>
        <v>16</v>
      </c>
      <c r="AA54" s="724"/>
      <c r="AB54" s="725">
        <f>PerD!S61</f>
        <v>5</v>
      </c>
      <c r="AC54" s="724"/>
    </row>
    <row r="55" spans="1:29" ht="13" customHeight="1" x14ac:dyDescent="0.2">
      <c r="A55" s="47"/>
      <c r="B55" s="46"/>
      <c r="C55" s="46"/>
      <c r="L55" s="296" t="s">
        <v>1696</v>
      </c>
      <c r="M55" s="678">
        <f>PerA!M67</f>
        <v>21</v>
      </c>
      <c r="N55" s="695"/>
      <c r="O55" s="678">
        <f>PerB!M67</f>
        <v>57</v>
      </c>
      <c r="P55" s="695"/>
      <c r="Q55" s="678">
        <f>PerC!M67</f>
        <v>0</v>
      </c>
      <c r="R55" s="695"/>
      <c r="S55" s="678">
        <f>PerD!M67</f>
        <v>0</v>
      </c>
      <c r="T55" s="679"/>
      <c r="U55" s="643" t="s">
        <v>1744</v>
      </c>
      <c r="V55" s="723">
        <f>PerA!S62</f>
        <v>5.5</v>
      </c>
      <c r="W55" s="724"/>
      <c r="X55" s="725">
        <f>PerB!S62</f>
        <v>8.5</v>
      </c>
      <c r="Y55" s="726"/>
      <c r="Z55" s="723">
        <f>PerC!S62</f>
        <v>18</v>
      </c>
      <c r="AA55" s="724"/>
      <c r="AB55" s="725">
        <f>PerD!S62</f>
        <v>4</v>
      </c>
      <c r="AC55" s="724"/>
    </row>
    <row r="56" spans="1:29" ht="13" customHeight="1" thickBot="1" x14ac:dyDescent="0.25">
      <c r="A56" s="47"/>
      <c r="B56" s="46"/>
      <c r="C56" s="46"/>
      <c r="L56" s="296" t="s">
        <v>1697</v>
      </c>
      <c r="M56" s="696">
        <f>PerA!M68</f>
        <v>0</v>
      </c>
      <c r="N56" s="697"/>
      <c r="O56" s="696">
        <f>PerB!M68</f>
        <v>0</v>
      </c>
      <c r="P56" s="697"/>
      <c r="Q56" s="696">
        <f>PerC!M68</f>
        <v>0</v>
      </c>
      <c r="R56" s="697"/>
      <c r="S56" s="696">
        <f>PerD!M68</f>
        <v>62</v>
      </c>
      <c r="T56" s="705"/>
      <c r="U56" s="263" t="s">
        <v>1745</v>
      </c>
      <c r="V56" s="723">
        <f>PerA!S63</f>
        <v>20</v>
      </c>
      <c r="W56" s="724"/>
      <c r="X56" s="725">
        <f>PerB!S63</f>
        <v>37</v>
      </c>
      <c r="Y56" s="726"/>
      <c r="Z56" s="723">
        <f>PerC!S63</f>
        <v>20</v>
      </c>
      <c r="AA56" s="724"/>
      <c r="AB56" s="725">
        <f>PerD!S63</f>
        <v>40</v>
      </c>
      <c r="AC56" s="724"/>
    </row>
    <row r="57" spans="1:29" ht="14" customHeight="1" thickBot="1" x14ac:dyDescent="0.25">
      <c r="A57" s="47"/>
      <c r="B57" s="46"/>
      <c r="C57" s="46"/>
      <c r="L57" s="264" t="s">
        <v>1021</v>
      </c>
      <c r="M57" s="709"/>
      <c r="N57" s="707"/>
      <c r="O57" s="709"/>
      <c r="P57" s="707"/>
      <c r="Q57" s="709"/>
      <c r="R57" s="707"/>
      <c r="S57" s="706"/>
      <c r="T57" s="707"/>
      <c r="U57" s="263" t="s">
        <v>1746</v>
      </c>
      <c r="V57" s="723">
        <f>PerA!S64</f>
        <v>15</v>
      </c>
      <c r="W57" s="724"/>
      <c r="X57" s="725">
        <f>PerB!S64</f>
        <v>41</v>
      </c>
      <c r="Y57" s="726"/>
      <c r="Z57" s="723">
        <f>PerC!S64</f>
        <v>58</v>
      </c>
      <c r="AA57" s="724"/>
      <c r="AB57" s="725">
        <f>PerD!S64</f>
        <v>8</v>
      </c>
      <c r="AC57" s="724"/>
    </row>
    <row r="58" spans="1:29" ht="14" customHeight="1" thickBot="1" x14ac:dyDescent="0.25">
      <c r="A58" s="47"/>
      <c r="B58" s="46"/>
      <c r="C58" s="46"/>
      <c r="L58" s="265" t="s">
        <v>1022</v>
      </c>
      <c r="M58" s="710"/>
      <c r="N58" s="708"/>
      <c r="O58" s="710"/>
      <c r="P58" s="708"/>
      <c r="Q58" s="710"/>
      <c r="R58" s="708"/>
      <c r="S58" s="673"/>
      <c r="T58" s="708"/>
      <c r="U58" s="263" t="s">
        <v>1747</v>
      </c>
      <c r="V58" s="723">
        <f>PerA!S65</f>
        <v>13.5</v>
      </c>
      <c r="W58" s="724"/>
      <c r="X58" s="725">
        <f>PerB!S65</f>
        <v>8.5</v>
      </c>
      <c r="Y58" s="726"/>
      <c r="Z58" s="723">
        <f>PerC!S65</f>
        <v>3.5</v>
      </c>
      <c r="AA58" s="724"/>
      <c r="AB58" s="725">
        <f>PerD!S65</f>
        <v>11</v>
      </c>
      <c r="AC58" s="724"/>
    </row>
    <row r="59" spans="1:29" ht="14" customHeight="1" thickBot="1" x14ac:dyDescent="0.25">
      <c r="A59" s="47"/>
      <c r="B59" s="46"/>
      <c r="C59" s="46"/>
      <c r="L59" s="264" t="s">
        <v>1023</v>
      </c>
      <c r="M59" s="710"/>
      <c r="N59" s="708"/>
      <c r="O59" s="710"/>
      <c r="P59" s="708"/>
      <c r="Q59" s="710"/>
      <c r="R59" s="708"/>
      <c r="S59" s="673"/>
      <c r="T59" s="708"/>
      <c r="U59" s="266" t="s">
        <v>1748</v>
      </c>
      <c r="V59" s="727">
        <f>PerA!S66</f>
        <v>9</v>
      </c>
      <c r="W59" s="728"/>
      <c r="X59" s="729">
        <f>PerB!S66</f>
        <v>36</v>
      </c>
      <c r="Y59" s="730"/>
      <c r="Z59" s="727">
        <f>PerC!S66</f>
        <v>51</v>
      </c>
      <c r="AA59" s="728"/>
      <c r="AB59" s="729">
        <f>PerD!S66</f>
        <v>11</v>
      </c>
      <c r="AC59" s="728"/>
    </row>
    <row r="60" spans="1:29" ht="14" customHeight="1" thickBot="1" x14ac:dyDescent="0.25">
      <c r="A60" s="47"/>
      <c r="B60" s="46"/>
      <c r="C60" s="46"/>
      <c r="L60" s="265" t="s">
        <v>1024</v>
      </c>
      <c r="M60" s="710"/>
      <c r="N60" s="708"/>
      <c r="O60" s="710"/>
      <c r="P60" s="708"/>
      <c r="Q60" s="710"/>
      <c r="R60" s="708"/>
      <c r="S60" s="673"/>
      <c r="T60" s="708"/>
      <c r="U60" s="711"/>
      <c r="V60" s="706"/>
      <c r="W60" s="706"/>
      <c r="X60" s="706"/>
      <c r="Y60" s="706"/>
      <c r="Z60" s="706"/>
      <c r="AA60" s="706"/>
      <c r="AB60" s="706"/>
      <c r="AC60" s="707"/>
    </row>
    <row r="61" spans="1:29" ht="27.65" customHeight="1" x14ac:dyDescent="0.2">
      <c r="A61" s="47" t="s">
        <v>216</v>
      </c>
      <c r="B61" s="46">
        <v>40</v>
      </c>
      <c r="C61" s="46">
        <v>7</v>
      </c>
      <c r="D61" s="43" t="str">
        <f t="shared" si="0"/>
        <v>Ébénisterie/40-7</v>
      </c>
    </row>
    <row r="62" spans="1:29" ht="27.65" customHeight="1" x14ac:dyDescent="0.2">
      <c r="A62" s="47" t="s">
        <v>1006</v>
      </c>
      <c r="B62" s="46">
        <v>20</v>
      </c>
      <c r="C62" s="46">
        <v>4</v>
      </c>
      <c r="D62" s="43" t="str">
        <f t="shared" si="0"/>
        <v>Élevage + race/20-4</v>
      </c>
    </row>
    <row r="63" spans="1:29" ht="27.65" customHeight="1" x14ac:dyDescent="0.2">
      <c r="A63" s="47" t="s">
        <v>1007</v>
      </c>
      <c r="B63" s="46">
        <v>40</v>
      </c>
      <c r="C63" s="46">
        <v>7</v>
      </c>
      <c r="D63" s="43" t="str">
        <f t="shared" si="0"/>
        <v>Équarrissage/40-7</v>
      </c>
    </row>
    <row r="64" spans="1:29" ht="27.65" customHeight="1" x14ac:dyDescent="0.2">
      <c r="A64" s="47" t="s">
        <v>218</v>
      </c>
      <c r="B64" s="46">
        <v>10</v>
      </c>
      <c r="C64" s="46">
        <v>6</v>
      </c>
      <c r="D64" s="43" t="str">
        <f t="shared" si="0"/>
        <v>Escalade/10-6</v>
      </c>
    </row>
    <row r="65" spans="1:4" ht="27.65" customHeight="1" x14ac:dyDescent="0.2">
      <c r="A65" s="47" t="s">
        <v>219</v>
      </c>
      <c r="B65" s="46">
        <v>50</v>
      </c>
      <c r="C65" s="46">
        <v>7</v>
      </c>
      <c r="D65" s="43" t="str">
        <f t="shared" si="0"/>
        <v>Forge/50-7</v>
      </c>
    </row>
    <row r="66" spans="1:4" ht="27.65" customHeight="1" x14ac:dyDescent="0.2">
      <c r="A66" s="47" t="s">
        <v>1008</v>
      </c>
      <c r="B66" s="46">
        <v>60</v>
      </c>
      <c r="C66" s="46">
        <v>4</v>
      </c>
      <c r="D66" s="43" t="str">
        <f t="shared" si="0"/>
        <v>Gestion + structure/60-4</v>
      </c>
    </row>
    <row r="67" spans="1:4" ht="27.65" customHeight="1" x14ac:dyDescent="0.2">
      <c r="A67" s="47" t="s">
        <v>220</v>
      </c>
      <c r="B67" s="46">
        <v>50</v>
      </c>
      <c r="C67" s="46">
        <v>7</v>
      </c>
      <c r="D67" s="43" t="str">
        <f t="shared" si="0"/>
        <v>Héraldique/50-7</v>
      </c>
    </row>
    <row r="68" spans="1:4" ht="27.65" customHeight="1" x14ac:dyDescent="0.2">
      <c r="A68" s="47" t="s">
        <v>221</v>
      </c>
      <c r="B68" s="46">
        <v>50</v>
      </c>
      <c r="C68" s="46">
        <v>7</v>
      </c>
      <c r="D68" s="43" t="str">
        <f t="shared" si="0"/>
        <v>Herboristerie/50-7</v>
      </c>
    </row>
    <row r="69" spans="1:4" ht="27.65" customHeight="1" x14ac:dyDescent="0.2">
      <c r="A69" s="47" t="s">
        <v>1009</v>
      </c>
      <c r="B69" s="46">
        <v>50</v>
      </c>
      <c r="C69" s="46">
        <v>8</v>
      </c>
      <c r="D69" s="43" t="str">
        <f t="shared" si="0"/>
        <v>Ingénierie/50-8</v>
      </c>
    </row>
    <row r="70" spans="1:4" ht="27.65" customHeight="1" x14ac:dyDescent="0.2">
      <c r="A70" s="47" t="s">
        <v>1010</v>
      </c>
      <c r="B70" s="46">
        <v>40</v>
      </c>
      <c r="C70" s="46">
        <v>6</v>
      </c>
      <c r="D70" s="43" t="str">
        <f t="shared" si="0"/>
        <v>Intrigue/40-6</v>
      </c>
    </row>
    <row r="71" spans="1:4" ht="27.65" customHeight="1" x14ac:dyDescent="0.2">
      <c r="A71" s="47" t="s">
        <v>223</v>
      </c>
      <c r="B71" s="46">
        <v>40</v>
      </c>
      <c r="C71" s="46">
        <v>6</v>
      </c>
      <c r="D71" s="43" t="str">
        <f t="shared" si="0"/>
        <v>Jeu /40-6</v>
      </c>
    </row>
    <row r="72" spans="1:4" ht="27.65" customHeight="1" x14ac:dyDescent="0.2">
      <c r="A72" s="47" t="s">
        <v>224</v>
      </c>
      <c r="B72" s="46">
        <v>60</v>
      </c>
      <c r="C72" s="46">
        <v>9</v>
      </c>
      <c r="D72" s="43" t="str">
        <f t="shared" si="0"/>
        <v>Joaillerie/60-9</v>
      </c>
    </row>
    <row r="73" spans="1:4" ht="27.65" customHeight="1" x14ac:dyDescent="0.2">
      <c r="A73" s="47" t="s">
        <v>277</v>
      </c>
      <c r="B73" s="46">
        <v>50</v>
      </c>
      <c r="C73" s="46">
        <v>9</v>
      </c>
      <c r="D73" s="43" t="str">
        <f t="shared" si="0"/>
        <v>Langue Divine + /50-9</v>
      </c>
    </row>
    <row r="74" spans="1:4" ht="27.65" customHeight="1" x14ac:dyDescent="0.2">
      <c r="A74" s="47" t="s">
        <v>278</v>
      </c>
      <c r="B74" s="46">
        <v>30</v>
      </c>
      <c r="C74" s="46">
        <v>8</v>
      </c>
      <c r="D74" s="43" t="str">
        <f t="shared" si="0"/>
        <v>Langue non-humaine + /30-8</v>
      </c>
    </row>
    <row r="75" spans="1:4" ht="27.65" customHeight="1" x14ac:dyDescent="0.2">
      <c r="A75" s="47" t="s">
        <v>1011</v>
      </c>
      <c r="B75" s="46">
        <v>10</v>
      </c>
      <c r="C75" s="46">
        <v>3</v>
      </c>
      <c r="D75" s="43" t="str">
        <f t="shared" si="0"/>
        <v>Langage des signes/10-3</v>
      </c>
    </row>
    <row r="76" spans="1:4" ht="27.65" customHeight="1" x14ac:dyDescent="0.2">
      <c r="A76" s="47" t="s">
        <v>1018</v>
      </c>
      <c r="B76" s="46">
        <v>10</v>
      </c>
      <c r="C76" s="46">
        <v>2</v>
      </c>
      <c r="D76" s="43" t="str">
        <f t="shared" si="0"/>
        <v>Langage + /10-2</v>
      </c>
    </row>
    <row r="77" spans="1:4" ht="27.65" customHeight="1" x14ac:dyDescent="0.2">
      <c r="A77" s="47" t="s">
        <v>1019</v>
      </c>
      <c r="B77" s="46">
        <v>40</v>
      </c>
      <c r="C77" s="46">
        <v>5</v>
      </c>
      <c r="D77" s="43" t="str">
        <f t="shared" si="0"/>
        <v>Lecture + /40-5</v>
      </c>
    </row>
    <row r="78" spans="1:4" ht="27.65" customHeight="1" x14ac:dyDescent="0.2">
      <c r="A78" s="47" t="s">
        <v>1020</v>
      </c>
      <c r="B78" s="46">
        <v>20</v>
      </c>
      <c r="C78" s="46">
        <v>4</v>
      </c>
      <c r="D78" s="43" t="str">
        <f t="shared" si="0"/>
        <v>Lecture lèvres + /20-4</v>
      </c>
    </row>
    <row r="79" spans="1:4" ht="27.65" customHeight="1" x14ac:dyDescent="0.2">
      <c r="A79" s="47" t="s">
        <v>1012</v>
      </c>
      <c r="B79" s="46">
        <v>20</v>
      </c>
      <c r="C79" s="46">
        <v>5</v>
      </c>
      <c r="D79" s="43" t="str">
        <f t="shared" si="0"/>
        <v>Maçonnerie/20-5</v>
      </c>
    </row>
    <row r="80" spans="1:4" ht="27.65" customHeight="1" x14ac:dyDescent="0.2">
      <c r="A80" s="47" t="s">
        <v>51</v>
      </c>
      <c r="B80" s="46">
        <v>90</v>
      </c>
      <c r="C80" s="46">
        <v>9</v>
      </c>
      <c r="D80" s="43" t="str">
        <f t="shared" si="0"/>
        <v>Magie/90-9</v>
      </c>
    </row>
    <row r="81" spans="1:4" ht="27.65" customHeight="1" x14ac:dyDescent="0.2">
      <c r="A81" s="47" t="s">
        <v>226</v>
      </c>
      <c r="B81" s="46">
        <v>20</v>
      </c>
      <c r="C81" s="46">
        <v>6</v>
      </c>
      <c r="D81" s="43" t="str">
        <f t="shared" si="0"/>
        <v>Maquillage/20-6</v>
      </c>
    </row>
    <row r="82" spans="1:4" ht="27.65" customHeight="1" x14ac:dyDescent="0.2">
      <c r="A82" s="47" t="s">
        <v>227</v>
      </c>
      <c r="B82" s="46">
        <v>10</v>
      </c>
      <c r="C82" s="46">
        <v>6</v>
      </c>
      <c r="D82" s="43" t="str">
        <f t="shared" si="0"/>
        <v>Marine/10-6</v>
      </c>
    </row>
    <row r="83" spans="1:4" ht="27.65" customHeight="1" x14ac:dyDescent="0.2">
      <c r="A83" s="47" t="s">
        <v>228</v>
      </c>
      <c r="B83" s="46">
        <v>70</v>
      </c>
      <c r="C83" s="46">
        <v>6</v>
      </c>
      <c r="D83" s="43" t="str">
        <f t="shared" si="0"/>
        <v>Médecine/70-6</v>
      </c>
    </row>
    <row r="84" spans="1:4" ht="27.65" customHeight="1" x14ac:dyDescent="0.2">
      <c r="A84" s="47" t="s">
        <v>229</v>
      </c>
      <c r="B84" s="46">
        <v>10</v>
      </c>
      <c r="C84" s="46">
        <v>2</v>
      </c>
      <c r="D84" s="43" t="str">
        <f t="shared" si="0"/>
        <v>Mendicité/10-2</v>
      </c>
    </row>
    <row r="85" spans="1:4" ht="27.65" customHeight="1" x14ac:dyDescent="0.2">
      <c r="A85" s="47" t="s">
        <v>230</v>
      </c>
      <c r="B85" s="46">
        <v>30</v>
      </c>
      <c r="C85" s="46">
        <v>4</v>
      </c>
      <c r="D85" s="43" t="str">
        <f t="shared" si="0"/>
        <v>Mine/30-4</v>
      </c>
    </row>
    <row r="86" spans="1:4" ht="27.65" customHeight="1" x14ac:dyDescent="0.2">
      <c r="A86" s="47" t="s">
        <v>231</v>
      </c>
      <c r="B86" s="46">
        <v>70</v>
      </c>
      <c r="C86" s="46">
        <v>7</v>
      </c>
      <c r="D86" s="43" t="str">
        <f t="shared" si="0"/>
        <v>Minéraux/70-7</v>
      </c>
    </row>
    <row r="87" spans="1:4" ht="27.65" customHeight="1" x14ac:dyDescent="0.2">
      <c r="A87" s="47" t="s">
        <v>280</v>
      </c>
      <c r="B87" s="46">
        <v>30</v>
      </c>
      <c r="C87" s="46">
        <v>6</v>
      </c>
      <c r="D87" s="43" t="str">
        <f t="shared" si="0"/>
        <v>Musique + /30-6</v>
      </c>
    </row>
    <row r="88" spans="1:4" ht="27.65" customHeight="1" x14ac:dyDescent="0.2">
      <c r="A88" s="47" t="s">
        <v>232</v>
      </c>
      <c r="B88" s="46">
        <v>10</v>
      </c>
      <c r="C88" s="46">
        <v>4</v>
      </c>
      <c r="D88" s="43" t="str">
        <f t="shared" si="0"/>
        <v>Nage/10-4</v>
      </c>
    </row>
    <row r="89" spans="1:4" ht="27.65" customHeight="1" x14ac:dyDescent="0.2">
      <c r="A89" s="47" t="s">
        <v>233</v>
      </c>
      <c r="B89" s="46">
        <v>70</v>
      </c>
      <c r="C89" s="46">
        <v>9</v>
      </c>
      <c r="D89" s="43" t="str">
        <f t="shared" si="0"/>
        <v>Navigation/70-9</v>
      </c>
    </row>
    <row r="90" spans="1:4" ht="27.65" customHeight="1" x14ac:dyDescent="0.2">
      <c r="A90" s="47" t="s">
        <v>234</v>
      </c>
      <c r="B90" s="46">
        <v>30</v>
      </c>
      <c r="C90" s="46">
        <v>2</v>
      </c>
      <c r="D90" s="43" t="str">
        <f t="shared" si="0"/>
        <v>Pêche/30-2</v>
      </c>
    </row>
    <row r="91" spans="1:4" ht="27.65" customHeight="1" x14ac:dyDescent="0.2">
      <c r="A91" s="47" t="s">
        <v>235</v>
      </c>
      <c r="B91" s="46">
        <v>10</v>
      </c>
      <c r="C91" s="46">
        <v>4</v>
      </c>
      <c r="D91" s="43" t="str">
        <f t="shared" si="0"/>
        <v>Pièges/10-4</v>
      </c>
    </row>
    <row r="92" spans="1:4" ht="27.65" customHeight="1" x14ac:dyDescent="0.2">
      <c r="A92" s="47" t="s">
        <v>236</v>
      </c>
      <c r="B92" s="46">
        <v>50</v>
      </c>
      <c r="C92" s="46">
        <v>2</v>
      </c>
      <c r="D92" s="43" t="str">
        <f t="shared" si="0"/>
        <v>Piéton/50-2</v>
      </c>
    </row>
    <row r="93" spans="1:4" ht="27.65" customHeight="1" x14ac:dyDescent="0.2">
      <c r="A93" s="47" t="s">
        <v>237</v>
      </c>
      <c r="B93" s="46">
        <v>10</v>
      </c>
      <c r="C93" s="46">
        <v>2</v>
      </c>
      <c r="D93" s="43" t="str">
        <f t="shared" si="0"/>
        <v>Piste/10-2</v>
      </c>
    </row>
    <row r="94" spans="1:4" ht="27.65" customHeight="1" x14ac:dyDescent="0.2">
      <c r="A94" s="47" t="s">
        <v>238</v>
      </c>
      <c r="B94" s="46">
        <v>40</v>
      </c>
      <c r="C94" s="46">
        <v>6</v>
      </c>
      <c r="D94" s="43" t="str">
        <f t="shared" si="0"/>
        <v>Poison/40-6</v>
      </c>
    </row>
    <row r="95" spans="1:4" ht="27.65" customHeight="1" x14ac:dyDescent="0.2">
      <c r="A95" s="47" t="s">
        <v>239</v>
      </c>
      <c r="B95" s="46">
        <v>10</v>
      </c>
      <c r="C95" s="46">
        <v>4</v>
      </c>
      <c r="D95" s="43" t="str">
        <f t="shared" ref="D95:D138" si="1">A95&amp;"/"&amp;B95&amp;"-"&amp;C95</f>
        <v>Poterie/10-4</v>
      </c>
    </row>
    <row r="96" spans="1:4" ht="27.65" customHeight="1" x14ac:dyDescent="0.2">
      <c r="A96" s="47" t="s">
        <v>1013</v>
      </c>
      <c r="B96" s="46">
        <v>90</v>
      </c>
      <c r="C96" s="46">
        <v>8</v>
      </c>
      <c r="D96" s="43" t="str">
        <f t="shared" si="1"/>
        <v>Recherche/90-8</v>
      </c>
    </row>
    <row r="97" spans="1:4" ht="27.65" customHeight="1" x14ac:dyDescent="0.2">
      <c r="A97" s="47" t="s">
        <v>240</v>
      </c>
      <c r="B97" s="46">
        <v>60</v>
      </c>
      <c r="C97" s="46">
        <v>5</v>
      </c>
      <c r="D97" s="43" t="str">
        <f t="shared" si="1"/>
        <v>Religion/60-5</v>
      </c>
    </row>
    <row r="98" spans="1:4" ht="27.65" customHeight="1" x14ac:dyDescent="0.2">
      <c r="A98" s="47" t="s">
        <v>241</v>
      </c>
      <c r="B98" s="46">
        <v>50</v>
      </c>
      <c r="C98" s="46">
        <v>8</v>
      </c>
      <c r="D98" s="43" t="str">
        <f t="shared" si="1"/>
        <v>Résilience/50-8</v>
      </c>
    </row>
    <row r="99" spans="1:4" ht="27.65" customHeight="1" x14ac:dyDescent="0.2">
      <c r="A99" s="47" t="s">
        <v>1014</v>
      </c>
      <c r="B99" s="46">
        <v>20</v>
      </c>
      <c r="C99" s="46">
        <v>5</v>
      </c>
      <c r="D99" s="43" t="str">
        <f t="shared" si="1"/>
        <v>Rhétorique/20-5</v>
      </c>
    </row>
    <row r="100" spans="1:4" ht="27.65" customHeight="1" x14ac:dyDescent="0.2">
      <c r="A100" s="47" t="s">
        <v>242</v>
      </c>
      <c r="B100" s="46">
        <v>50</v>
      </c>
      <c r="C100" s="46">
        <v>4</v>
      </c>
      <c r="D100" s="43" t="str">
        <f t="shared" si="1"/>
        <v>Sculpture/50-4</v>
      </c>
    </row>
    <row r="101" spans="1:4" ht="27.65" customHeight="1" x14ac:dyDescent="0.2">
      <c r="A101" s="47" t="s">
        <v>1015</v>
      </c>
      <c r="B101" s="46">
        <v>10</v>
      </c>
      <c r="C101" s="46">
        <v>3</v>
      </c>
      <c r="D101" s="43" t="str">
        <f t="shared" si="1"/>
        <v>Serviteur/10-3</v>
      </c>
    </row>
    <row r="102" spans="1:4" ht="27.65" customHeight="1" x14ac:dyDescent="0.2">
      <c r="A102" s="47" t="s">
        <v>243</v>
      </c>
      <c r="B102" s="46">
        <v>20</v>
      </c>
      <c r="C102" s="46">
        <v>4</v>
      </c>
      <c r="D102" s="43" t="str">
        <f t="shared" si="1"/>
        <v>Sexe/20-4</v>
      </c>
    </row>
    <row r="103" spans="1:4" ht="27.65" customHeight="1" x14ac:dyDescent="0.2">
      <c r="A103" s="47" t="s">
        <v>244</v>
      </c>
      <c r="B103" s="46">
        <v>90</v>
      </c>
      <c r="C103" s="46">
        <v>9</v>
      </c>
      <c r="D103" s="43" t="str">
        <f t="shared" si="1"/>
        <v>Stratège/90-9</v>
      </c>
    </row>
    <row r="104" spans="1:4" ht="27.65" customHeight="1" x14ac:dyDescent="0.2">
      <c r="A104" s="47" t="s">
        <v>1016</v>
      </c>
      <c r="B104" s="46">
        <v>10</v>
      </c>
      <c r="C104" s="46">
        <v>3</v>
      </c>
      <c r="D104" s="43" t="str">
        <f t="shared" si="1"/>
        <v>Survie/10-3</v>
      </c>
    </row>
    <row r="105" spans="1:4" ht="27.65" customHeight="1" x14ac:dyDescent="0.2">
      <c r="A105" s="47" t="s">
        <v>245</v>
      </c>
      <c r="B105" s="46">
        <v>30</v>
      </c>
      <c r="C105" s="46">
        <v>5</v>
      </c>
      <c r="D105" s="43" t="str">
        <f t="shared" si="1"/>
        <v>Torture/30-5</v>
      </c>
    </row>
    <row r="106" spans="1:4" ht="27.65" customHeight="1" x14ac:dyDescent="0.2">
      <c r="A106" s="47" t="s">
        <v>246</v>
      </c>
      <c r="B106" s="46">
        <v>10</v>
      </c>
      <c r="C106" s="46">
        <v>2</v>
      </c>
      <c r="D106" s="43" t="str">
        <f t="shared" si="1"/>
        <v>Transport/10-2</v>
      </c>
    </row>
    <row r="107" spans="1:4" ht="27.65" customHeight="1" x14ac:dyDescent="0.2">
      <c r="A107" s="47" t="s">
        <v>247</v>
      </c>
      <c r="B107" s="46">
        <v>20</v>
      </c>
      <c r="C107" s="46">
        <v>5</v>
      </c>
      <c r="D107" s="43" t="str">
        <f t="shared" si="1"/>
        <v>Traque/20-5</v>
      </c>
    </row>
    <row r="108" spans="1:4" ht="27.65" customHeight="1" x14ac:dyDescent="0.2">
      <c r="A108" s="47" t="s">
        <v>248</v>
      </c>
      <c r="B108" s="46">
        <v>30</v>
      </c>
      <c r="C108" s="46">
        <v>6</v>
      </c>
      <c r="D108" s="43" t="str">
        <f t="shared" si="1"/>
        <v>Usure/30-6</v>
      </c>
    </row>
    <row r="109" spans="1:4" ht="27.65" customHeight="1" x14ac:dyDescent="0.2">
      <c r="A109" s="47" t="s">
        <v>249</v>
      </c>
      <c r="B109" s="46">
        <v>60</v>
      </c>
      <c r="C109" s="46">
        <v>7</v>
      </c>
      <c r="D109" s="43" t="str">
        <f t="shared" si="1"/>
        <v>Vol/60-7</v>
      </c>
    </row>
    <row r="110" spans="1:4" ht="27.65" customHeight="1" x14ac:dyDescent="0.2">
      <c r="A110" s="258"/>
      <c r="B110" s="258"/>
      <c r="C110" s="258"/>
      <c r="D110" s="43" t="str">
        <f t="shared" si="1"/>
        <v>/-</v>
      </c>
    </row>
    <row r="111" spans="1:4" ht="27.65" customHeight="1" x14ac:dyDescent="0.2">
      <c r="A111" s="257" t="s">
        <v>1002</v>
      </c>
      <c r="B111" s="57" t="s">
        <v>1003</v>
      </c>
      <c r="C111" s="57" t="s">
        <v>1004</v>
      </c>
      <c r="D111" s="43" t="str">
        <f t="shared" si="1"/>
        <v>Talent/CPA-CNS</v>
      </c>
    </row>
    <row r="112" spans="1:4" ht="27.65" customHeight="1" x14ac:dyDescent="0.2">
      <c r="A112" s="257" t="s">
        <v>250</v>
      </c>
      <c r="B112" s="46">
        <v>40</v>
      </c>
      <c r="C112" s="46">
        <v>4</v>
      </c>
      <c r="D112" s="43" t="str">
        <f t="shared" si="1"/>
        <v>Arbalète/40-4</v>
      </c>
    </row>
    <row r="113" spans="1:4" ht="27.65" customHeight="1" x14ac:dyDescent="0.2">
      <c r="A113" s="257" t="s">
        <v>251</v>
      </c>
      <c r="B113" s="46">
        <v>20</v>
      </c>
      <c r="C113" s="46">
        <v>6</v>
      </c>
      <c r="D113" s="43" t="str">
        <f t="shared" si="1"/>
        <v>Arc/20-6</v>
      </c>
    </row>
    <row r="114" spans="1:4" ht="27.65" customHeight="1" x14ac:dyDescent="0.2">
      <c r="A114" s="47" t="s">
        <v>145</v>
      </c>
      <c r="B114" s="46">
        <v>10</v>
      </c>
      <c r="C114" s="46" t="s">
        <v>1017</v>
      </c>
      <c r="D114" s="43" t="str">
        <f t="shared" si="1"/>
        <v>Armure/10-*</v>
      </c>
    </row>
    <row r="115" spans="1:4" ht="27.65" customHeight="1" x14ac:dyDescent="0.2">
      <c r="A115" s="47" t="s">
        <v>252</v>
      </c>
      <c r="B115" s="46">
        <v>60</v>
      </c>
      <c r="C115" s="46">
        <v>8</v>
      </c>
      <c r="D115" s="43" t="str">
        <f t="shared" si="1"/>
        <v>Art du combat/60-8</v>
      </c>
    </row>
    <row r="116" spans="1:4" ht="27.65" customHeight="1" x14ac:dyDescent="0.2">
      <c r="A116" s="47" t="s">
        <v>253</v>
      </c>
      <c r="B116" s="46">
        <v>20</v>
      </c>
      <c r="C116" s="46">
        <v>2</v>
      </c>
      <c r="D116" s="43" t="str">
        <f t="shared" si="1"/>
        <v>Attaque/20-2</v>
      </c>
    </row>
    <row r="117" spans="1:4" ht="27.65" customHeight="1" x14ac:dyDescent="0.2">
      <c r="A117" s="257" t="s">
        <v>254</v>
      </c>
      <c r="B117" s="46">
        <v>20</v>
      </c>
      <c r="C117" s="46">
        <v>5</v>
      </c>
      <c r="D117" s="43" t="str">
        <f t="shared" si="1"/>
        <v>Bouclier/20-5</v>
      </c>
    </row>
    <row r="118" spans="1:4" ht="27.65" customHeight="1" x14ac:dyDescent="0.2">
      <c r="A118" s="47" t="s">
        <v>41</v>
      </c>
      <c r="B118" s="46">
        <v>10</v>
      </c>
      <c r="C118" s="46">
        <v>2</v>
      </c>
      <c r="D118" s="43" t="str">
        <f t="shared" si="1"/>
        <v>Charge/10-2</v>
      </c>
    </row>
    <row r="119" spans="1:4" ht="27.65" customHeight="1" x14ac:dyDescent="0.2">
      <c r="A119" s="47" t="s">
        <v>255</v>
      </c>
      <c r="B119" s="46">
        <v>40</v>
      </c>
      <c r="C119" s="46">
        <v>6</v>
      </c>
      <c r="D119" s="43" t="str">
        <f t="shared" si="1"/>
        <v>Combat à cheval/40-6</v>
      </c>
    </row>
    <row r="120" spans="1:4" ht="27.65" customHeight="1" x14ac:dyDescent="0.2">
      <c r="A120" s="47" t="s">
        <v>256</v>
      </c>
      <c r="B120" s="46">
        <v>20</v>
      </c>
      <c r="C120" s="46">
        <v>7</v>
      </c>
      <c r="D120" s="43" t="str">
        <f t="shared" si="1"/>
        <v>Combat à deux armes/20-7</v>
      </c>
    </row>
    <row r="121" spans="1:4" ht="27.65" customHeight="1" x14ac:dyDescent="0.2">
      <c r="A121" s="257" t="s">
        <v>257</v>
      </c>
      <c r="B121" s="46">
        <v>20</v>
      </c>
      <c r="C121" s="46">
        <v>4</v>
      </c>
      <c r="D121" s="43" t="str">
        <f t="shared" si="1"/>
        <v>Dague/20-4</v>
      </c>
    </row>
    <row r="122" spans="1:4" ht="27.65" customHeight="1" x14ac:dyDescent="0.2">
      <c r="A122" s="47" t="s">
        <v>258</v>
      </c>
      <c r="B122" s="46">
        <v>20</v>
      </c>
      <c r="C122" s="46">
        <v>2</v>
      </c>
      <c r="D122" s="43" t="str">
        <f t="shared" si="1"/>
        <v>Défense/20-2</v>
      </c>
    </row>
    <row r="123" spans="1:4" ht="27.65" customHeight="1" x14ac:dyDescent="0.2">
      <c r="A123" s="47" t="s">
        <v>259</v>
      </c>
      <c r="B123" s="46">
        <v>40</v>
      </c>
      <c r="C123" s="46">
        <v>7</v>
      </c>
      <c r="D123" s="43" t="str">
        <f t="shared" si="1"/>
        <v>Divers/40-7</v>
      </c>
    </row>
    <row r="124" spans="1:4" ht="27.65" customHeight="1" x14ac:dyDescent="0.2">
      <c r="A124" s="47" t="s">
        <v>260</v>
      </c>
      <c r="B124" s="46">
        <v>20</v>
      </c>
      <c r="C124" s="46">
        <v>5</v>
      </c>
      <c r="D124" s="43" t="str">
        <f t="shared" si="1"/>
        <v>Embuscade/20-5</v>
      </c>
    </row>
    <row r="125" spans="1:4" ht="27.65" customHeight="1" x14ac:dyDescent="0.2">
      <c r="A125" s="257" t="s">
        <v>261</v>
      </c>
      <c r="B125" s="46">
        <v>30</v>
      </c>
      <c r="C125" s="46">
        <v>6</v>
      </c>
      <c r="D125" s="43" t="str">
        <f t="shared" si="1"/>
        <v>Épée/30-6</v>
      </c>
    </row>
    <row r="126" spans="1:4" ht="27.65" customHeight="1" x14ac:dyDescent="0.2">
      <c r="A126" s="47" t="s">
        <v>23</v>
      </c>
      <c r="B126" s="46">
        <v>10</v>
      </c>
      <c r="C126" s="46">
        <v>4</v>
      </c>
      <c r="D126" s="43" t="str">
        <f t="shared" si="1"/>
        <v>Esquive/10-4</v>
      </c>
    </row>
    <row r="127" spans="1:4" ht="27.65" customHeight="1" x14ac:dyDescent="0.2">
      <c r="A127" s="257" t="s">
        <v>262</v>
      </c>
      <c r="B127" s="46">
        <v>20</v>
      </c>
      <c r="C127" s="46">
        <v>3</v>
      </c>
      <c r="D127" s="43" t="str">
        <f t="shared" si="1"/>
        <v>Fronde/20-3</v>
      </c>
    </row>
    <row r="128" spans="1:4" ht="27.65" customHeight="1" x14ac:dyDescent="0.2">
      <c r="A128" s="47" t="s">
        <v>48</v>
      </c>
      <c r="B128" s="46">
        <v>10</v>
      </c>
      <c r="C128" s="46">
        <v>3</v>
      </c>
      <c r="D128" s="43" t="str">
        <f t="shared" si="1"/>
        <v>Fuite/10-3</v>
      </c>
    </row>
    <row r="129" spans="1:4" ht="27.65" customHeight="1" x14ac:dyDescent="0.2">
      <c r="A129" s="257" t="s">
        <v>263</v>
      </c>
      <c r="B129" s="46">
        <v>30</v>
      </c>
      <c r="C129" s="46">
        <v>6</v>
      </c>
      <c r="D129" s="43" t="str">
        <f t="shared" si="1"/>
        <v>Hache/30-6</v>
      </c>
    </row>
    <row r="130" spans="1:4" ht="27.65" customHeight="1" x14ac:dyDescent="0.2">
      <c r="A130" s="257" t="s">
        <v>264</v>
      </c>
      <c r="B130" s="46">
        <v>40</v>
      </c>
      <c r="C130" s="46">
        <v>7</v>
      </c>
      <c r="D130" s="43" t="str">
        <f t="shared" si="1"/>
        <v>Lance/40-7</v>
      </c>
    </row>
    <row r="131" spans="1:4" ht="27.65" customHeight="1" x14ac:dyDescent="0.2">
      <c r="A131" s="257" t="s">
        <v>265</v>
      </c>
      <c r="B131" s="46">
        <v>30</v>
      </c>
      <c r="C131" s="46">
        <v>7</v>
      </c>
      <c r="D131" s="43" t="str">
        <f t="shared" si="1"/>
        <v>Masse/30-7</v>
      </c>
    </row>
    <row r="132" spans="1:4" ht="27.65" customHeight="1" x14ac:dyDescent="0.2">
      <c r="A132" s="47" t="s">
        <v>266</v>
      </c>
      <c r="B132" s="46">
        <v>10</v>
      </c>
      <c r="C132" s="46">
        <v>5</v>
      </c>
      <c r="D132" s="43" t="str">
        <f t="shared" si="1"/>
        <v>Mêlée/10-5</v>
      </c>
    </row>
    <row r="133" spans="1:4" ht="27.65" customHeight="1" x14ac:dyDescent="0.2">
      <c r="A133" s="47" t="s">
        <v>20</v>
      </c>
      <c r="B133" s="46">
        <v>10</v>
      </c>
      <c r="C133" s="46">
        <v>3</v>
      </c>
      <c r="D133" s="43" t="str">
        <f t="shared" si="1"/>
        <v>Obéissance/10-3</v>
      </c>
    </row>
    <row r="134" spans="1:4" ht="27.65" customHeight="1" x14ac:dyDescent="0.2">
      <c r="A134" s="257" t="s">
        <v>267</v>
      </c>
      <c r="B134" s="46">
        <v>10</v>
      </c>
      <c r="C134" s="46">
        <v>4</v>
      </c>
      <c r="D134" s="43" t="str">
        <f t="shared" si="1"/>
        <v>Pique/10-4</v>
      </c>
    </row>
    <row r="135" spans="1:4" ht="27.65" customHeight="1" x14ac:dyDescent="0.2">
      <c r="A135" s="47" t="s">
        <v>42</v>
      </c>
      <c r="B135" s="46">
        <v>20</v>
      </c>
      <c r="C135" s="46">
        <v>5</v>
      </c>
      <c r="D135" s="43" t="str">
        <f t="shared" si="1"/>
        <v>Réaction/20-5</v>
      </c>
    </row>
    <row r="136" spans="1:4" ht="27.65" customHeight="1" x14ac:dyDescent="0.2">
      <c r="A136" s="47" t="s">
        <v>10</v>
      </c>
      <c r="B136" s="46">
        <v>10</v>
      </c>
      <c r="C136" s="46">
        <v>4</v>
      </c>
      <c r="D136" s="43" t="str">
        <f t="shared" si="1"/>
        <v>Résistance/10-4</v>
      </c>
    </row>
    <row r="137" spans="1:4" ht="27.65" customHeight="1" x14ac:dyDescent="0.2">
      <c r="A137" s="257" t="s">
        <v>268</v>
      </c>
      <c r="B137" s="46">
        <v>20</v>
      </c>
      <c r="C137" s="46">
        <v>7</v>
      </c>
      <c r="D137" s="43" t="str">
        <f t="shared" si="1"/>
        <v>Siège/20-7</v>
      </c>
    </row>
    <row r="138" spans="1:4" ht="27.65" customHeight="1" x14ac:dyDescent="0.2">
      <c r="A138" s="47" t="s">
        <v>269</v>
      </c>
      <c r="B138" s="46">
        <v>10</v>
      </c>
      <c r="C138" s="46">
        <v>5</v>
      </c>
      <c r="D138" s="43" t="str">
        <f t="shared" si="1"/>
        <v>Vitesse/10-5</v>
      </c>
    </row>
  </sheetData>
  <mergeCells count="4">
    <mergeCell ref="M1:N1"/>
    <mergeCell ref="O1:P1"/>
    <mergeCell ref="Q1:R1"/>
    <mergeCell ref="S1:T1"/>
  </mergeCell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zoomScale="115" zoomScaleNormal="115" workbookViewId="0">
      <selection activeCell="D20" sqref="D20"/>
    </sheetView>
  </sheetViews>
  <sheetFormatPr baseColWidth="10" defaultColWidth="8.90625" defaultRowHeight="12.5" x14ac:dyDescent="0.25"/>
  <cols>
    <col min="1" max="1" width="10.36328125" style="63" customWidth="1"/>
    <col min="2" max="2" width="9.453125" style="63" bestFit="1" customWidth="1"/>
    <col min="3" max="3" width="7.453125" style="63" bestFit="1" customWidth="1"/>
    <col min="4" max="4" width="16.54296875" style="63" bestFit="1" customWidth="1"/>
    <col min="5" max="5" width="16.54296875" style="63" customWidth="1"/>
    <col min="6" max="6" width="12.6328125" style="63" customWidth="1"/>
    <col min="7" max="7" width="6.90625" style="63" customWidth="1"/>
    <col min="8" max="8" width="7.6328125" style="63" customWidth="1"/>
    <col min="9" max="9" width="7.90625" style="63" bestFit="1" customWidth="1"/>
    <col min="10" max="10" width="6.54296875" style="63" bestFit="1" customWidth="1"/>
    <col min="11" max="11" width="2.08984375" style="63" customWidth="1"/>
    <col min="12" max="12" width="21.54296875" style="63" bestFit="1" customWidth="1"/>
    <col min="13" max="13" width="3" style="231" bestFit="1" customWidth="1"/>
    <col min="14" max="15" width="3" style="231" customWidth="1"/>
    <col min="16" max="16" width="3" style="232" customWidth="1"/>
    <col min="17" max="17" width="4.453125" style="231" bestFit="1" customWidth="1"/>
    <col min="18" max="18" width="18.453125" style="63" bestFit="1" customWidth="1"/>
    <col min="19" max="19" width="3" style="231" bestFit="1" customWidth="1"/>
    <col min="20" max="21" width="3" style="231" customWidth="1"/>
    <col min="22" max="22" width="3" style="232" customWidth="1"/>
    <col min="23" max="23" width="4.453125" style="231" bestFit="1" customWidth="1"/>
    <col min="24" max="24" width="14" style="63" bestFit="1" customWidth="1"/>
    <col min="25" max="25" width="8.54296875" style="63" customWidth="1"/>
    <col min="26" max="26" width="7.90625" style="63" bestFit="1" customWidth="1"/>
    <col min="27" max="27" width="5.36328125" style="63" customWidth="1"/>
    <col min="28" max="28" width="5.453125" style="63" bestFit="1" customWidth="1"/>
    <col min="29" max="29" width="6.54296875" style="63" customWidth="1"/>
    <col min="30" max="30" width="6.6328125" style="63" customWidth="1"/>
    <col min="31" max="31" width="8.453125" style="63" bestFit="1" customWidth="1"/>
    <col min="32" max="32" width="6.54296875" style="63" bestFit="1" customWidth="1"/>
    <col min="33" max="33" width="6.36328125" style="63" customWidth="1"/>
    <col min="34" max="34" width="5" style="63" customWidth="1"/>
    <col min="35" max="35" width="7.6328125" style="63" bestFit="1" customWidth="1"/>
    <col min="36" max="36" width="14.54296875" style="63" bestFit="1" customWidth="1"/>
    <col min="37" max="37" width="6.6328125" style="63" bestFit="1" customWidth="1"/>
    <col min="38" max="38" width="4.54296875" style="63" bestFit="1" customWidth="1"/>
    <col min="39" max="16384" width="8.90625" style="63"/>
  </cols>
  <sheetData>
    <row r="1" spans="1:38" ht="13.5" thickBot="1" x14ac:dyDescent="0.35">
      <c r="A1" s="59" t="s">
        <v>111</v>
      </c>
      <c r="B1" s="59" t="s">
        <v>112</v>
      </c>
      <c r="C1" s="60" t="s">
        <v>70</v>
      </c>
      <c r="D1" s="61" t="s">
        <v>52</v>
      </c>
      <c r="E1" s="62" t="s">
        <v>113</v>
      </c>
      <c r="F1" s="59" t="s">
        <v>114</v>
      </c>
      <c r="G1" s="59" t="s">
        <v>71</v>
      </c>
      <c r="H1" s="62" t="s">
        <v>115</v>
      </c>
      <c r="I1" s="59" t="s">
        <v>116</v>
      </c>
      <c r="J1" s="59" t="s">
        <v>117</v>
      </c>
      <c r="L1" s="64" t="s">
        <v>123</v>
      </c>
      <c r="M1" s="65" t="s">
        <v>124</v>
      </c>
      <c r="N1" s="496" t="s">
        <v>1093</v>
      </c>
      <c r="O1" s="496" t="s">
        <v>1094</v>
      </c>
      <c r="P1" s="234" t="s">
        <v>484</v>
      </c>
      <c r="Q1" s="66" t="s">
        <v>75</v>
      </c>
      <c r="R1" s="64" t="s">
        <v>123</v>
      </c>
      <c r="S1" s="65" t="s">
        <v>124</v>
      </c>
      <c r="T1" s="496" t="s">
        <v>1093</v>
      </c>
      <c r="U1" s="496" t="s">
        <v>1094</v>
      </c>
      <c r="V1" s="234" t="s">
        <v>484</v>
      </c>
      <c r="W1" s="66" t="s">
        <v>75</v>
      </c>
      <c r="AA1" s="216"/>
      <c r="AB1" s="216"/>
      <c r="AC1" s="216"/>
      <c r="AD1" s="216"/>
      <c r="AE1" s="106"/>
      <c r="AF1" s="216"/>
    </row>
    <row r="2" spans="1:38" ht="13.5" thickBot="1" x14ac:dyDescent="0.35">
      <c r="A2" s="267" t="s">
        <v>1182</v>
      </c>
      <c r="B2" s="651" t="s">
        <v>1183</v>
      </c>
      <c r="C2" s="269">
        <v>180</v>
      </c>
      <c r="D2" s="270">
        <v>80</v>
      </c>
      <c r="E2" s="273" t="s">
        <v>1184</v>
      </c>
      <c r="F2" s="271" t="s">
        <v>1143</v>
      </c>
      <c r="G2" s="271" t="s">
        <v>1185</v>
      </c>
      <c r="H2" s="273"/>
      <c r="I2" s="267" t="s">
        <v>1186</v>
      </c>
      <c r="J2" s="267" t="s">
        <v>1142</v>
      </c>
      <c r="L2" s="76" t="s">
        <v>188</v>
      </c>
      <c r="M2" s="77"/>
      <c r="N2" s="499">
        <f>[4]Talents!J2</f>
        <v>4</v>
      </c>
      <c r="O2" s="499">
        <f>[4]Talents!K2</f>
        <v>8</v>
      </c>
      <c r="P2" s="235">
        <f>[4]Talents!M2</f>
        <v>24</v>
      </c>
      <c r="Q2" s="78"/>
      <c r="R2" s="567" t="s">
        <v>232</v>
      </c>
      <c r="S2" s="644">
        <v>17</v>
      </c>
      <c r="T2" s="499">
        <f>[4]Talents!Z2</f>
        <v>5</v>
      </c>
      <c r="U2" s="499">
        <f>[4]Talents!AA2</f>
        <v>10</v>
      </c>
      <c r="V2" s="235">
        <f>[4]Talents!AC2</f>
        <v>33</v>
      </c>
      <c r="W2" s="78"/>
      <c r="AA2" s="216"/>
      <c r="AB2" s="216"/>
      <c r="AC2" s="216"/>
      <c r="AD2" s="216"/>
      <c r="AE2" s="106"/>
      <c r="AF2" s="216"/>
    </row>
    <row r="3" spans="1:38" ht="13.5" thickBot="1" x14ac:dyDescent="0.35">
      <c r="A3" s="271" t="s">
        <v>1187</v>
      </c>
      <c r="B3" s="84" t="s">
        <v>168</v>
      </c>
      <c r="C3" s="272" t="s">
        <v>1188</v>
      </c>
      <c r="D3" s="70"/>
      <c r="E3" s="273" t="s">
        <v>1189</v>
      </c>
      <c r="F3" s="273" t="s">
        <v>1190</v>
      </c>
      <c r="G3" s="273" t="s">
        <v>165</v>
      </c>
      <c r="H3" s="273" t="s">
        <v>165</v>
      </c>
      <c r="I3" s="271" t="s">
        <v>1141</v>
      </c>
      <c r="J3" s="271" t="s">
        <v>165</v>
      </c>
      <c r="L3" s="76" t="s">
        <v>189</v>
      </c>
      <c r="M3" s="77"/>
      <c r="N3" s="499">
        <f>[4]Talents!J3</f>
        <v>7</v>
      </c>
      <c r="O3" s="499">
        <f>[4]Talents!K3</f>
        <v>14</v>
      </c>
      <c r="P3" s="235">
        <f>[4]Talents!M3</f>
        <v>41</v>
      </c>
      <c r="Q3" s="78"/>
      <c r="R3" s="76" t="s">
        <v>233</v>
      </c>
      <c r="S3" s="77"/>
      <c r="T3" s="499">
        <f>[4]Talents!Z3</f>
        <v>20.5</v>
      </c>
      <c r="U3" s="499">
        <f>[4]Talents!AA3</f>
        <v>41</v>
      </c>
      <c r="V3" s="235">
        <f>[4]Talents!AC3</f>
        <v>80</v>
      </c>
      <c r="W3" s="85"/>
      <c r="AA3" s="216"/>
      <c r="AB3" s="216"/>
      <c r="AC3" s="216"/>
      <c r="AD3" s="216"/>
      <c r="AE3" s="106"/>
      <c r="AF3" s="216"/>
    </row>
    <row r="4" spans="1:38" ht="13.5" thickBot="1" x14ac:dyDescent="0.35">
      <c r="A4" s="59" t="s">
        <v>9</v>
      </c>
      <c r="B4" s="86" t="s">
        <v>118</v>
      </c>
      <c r="C4" s="87"/>
      <c r="D4" s="86" t="s">
        <v>119</v>
      </c>
      <c r="E4" s="87"/>
      <c r="F4" s="59" t="s">
        <v>120</v>
      </c>
      <c r="G4" s="86" t="s">
        <v>76</v>
      </c>
      <c r="H4" s="59" t="s">
        <v>121</v>
      </c>
      <c r="I4" s="86" t="s">
        <v>122</v>
      </c>
      <c r="J4" s="88" t="s">
        <v>68</v>
      </c>
      <c r="L4" s="76" t="s">
        <v>190</v>
      </c>
      <c r="M4" s="77"/>
      <c r="N4" s="499">
        <f>[4]Talents!J4</f>
        <v>20.5</v>
      </c>
      <c r="O4" s="499">
        <f>[4]Talents!K4</f>
        <v>41</v>
      </c>
      <c r="P4" s="235">
        <f>[4]Talents!M4</f>
        <v>80</v>
      </c>
      <c r="Q4" s="78"/>
      <c r="R4" s="76" t="s">
        <v>234</v>
      </c>
      <c r="S4" s="77"/>
      <c r="T4" s="499">
        <f>[4]Talents!Z4</f>
        <v>20.5</v>
      </c>
      <c r="U4" s="499">
        <f>[4]Talents!AA4</f>
        <v>41</v>
      </c>
      <c r="V4" s="235">
        <f>[4]Talents!AC4</f>
        <v>80</v>
      </c>
      <c r="W4" s="78"/>
      <c r="AA4" s="216"/>
      <c r="AB4" s="216"/>
      <c r="AC4" s="216"/>
      <c r="AD4" s="216"/>
      <c r="AE4" s="106"/>
      <c r="AF4" s="216"/>
    </row>
    <row r="5" spans="1:38" ht="13.5" thickBot="1" x14ac:dyDescent="0.35">
      <c r="A5" s="267" t="s">
        <v>1138</v>
      </c>
      <c r="B5" s="92" t="s">
        <v>1191</v>
      </c>
      <c r="C5" s="82"/>
      <c r="D5" s="274" t="s">
        <v>1192</v>
      </c>
      <c r="E5" s="82"/>
      <c r="F5" s="267" t="s">
        <v>1165</v>
      </c>
      <c r="G5" s="274" t="s">
        <v>1193</v>
      </c>
      <c r="H5" s="75" t="s">
        <v>165</v>
      </c>
      <c r="I5" s="92">
        <v>2</v>
      </c>
      <c r="J5" s="93">
        <v>80</v>
      </c>
      <c r="L5" s="76" t="s">
        <v>191</v>
      </c>
      <c r="M5" s="77"/>
      <c r="N5" s="499">
        <f>[4]Talents!J5</f>
        <v>11.5</v>
      </c>
      <c r="O5" s="499">
        <f>[4]Talents!K5</f>
        <v>23</v>
      </c>
      <c r="P5" s="235">
        <f>[4]Talents!M5</f>
        <v>78</v>
      </c>
      <c r="Q5" s="78"/>
      <c r="R5" s="76" t="s">
        <v>235</v>
      </c>
      <c r="S5" s="77"/>
      <c r="T5" s="499">
        <f>[4]Talents!Z5</f>
        <v>11.5</v>
      </c>
      <c r="U5" s="499">
        <f>[4]Talents!AA5</f>
        <v>23</v>
      </c>
      <c r="V5" s="235">
        <f>[4]Talents!AC5</f>
        <v>80</v>
      </c>
      <c r="W5" s="78"/>
      <c r="AA5" s="216"/>
      <c r="AB5" s="216"/>
      <c r="AC5" s="216"/>
      <c r="AD5" s="216"/>
      <c r="AE5" s="216"/>
      <c r="AF5" s="216"/>
      <c r="AJ5" s="94" t="s">
        <v>144</v>
      </c>
      <c r="AK5" s="95" t="s">
        <v>145</v>
      </c>
      <c r="AL5" s="506" t="s">
        <v>143</v>
      </c>
    </row>
    <row r="6" spans="1:38" ht="13.5" thickBot="1" x14ac:dyDescent="0.35">
      <c r="A6" s="75" t="s">
        <v>165</v>
      </c>
      <c r="B6" s="96" t="s">
        <v>165</v>
      </c>
      <c r="C6" s="90"/>
      <c r="D6" s="275"/>
      <c r="E6" s="90"/>
      <c r="F6" s="271">
        <v>10</v>
      </c>
      <c r="G6" s="275">
        <v>40</v>
      </c>
      <c r="H6" s="97" t="s">
        <v>1194</v>
      </c>
      <c r="I6" s="98" t="s">
        <v>1027</v>
      </c>
      <c r="J6" s="99" t="s">
        <v>1195</v>
      </c>
      <c r="L6" s="76" t="s">
        <v>192</v>
      </c>
      <c r="M6" s="77"/>
      <c r="N6" s="499">
        <f>[4]Talents!J6</f>
        <v>8</v>
      </c>
      <c r="O6" s="499">
        <f>[4]Talents!K6</f>
        <v>16</v>
      </c>
      <c r="P6" s="235">
        <f>[4]Talents!M6</f>
        <v>62</v>
      </c>
      <c r="Q6" s="78"/>
      <c r="R6" s="76" t="s">
        <v>236</v>
      </c>
      <c r="S6" s="77"/>
      <c r="T6" s="499">
        <f>[4]Talents!Z6</f>
        <v>8.5</v>
      </c>
      <c r="U6" s="499">
        <f>[4]Talents!AA6</f>
        <v>17</v>
      </c>
      <c r="V6" s="235">
        <f>[4]Talents!AC6</f>
        <v>50</v>
      </c>
      <c r="W6" s="78"/>
      <c r="AA6" s="216"/>
      <c r="AB6" s="216"/>
      <c r="AC6" s="216"/>
      <c r="AD6" s="216"/>
      <c r="AE6" s="216"/>
      <c r="AF6" s="216"/>
      <c r="AJ6" s="100" t="s">
        <v>146</v>
      </c>
      <c r="AK6" s="101" t="s">
        <v>165</v>
      </c>
      <c r="AL6" s="105"/>
    </row>
    <row r="7" spans="1:38" ht="13.5" thickBot="1" x14ac:dyDescent="0.35">
      <c r="A7" s="68" t="s">
        <v>69</v>
      </c>
      <c r="B7" s="102" t="s">
        <v>161</v>
      </c>
      <c r="C7" s="276" t="s">
        <v>1196</v>
      </c>
      <c r="D7" s="71"/>
      <c r="E7" s="102" t="s">
        <v>160</v>
      </c>
      <c r="F7" s="103"/>
      <c r="G7" s="71"/>
      <c r="H7" s="71"/>
      <c r="I7" s="104" t="s">
        <v>1197</v>
      </c>
      <c r="J7" s="72" t="s">
        <v>1198</v>
      </c>
      <c r="L7" s="76" t="s">
        <v>193</v>
      </c>
      <c r="M7" s="77"/>
      <c r="N7" s="499">
        <f>[4]Talents!J7</f>
        <v>8</v>
      </c>
      <c r="O7" s="499">
        <f>[4]Talents!K7</f>
        <v>16</v>
      </c>
      <c r="P7" s="235">
        <f>[4]Talents!M7</f>
        <v>50</v>
      </c>
      <c r="Q7" s="78"/>
      <c r="R7" s="76" t="s">
        <v>237</v>
      </c>
      <c r="S7" s="77"/>
      <c r="T7" s="499">
        <f>[4]Talents!Z7</f>
        <v>20.5</v>
      </c>
      <c r="U7" s="499">
        <f>[4]Talents!AA7</f>
        <v>41</v>
      </c>
      <c r="V7" s="235">
        <f>[4]Talents!AC7</f>
        <v>80</v>
      </c>
      <c r="W7" s="78"/>
      <c r="AA7" s="216"/>
      <c r="AB7" s="216"/>
      <c r="AC7" s="216"/>
      <c r="AD7" s="216"/>
      <c r="AE7" s="216"/>
      <c r="AF7" s="216"/>
      <c r="AJ7" s="100">
        <v>3</v>
      </c>
      <c r="AK7" s="101" t="s">
        <v>165</v>
      </c>
      <c r="AL7" s="478"/>
    </row>
    <row r="8" spans="1:38" ht="13.5" thickBot="1" x14ac:dyDescent="0.35">
      <c r="A8" s="274" t="s">
        <v>1199</v>
      </c>
      <c r="B8" s="106" t="s">
        <v>162</v>
      </c>
      <c r="C8" s="273" t="s">
        <v>1200</v>
      </c>
      <c r="D8" s="83"/>
      <c r="E8" s="74" t="s">
        <v>1201</v>
      </c>
      <c r="G8" s="74" t="s">
        <v>165</v>
      </c>
      <c r="H8" s="83"/>
      <c r="I8" s="503" t="s">
        <v>1037</v>
      </c>
      <c r="J8" s="105" t="s">
        <v>1202</v>
      </c>
      <c r="L8" s="76" t="s">
        <v>194</v>
      </c>
      <c r="M8" s="77"/>
      <c r="N8" s="499">
        <f>[4]Talents!J8</f>
        <v>10.5</v>
      </c>
      <c r="O8" s="499">
        <f>[4]Talents!K8</f>
        <v>21</v>
      </c>
      <c r="P8" s="235">
        <f>[4]Talents!M8</f>
        <v>80</v>
      </c>
      <c r="Q8" s="78"/>
      <c r="R8" s="76" t="s">
        <v>238</v>
      </c>
      <c r="S8" s="77"/>
      <c r="T8" s="499">
        <f>[4]Talents!Z8</f>
        <v>21.5</v>
      </c>
      <c r="U8" s="499">
        <f>[4]Talents!AA8</f>
        <v>43</v>
      </c>
      <c r="V8" s="235">
        <f>[4]Talents!AC8</f>
        <v>80</v>
      </c>
      <c r="W8" s="78"/>
      <c r="AI8" s="107" t="s">
        <v>135</v>
      </c>
      <c r="AJ8" s="108" t="s">
        <v>165</v>
      </c>
      <c r="AK8" s="109" t="s">
        <v>165</v>
      </c>
      <c r="AL8" s="479"/>
    </row>
    <row r="9" spans="1:38" ht="13.5" thickBot="1" x14ac:dyDescent="0.35">
      <c r="A9" s="110" t="s">
        <v>168</v>
      </c>
      <c r="B9" s="92" t="s">
        <v>1203</v>
      </c>
      <c r="C9" s="83"/>
      <c r="D9" s="83"/>
      <c r="E9" s="74" t="s">
        <v>1754</v>
      </c>
      <c r="F9" s="83"/>
      <c r="G9" s="74" t="s">
        <v>165</v>
      </c>
      <c r="H9" s="83"/>
      <c r="I9" s="83"/>
      <c r="J9" s="73" t="s">
        <v>165</v>
      </c>
      <c r="L9" s="76" t="s">
        <v>1172</v>
      </c>
      <c r="M9" s="77"/>
      <c r="N9" s="499">
        <f>[4]Talents!J9</f>
        <v>6</v>
      </c>
      <c r="O9" s="499">
        <f>[4]Talents!K9</f>
        <v>12</v>
      </c>
      <c r="P9" s="235">
        <f>[4]Talents!M9</f>
        <v>51</v>
      </c>
      <c r="Q9" s="78"/>
      <c r="R9" s="76" t="s">
        <v>239</v>
      </c>
      <c r="S9" s="77"/>
      <c r="T9" s="499">
        <f>[4]Talents!Z9</f>
        <v>11.5</v>
      </c>
      <c r="U9" s="499">
        <f>[4]Talents!AA9</f>
        <v>23</v>
      </c>
      <c r="V9" s="235">
        <f>[4]Talents!AC9</f>
        <v>72</v>
      </c>
      <c r="W9" s="78"/>
      <c r="AJ9" s="94" t="s">
        <v>147</v>
      </c>
      <c r="AK9" s="111" t="s">
        <v>145</v>
      </c>
      <c r="AL9" s="506" t="s">
        <v>143</v>
      </c>
    </row>
    <row r="10" spans="1:38" ht="13.5" thickBot="1" x14ac:dyDescent="0.35">
      <c r="A10" s="110" t="s">
        <v>169</v>
      </c>
      <c r="B10" s="275" t="s">
        <v>1204</v>
      </c>
      <c r="C10" s="91"/>
      <c r="D10" s="91"/>
      <c r="E10" s="97"/>
      <c r="F10" s="91"/>
      <c r="G10" s="97" t="s">
        <v>165</v>
      </c>
      <c r="H10" s="91"/>
      <c r="I10" s="91"/>
      <c r="J10" s="504" t="s">
        <v>1095</v>
      </c>
      <c r="L10" s="76" t="s">
        <v>195</v>
      </c>
      <c r="M10" s="77"/>
      <c r="N10" s="499">
        <f>[4]Talents!J10</f>
        <v>11.5</v>
      </c>
      <c r="O10" s="499">
        <f>[4]Talents!K10</f>
        <v>23</v>
      </c>
      <c r="P10" s="235">
        <f>[4]Talents!M10</f>
        <v>76</v>
      </c>
      <c r="Q10" s="78"/>
      <c r="R10" s="76" t="s">
        <v>1552</v>
      </c>
      <c r="S10" s="77">
        <v>22</v>
      </c>
      <c r="T10" s="499">
        <f>[4]Talents!Z10</f>
        <v>20.5</v>
      </c>
      <c r="U10" s="499">
        <f>[4]Talents!AA10</f>
        <v>41</v>
      </c>
      <c r="V10" s="235">
        <f>[4]Talents!AC10</f>
        <v>80</v>
      </c>
      <c r="W10" s="78"/>
      <c r="AJ10" s="100" t="s">
        <v>148</v>
      </c>
      <c r="AK10" s="101">
        <v>2</v>
      </c>
      <c r="AL10" s="105">
        <v>7</v>
      </c>
    </row>
    <row r="11" spans="1:38" ht="13.5" thickBot="1" x14ac:dyDescent="0.35">
      <c r="B11" s="106" t="s">
        <v>170</v>
      </c>
      <c r="C11" s="112" t="s">
        <v>171</v>
      </c>
      <c r="D11" s="112" t="s">
        <v>172</v>
      </c>
      <c r="E11" s="112" t="s">
        <v>97</v>
      </c>
      <c r="F11" s="67" t="s">
        <v>40</v>
      </c>
      <c r="G11" s="71"/>
      <c r="H11" s="69">
        <v>5</v>
      </c>
      <c r="I11" s="70"/>
      <c r="L11" s="76" t="s">
        <v>1173</v>
      </c>
      <c r="M11" s="77"/>
      <c r="N11" s="499">
        <f>[4]Talents!J11</f>
        <v>10.5</v>
      </c>
      <c r="O11" s="499">
        <f>[4]Talents!K11</f>
        <v>21</v>
      </c>
      <c r="P11" s="235">
        <f>[4]Talents!M11</f>
        <v>62</v>
      </c>
      <c r="Q11" s="78"/>
      <c r="R11" s="76" t="s">
        <v>240</v>
      </c>
      <c r="S11" s="77">
        <v>75</v>
      </c>
      <c r="T11" s="499">
        <f>[4]Talents!Z11</f>
        <v>18.5</v>
      </c>
      <c r="U11" s="499">
        <f>[4]Talents!AA11</f>
        <v>37</v>
      </c>
      <c r="V11" s="235">
        <f>[4]Talents!AC11</f>
        <v>80</v>
      </c>
      <c r="W11" s="78"/>
      <c r="AJ11" s="100">
        <v>2</v>
      </c>
      <c r="AK11" s="101">
        <v>1</v>
      </c>
      <c r="AL11" s="478"/>
    </row>
    <row r="12" spans="1:38" ht="13.5" thickBot="1" x14ac:dyDescent="0.35">
      <c r="A12" s="113" t="s">
        <v>77</v>
      </c>
      <c r="B12" s="114">
        <v>17</v>
      </c>
      <c r="C12" s="114">
        <v>34</v>
      </c>
      <c r="D12" s="114">
        <v>34</v>
      </c>
      <c r="E12" s="115">
        <v>0</v>
      </c>
      <c r="F12" s="80" t="s">
        <v>270</v>
      </c>
      <c r="G12" s="233">
        <f>[4]Perso!J12</f>
        <v>7.4</v>
      </c>
      <c r="H12" s="116">
        <v>0</v>
      </c>
      <c r="I12" s="82"/>
      <c r="L12" s="76" t="s">
        <v>196</v>
      </c>
      <c r="M12" s="77"/>
      <c r="N12" s="499">
        <f>[4]Talents!J12</f>
        <v>20.5</v>
      </c>
      <c r="O12" s="499">
        <f>[4]Talents!K12</f>
        <v>41</v>
      </c>
      <c r="P12" s="235">
        <f>[4]Talents!M12</f>
        <v>80</v>
      </c>
      <c r="Q12" s="78"/>
      <c r="R12" s="76" t="s">
        <v>241</v>
      </c>
      <c r="S12" s="77"/>
      <c r="T12" s="499">
        <f>[4]Talents!Z12</f>
        <v>5</v>
      </c>
      <c r="U12" s="499">
        <f>[4]Talents!AA12</f>
        <v>10</v>
      </c>
      <c r="V12" s="235">
        <f>[4]Talents!AC12</f>
        <v>35</v>
      </c>
      <c r="W12" s="78"/>
      <c r="AJ12" s="108" t="s">
        <v>165</v>
      </c>
      <c r="AK12" s="109">
        <v>1</v>
      </c>
      <c r="AL12" s="479"/>
    </row>
    <row r="13" spans="1:38" ht="13.5" thickBot="1" x14ac:dyDescent="0.35">
      <c r="A13" s="117" t="s">
        <v>78</v>
      </c>
      <c r="B13" s="118">
        <v>17</v>
      </c>
      <c r="C13" s="118">
        <v>22</v>
      </c>
      <c r="D13" s="118">
        <v>32</v>
      </c>
      <c r="E13" s="119">
        <v>0</v>
      </c>
      <c r="F13" s="120" t="s">
        <v>271</v>
      </c>
      <c r="G13" s="233">
        <f>[4]Perso!J13</f>
        <v>5.6999999999999993</v>
      </c>
      <c r="H13" s="116">
        <v>-3</v>
      </c>
      <c r="I13" s="82"/>
      <c r="L13" s="76" t="s">
        <v>197</v>
      </c>
      <c r="M13" s="77"/>
      <c r="N13" s="499">
        <f>[4]Talents!J13</f>
        <v>5</v>
      </c>
      <c r="O13" s="499">
        <f>[4]Talents!K13</f>
        <v>10</v>
      </c>
      <c r="P13" s="235">
        <f>[4]Talents!M13</f>
        <v>33</v>
      </c>
      <c r="Q13" s="78"/>
      <c r="R13" s="76" t="s">
        <v>1175</v>
      </c>
      <c r="S13" s="77">
        <v>15</v>
      </c>
      <c r="T13" s="499">
        <f>[4]Talents!Z13</f>
        <v>6</v>
      </c>
      <c r="U13" s="499">
        <f>[4]Talents!AA13</f>
        <v>12</v>
      </c>
      <c r="V13" s="235">
        <f>[4]Talents!AC13</f>
        <v>77</v>
      </c>
      <c r="W13" s="78"/>
      <c r="AJ13" s="94" t="s">
        <v>149</v>
      </c>
      <c r="AK13" s="111" t="s">
        <v>145</v>
      </c>
      <c r="AL13" s="506" t="s">
        <v>143</v>
      </c>
    </row>
    <row r="14" spans="1:38" ht="13" x14ac:dyDescent="0.3">
      <c r="A14" s="113" t="s">
        <v>79</v>
      </c>
      <c r="B14" s="114">
        <v>7</v>
      </c>
      <c r="C14" s="114">
        <v>21</v>
      </c>
      <c r="D14" s="114">
        <v>21</v>
      </c>
      <c r="E14" s="115">
        <v>0</v>
      </c>
      <c r="F14" s="120" t="s">
        <v>272</v>
      </c>
      <c r="G14" s="233">
        <f>[4]Perso!J14</f>
        <v>22</v>
      </c>
      <c r="H14" s="116">
        <v>0</v>
      </c>
      <c r="I14" s="82"/>
      <c r="L14" s="76" t="s">
        <v>198</v>
      </c>
      <c r="M14" s="77"/>
      <c r="N14" s="499">
        <f>[4]Talents!J14</f>
        <v>6</v>
      </c>
      <c r="O14" s="499">
        <f>[4]Talents!K14</f>
        <v>12</v>
      </c>
      <c r="P14" s="235">
        <f>[4]Talents!M14</f>
        <v>65</v>
      </c>
      <c r="Q14" s="78"/>
      <c r="R14" s="76" t="s">
        <v>242</v>
      </c>
      <c r="S14" s="77"/>
      <c r="T14" s="499">
        <f>[4]Talents!Z14</f>
        <v>11.5</v>
      </c>
      <c r="U14" s="499">
        <f>[4]Talents!AA14</f>
        <v>23</v>
      </c>
      <c r="V14" s="235">
        <f>[4]Talents!AC14</f>
        <v>59</v>
      </c>
      <c r="W14" s="78"/>
      <c r="AJ14" s="100" t="s">
        <v>150</v>
      </c>
      <c r="AK14" s="101">
        <v>2</v>
      </c>
      <c r="AL14" s="105">
        <v>6</v>
      </c>
    </row>
    <row r="15" spans="1:38" ht="13.5" thickBot="1" x14ac:dyDescent="0.35">
      <c r="A15" s="117" t="s">
        <v>80</v>
      </c>
      <c r="B15" s="118">
        <v>9</v>
      </c>
      <c r="C15" s="118">
        <v>27</v>
      </c>
      <c r="D15" s="118">
        <v>27</v>
      </c>
      <c r="E15" s="119">
        <v>0</v>
      </c>
      <c r="F15" s="120" t="s">
        <v>273</v>
      </c>
      <c r="G15" s="233">
        <f>[4]Perso!J15</f>
        <v>6</v>
      </c>
      <c r="H15" s="116">
        <v>0</v>
      </c>
      <c r="I15" s="82"/>
      <c r="L15" s="76" t="s">
        <v>199</v>
      </c>
      <c r="M15" s="77"/>
      <c r="N15" s="499">
        <f>[4]Talents!J15</f>
        <v>5.5</v>
      </c>
      <c r="O15" s="499">
        <f>[4]Talents!K15</f>
        <v>11</v>
      </c>
      <c r="P15" s="235">
        <f>[4]Talents!M15</f>
        <v>58</v>
      </c>
      <c r="Q15" s="78"/>
      <c r="R15" s="76" t="s">
        <v>294</v>
      </c>
      <c r="S15" s="77"/>
      <c r="T15" s="499">
        <f>[4]Talents!Z15</f>
        <v>7</v>
      </c>
      <c r="U15" s="499">
        <f>[4]Talents!AA15</f>
        <v>14</v>
      </c>
      <c r="V15" s="235">
        <f>[4]Talents!AC15</f>
        <v>63</v>
      </c>
      <c r="W15" s="78"/>
      <c r="AJ15" s="100">
        <v>3</v>
      </c>
      <c r="AK15" s="101">
        <v>1</v>
      </c>
      <c r="AL15" s="478"/>
    </row>
    <row r="16" spans="1:38" ht="13.5" thickBot="1" x14ac:dyDescent="0.35">
      <c r="A16" s="113" t="s">
        <v>81</v>
      </c>
      <c r="B16" s="114">
        <v>15</v>
      </c>
      <c r="C16" s="114">
        <v>31</v>
      </c>
      <c r="D16" s="114">
        <v>45</v>
      </c>
      <c r="E16" s="115">
        <v>0</v>
      </c>
      <c r="F16" s="121" t="s">
        <v>299</v>
      </c>
      <c r="G16" s="233">
        <f>[4]Perso!J16</f>
        <v>28</v>
      </c>
      <c r="H16" s="116">
        <v>0</v>
      </c>
      <c r="I16" s="82"/>
      <c r="L16" s="76" t="s">
        <v>200</v>
      </c>
      <c r="M16" s="77"/>
      <c r="N16" s="499">
        <f>[4]Talents!J16</f>
        <v>5.5</v>
      </c>
      <c r="O16" s="499">
        <f>[4]Talents!K16</f>
        <v>11</v>
      </c>
      <c r="P16" s="235">
        <f>[4]Talents!M16</f>
        <v>32</v>
      </c>
      <c r="Q16" s="78"/>
      <c r="R16" s="76" t="s">
        <v>243</v>
      </c>
      <c r="S16" s="77"/>
      <c r="T16" s="499">
        <f>[4]Talents!Z16</f>
        <v>9</v>
      </c>
      <c r="U16" s="499">
        <f>[4]Talents!AA16</f>
        <v>18</v>
      </c>
      <c r="V16" s="235">
        <f>[4]Talents!AC16</f>
        <v>68</v>
      </c>
      <c r="W16" s="78"/>
      <c r="AJ16" s="108" t="s">
        <v>165</v>
      </c>
      <c r="AK16" s="109">
        <v>1</v>
      </c>
      <c r="AL16" s="479"/>
    </row>
    <row r="17" spans="1:38" ht="13.5" thickBot="1" x14ac:dyDescent="0.35">
      <c r="A17" s="117" t="s">
        <v>82</v>
      </c>
      <c r="B17" s="118">
        <v>15</v>
      </c>
      <c r="C17" s="118">
        <v>45</v>
      </c>
      <c r="D17" s="118">
        <v>45</v>
      </c>
      <c r="E17" s="119">
        <v>0</v>
      </c>
      <c r="F17" s="120" t="s">
        <v>300</v>
      </c>
      <c r="G17" s="233">
        <f>[4]Perso!J17</f>
        <v>6.15</v>
      </c>
      <c r="H17" s="122">
        <v>0</v>
      </c>
      <c r="I17" s="82"/>
      <c r="L17" s="76" t="s">
        <v>201</v>
      </c>
      <c r="M17" s="77"/>
      <c r="N17" s="499">
        <f>[4]Talents!J17</f>
        <v>18.5</v>
      </c>
      <c r="O17" s="499">
        <f>[4]Talents!K17</f>
        <v>37</v>
      </c>
      <c r="P17" s="235">
        <f>[4]Talents!M17</f>
        <v>78</v>
      </c>
      <c r="Q17" s="78"/>
      <c r="R17" s="180" t="s">
        <v>244</v>
      </c>
      <c r="S17" s="77"/>
      <c r="T17" s="509">
        <f>[4]Talents!Z17</f>
        <v>20.5</v>
      </c>
      <c r="U17" s="509">
        <f>[4]Talents!AA17</f>
        <v>41</v>
      </c>
      <c r="V17" s="510">
        <f>[4]Talents!AC17</f>
        <v>50</v>
      </c>
      <c r="W17" s="511"/>
      <c r="AJ17" s="94" t="s">
        <v>151</v>
      </c>
      <c r="AK17" s="111" t="s">
        <v>145</v>
      </c>
      <c r="AL17" s="506" t="s">
        <v>143</v>
      </c>
    </row>
    <row r="18" spans="1:38" ht="13" x14ac:dyDescent="0.3">
      <c r="A18" s="113" t="s">
        <v>83</v>
      </c>
      <c r="B18" s="114">
        <v>9</v>
      </c>
      <c r="C18" s="114">
        <v>19</v>
      </c>
      <c r="D18" s="114">
        <v>19</v>
      </c>
      <c r="E18" s="115">
        <v>0</v>
      </c>
      <c r="F18" s="120" t="s">
        <v>301</v>
      </c>
      <c r="G18" s="233">
        <f>[4]Perso!J18</f>
        <v>35</v>
      </c>
      <c r="H18" s="122">
        <v>0</v>
      </c>
      <c r="I18" s="82"/>
      <c r="L18" s="76" t="s">
        <v>202</v>
      </c>
      <c r="M18" s="77">
        <v>40</v>
      </c>
      <c r="N18" s="499">
        <f>[4]Talents!J18</f>
        <v>18.5</v>
      </c>
      <c r="O18" s="499">
        <f>[4]Talents!K18</f>
        <v>37</v>
      </c>
      <c r="P18" s="235">
        <f>[4]Talents!M18</f>
        <v>80</v>
      </c>
      <c r="Q18" s="78"/>
      <c r="R18" s="568" t="s">
        <v>281</v>
      </c>
      <c r="S18" s="77">
        <v>6</v>
      </c>
      <c r="T18" s="513">
        <f>[4]Talents!Z18</f>
        <v>5.5</v>
      </c>
      <c r="U18" s="513">
        <f>[4]Talents!AA18</f>
        <v>11</v>
      </c>
      <c r="V18" s="514">
        <f>[4]Talents!AC18</f>
        <v>62</v>
      </c>
      <c r="W18" s="515"/>
      <c r="AJ18" s="100" t="s">
        <v>152</v>
      </c>
      <c r="AK18" s="101">
        <v>2</v>
      </c>
      <c r="AL18" s="105">
        <v>7</v>
      </c>
    </row>
    <row r="19" spans="1:38" ht="13.5" thickBot="1" x14ac:dyDescent="0.35">
      <c r="A19" s="117" t="s">
        <v>84</v>
      </c>
      <c r="B19" s="118">
        <v>9</v>
      </c>
      <c r="C19" s="118">
        <v>15</v>
      </c>
      <c r="D19" s="118">
        <v>19</v>
      </c>
      <c r="E19" s="119">
        <v>0</v>
      </c>
      <c r="F19" s="121" t="s">
        <v>105</v>
      </c>
      <c r="G19" s="233">
        <f>[4]Perso!J19</f>
        <v>7</v>
      </c>
      <c r="H19" s="116">
        <v>0</v>
      </c>
      <c r="I19" s="82"/>
      <c r="L19" s="76" t="s">
        <v>203</v>
      </c>
      <c r="M19" s="77"/>
      <c r="N19" s="499">
        <f>[4]Talents!J19</f>
        <v>5.5</v>
      </c>
      <c r="O19" s="499">
        <f>[4]Talents!K19</f>
        <v>11</v>
      </c>
      <c r="P19" s="235">
        <f>[4]Talents!M19</f>
        <v>63</v>
      </c>
      <c r="Q19" s="78"/>
      <c r="R19" s="569" t="s">
        <v>282</v>
      </c>
      <c r="S19" s="77">
        <v>6</v>
      </c>
      <c r="T19" s="499">
        <f>[4]Talents!Z19</f>
        <v>5.5</v>
      </c>
      <c r="U19" s="499">
        <f>[4]Talents!AA19</f>
        <v>11</v>
      </c>
      <c r="V19" s="235">
        <f>[4]Talents!AC19</f>
        <v>62</v>
      </c>
      <c r="W19" s="78"/>
      <c r="AJ19" s="100">
        <v>3</v>
      </c>
      <c r="AK19" s="101">
        <v>1</v>
      </c>
      <c r="AL19" s="478"/>
    </row>
    <row r="20" spans="1:38" ht="13.5" thickBot="1" x14ac:dyDescent="0.35">
      <c r="A20" s="113" t="s">
        <v>85</v>
      </c>
      <c r="B20" s="114">
        <v>21</v>
      </c>
      <c r="C20" s="114">
        <v>82</v>
      </c>
      <c r="D20" s="114">
        <v>82</v>
      </c>
      <c r="E20" s="115">
        <v>0</v>
      </c>
      <c r="F20" s="121" t="s">
        <v>302</v>
      </c>
      <c r="G20" s="233">
        <f>[4]Perso!J20</f>
        <v>22.75</v>
      </c>
      <c r="H20" s="116">
        <v>0</v>
      </c>
      <c r="I20" s="82"/>
      <c r="L20" s="76" t="s">
        <v>204</v>
      </c>
      <c r="M20" s="77"/>
      <c r="N20" s="499">
        <f>[4]Talents!J20</f>
        <v>20.5</v>
      </c>
      <c r="O20" s="499">
        <f>[4]Talents!K20</f>
        <v>41</v>
      </c>
      <c r="P20" s="235">
        <f>[4]Talents!M20</f>
        <v>80</v>
      </c>
      <c r="Q20" s="78"/>
      <c r="R20" s="569" t="s">
        <v>283</v>
      </c>
      <c r="S20" s="77">
        <v>6</v>
      </c>
      <c r="T20" s="499">
        <f>[4]Talents!Z20</f>
        <v>5.5</v>
      </c>
      <c r="U20" s="499">
        <f>[4]Talents!AA20</f>
        <v>11</v>
      </c>
      <c r="V20" s="235">
        <f>[4]Talents!AC20</f>
        <v>62</v>
      </c>
      <c r="W20" s="78"/>
      <c r="Y20" s="516" t="s">
        <v>128</v>
      </c>
      <c r="Z20" s="517"/>
      <c r="AJ20" s="108" t="s">
        <v>165</v>
      </c>
      <c r="AK20" s="109">
        <v>1</v>
      </c>
      <c r="AL20" s="479"/>
    </row>
    <row r="21" spans="1:38" ht="13.5" thickBot="1" x14ac:dyDescent="0.35">
      <c r="A21" s="117" t="s">
        <v>86</v>
      </c>
      <c r="B21" s="118">
        <v>21</v>
      </c>
      <c r="C21" s="118">
        <v>82</v>
      </c>
      <c r="D21" s="118">
        <v>82</v>
      </c>
      <c r="E21" s="119">
        <v>0</v>
      </c>
      <c r="F21" s="120" t="s">
        <v>303</v>
      </c>
      <c r="G21" s="233">
        <f>[4]Perso!J21</f>
        <v>7.2750000000000004</v>
      </c>
      <c r="H21" s="122">
        <v>0</v>
      </c>
      <c r="I21" s="82"/>
      <c r="L21" s="76" t="s">
        <v>205</v>
      </c>
      <c r="M21" s="77">
        <v>47</v>
      </c>
      <c r="N21" s="499">
        <f>[4]Talents!J21</f>
        <v>18.5</v>
      </c>
      <c r="O21" s="499">
        <f>[4]Talents!K21</f>
        <v>37</v>
      </c>
      <c r="P21" s="235">
        <f>[4]Talents!M21</f>
        <v>77</v>
      </c>
      <c r="Q21" s="78"/>
      <c r="R21" s="569" t="s">
        <v>284</v>
      </c>
      <c r="S21" s="77">
        <v>26</v>
      </c>
      <c r="T21" s="499">
        <f>[4]Talents!Z21</f>
        <v>5.5</v>
      </c>
      <c r="U21" s="499">
        <f>[4]Talents!AA21</f>
        <v>11</v>
      </c>
      <c r="V21" s="235">
        <f>[4]Talents!AC21</f>
        <v>62</v>
      </c>
      <c r="W21" s="78"/>
      <c r="X21" s="124" t="s">
        <v>126</v>
      </c>
      <c r="Y21" s="125" t="s">
        <v>127</v>
      </c>
      <c r="Z21" s="126" t="s">
        <v>310</v>
      </c>
      <c r="AA21" s="127" t="s">
        <v>309</v>
      </c>
      <c r="AB21" s="128" t="s">
        <v>991</v>
      </c>
      <c r="AC21" s="129" t="s">
        <v>992</v>
      </c>
      <c r="AD21" s="130" t="s">
        <v>993</v>
      </c>
      <c r="AE21" s="131" t="s">
        <v>994</v>
      </c>
      <c r="AF21" s="132" t="s">
        <v>995</v>
      </c>
      <c r="AG21" s="129" t="s">
        <v>139</v>
      </c>
      <c r="AH21" s="402" t="s">
        <v>140</v>
      </c>
      <c r="AI21" s="130" t="s">
        <v>996</v>
      </c>
      <c r="AJ21" s="94" t="s">
        <v>153</v>
      </c>
      <c r="AK21" s="111" t="s">
        <v>145</v>
      </c>
      <c r="AL21" s="506" t="s">
        <v>143</v>
      </c>
    </row>
    <row r="22" spans="1:38" ht="13" x14ac:dyDescent="0.3">
      <c r="A22" s="113" t="s">
        <v>87</v>
      </c>
      <c r="B22" s="114">
        <v>15</v>
      </c>
      <c r="C22" s="114">
        <v>73</v>
      </c>
      <c r="D22" s="114">
        <v>77</v>
      </c>
      <c r="E22" s="115">
        <v>0</v>
      </c>
      <c r="F22" s="120" t="s">
        <v>304</v>
      </c>
      <c r="G22" s="233">
        <f>[4]Perso!J22</f>
        <v>5.5</v>
      </c>
      <c r="H22" s="122">
        <v>0</v>
      </c>
      <c r="I22" s="82"/>
      <c r="L22" s="76" t="s">
        <v>206</v>
      </c>
      <c r="M22" s="77"/>
      <c r="N22" s="499">
        <f>[4]Talents!J22</f>
        <v>6</v>
      </c>
      <c r="O22" s="499">
        <f>[4]Talents!K22</f>
        <v>12</v>
      </c>
      <c r="P22" s="235">
        <f>[4]Talents!M22</f>
        <v>66</v>
      </c>
      <c r="Q22" s="78"/>
      <c r="R22" s="569" t="s">
        <v>285</v>
      </c>
      <c r="S22" s="77">
        <v>19</v>
      </c>
      <c r="T22" s="499">
        <f>[4]Talents!Z22</f>
        <v>5.5</v>
      </c>
      <c r="U22" s="499">
        <f>[4]Talents!AA22</f>
        <v>11</v>
      </c>
      <c r="V22" s="235">
        <f>[4]Talents!AC22</f>
        <v>62</v>
      </c>
      <c r="W22" s="78"/>
      <c r="X22" s="133" t="s">
        <v>1222</v>
      </c>
      <c r="Y22" s="134" t="s">
        <v>1223</v>
      </c>
      <c r="Z22" s="135" t="s">
        <v>1224</v>
      </c>
      <c r="AA22" s="444">
        <v>10</v>
      </c>
      <c r="AB22" s="136" t="s">
        <v>1225</v>
      </c>
      <c r="AC22" s="137" t="s">
        <v>1226</v>
      </c>
      <c r="AD22" s="138" t="s">
        <v>1226</v>
      </c>
      <c r="AE22" s="139" t="s">
        <v>1227</v>
      </c>
      <c r="AF22" s="137"/>
      <c r="AG22" s="439">
        <v>-1</v>
      </c>
      <c r="AH22" s="440">
        <v>-2</v>
      </c>
      <c r="AI22" s="140"/>
      <c r="AJ22" s="100" t="s">
        <v>152</v>
      </c>
      <c r="AK22" s="101">
        <v>2</v>
      </c>
      <c r="AL22" s="105">
        <v>7</v>
      </c>
    </row>
    <row r="23" spans="1:38" ht="13.5" thickBot="1" x14ac:dyDescent="0.35">
      <c r="A23" s="117" t="s">
        <v>88</v>
      </c>
      <c r="B23" s="118">
        <v>19</v>
      </c>
      <c r="C23" s="118">
        <v>85</v>
      </c>
      <c r="D23" s="118">
        <v>92</v>
      </c>
      <c r="E23" s="119">
        <v>0</v>
      </c>
      <c r="F23" s="120" t="s">
        <v>305</v>
      </c>
      <c r="G23" s="233">
        <f>[4]Perso!J23</f>
        <v>36.700000000000003</v>
      </c>
      <c r="H23" s="122">
        <v>0</v>
      </c>
      <c r="I23" s="82"/>
      <c r="L23" s="76" t="s">
        <v>207</v>
      </c>
      <c r="M23" s="77"/>
      <c r="N23" s="499">
        <f>[4]Talents!J23</f>
        <v>5.5</v>
      </c>
      <c r="O23" s="499">
        <f>[4]Talents!K23</f>
        <v>11</v>
      </c>
      <c r="P23" s="235">
        <f>[4]Talents!M23</f>
        <v>32</v>
      </c>
      <c r="Q23" s="78"/>
      <c r="R23" s="569" t="s">
        <v>286</v>
      </c>
      <c r="S23" s="77">
        <v>14</v>
      </c>
      <c r="T23" s="499">
        <f>[4]Talents!Z23</f>
        <v>5.5</v>
      </c>
      <c r="U23" s="499">
        <f>[4]Talents!AA23</f>
        <v>11</v>
      </c>
      <c r="V23" s="235">
        <f>[4]Talents!AC23</f>
        <v>62</v>
      </c>
      <c r="W23" s="78"/>
      <c r="X23" s="133"/>
      <c r="Y23" s="134"/>
      <c r="Z23" s="135"/>
      <c r="AA23" s="444"/>
      <c r="AB23" s="136"/>
      <c r="AC23" s="137"/>
      <c r="AD23" s="138"/>
      <c r="AE23" s="139"/>
      <c r="AF23" s="137"/>
      <c r="AG23" s="439"/>
      <c r="AH23" s="440"/>
      <c r="AI23" s="140"/>
      <c r="AJ23" s="100">
        <v>3</v>
      </c>
      <c r="AK23" s="101">
        <v>1</v>
      </c>
      <c r="AL23" s="478"/>
    </row>
    <row r="24" spans="1:38" ht="13.5" thickBot="1" x14ac:dyDescent="0.35">
      <c r="A24" s="113" t="s">
        <v>89</v>
      </c>
      <c r="B24" s="114">
        <v>12</v>
      </c>
      <c r="C24" s="114">
        <v>24</v>
      </c>
      <c r="D24" s="114">
        <v>24</v>
      </c>
      <c r="E24" s="115">
        <v>0</v>
      </c>
      <c r="F24" s="121" t="s">
        <v>306</v>
      </c>
      <c r="G24" s="233">
        <f>[4]Perso!J24</f>
        <v>26.175000000000001</v>
      </c>
      <c r="H24" s="116">
        <v>0</v>
      </c>
      <c r="I24" s="82"/>
      <c r="L24" s="76" t="s">
        <v>208</v>
      </c>
      <c r="M24" s="77"/>
      <c r="N24" s="499">
        <f>[4]Talents!J24</f>
        <v>11.5</v>
      </c>
      <c r="O24" s="499">
        <f>[4]Talents!K24</f>
        <v>23</v>
      </c>
      <c r="P24" s="235">
        <f>[4]Talents!M24</f>
        <v>80</v>
      </c>
      <c r="Q24" s="78"/>
      <c r="R24" s="569" t="s">
        <v>287</v>
      </c>
      <c r="S24" s="77">
        <v>6</v>
      </c>
      <c r="T24" s="499">
        <f>[4]Talents!Z24</f>
        <v>5.5</v>
      </c>
      <c r="U24" s="499">
        <f>[4]Talents!AA24</f>
        <v>11</v>
      </c>
      <c r="V24" s="235">
        <f>[4]Talents!AC24</f>
        <v>62</v>
      </c>
      <c r="W24" s="78"/>
      <c r="X24" s="133" t="s">
        <v>165</v>
      </c>
      <c r="Y24" s="134"/>
      <c r="Z24" s="135" t="s">
        <v>165</v>
      </c>
      <c r="AA24" s="444" t="s">
        <v>165</v>
      </c>
      <c r="AB24" s="136"/>
      <c r="AC24" s="137"/>
      <c r="AD24" s="138"/>
      <c r="AE24" s="139"/>
      <c r="AF24" s="137"/>
      <c r="AG24" s="439"/>
      <c r="AH24" s="440"/>
      <c r="AI24" s="140"/>
      <c r="AJ24" s="108" t="s">
        <v>165</v>
      </c>
      <c r="AK24" s="109">
        <v>1</v>
      </c>
      <c r="AL24" s="479"/>
    </row>
    <row r="25" spans="1:38" ht="13.5" thickBot="1" x14ac:dyDescent="0.35">
      <c r="A25" s="117" t="s">
        <v>90</v>
      </c>
      <c r="B25" s="118">
        <v>12</v>
      </c>
      <c r="C25" s="118">
        <v>24</v>
      </c>
      <c r="D25" s="118">
        <v>24</v>
      </c>
      <c r="E25" s="119">
        <v>0</v>
      </c>
      <c r="F25" s="121" t="s">
        <v>307</v>
      </c>
      <c r="G25" s="233">
        <f>[4]Perso!J25</f>
        <v>15</v>
      </c>
      <c r="H25" s="116">
        <v>0</v>
      </c>
      <c r="I25" s="82"/>
      <c r="L25" s="76" t="s">
        <v>209</v>
      </c>
      <c r="M25" s="77"/>
      <c r="N25" s="499">
        <f>[4]Talents!J25</f>
        <v>2.5</v>
      </c>
      <c r="O25" s="499">
        <f>[4]Talents!K25</f>
        <v>5</v>
      </c>
      <c r="P25" s="235">
        <f>[4]Talents!M25</f>
        <v>36</v>
      </c>
      <c r="Q25" s="78"/>
      <c r="R25" s="569" t="s">
        <v>288</v>
      </c>
      <c r="S25" s="77">
        <v>6</v>
      </c>
      <c r="T25" s="499">
        <f>[4]Talents!Z25</f>
        <v>5.5</v>
      </c>
      <c r="U25" s="499">
        <f>[4]Talents!AA25</f>
        <v>11</v>
      </c>
      <c r="V25" s="235">
        <f>[4]Talents!AC25</f>
        <v>62</v>
      </c>
      <c r="W25" s="78"/>
      <c r="X25" s="142" t="s">
        <v>165</v>
      </c>
      <c r="Y25" s="143"/>
      <c r="Z25" s="135" t="s">
        <v>165</v>
      </c>
      <c r="AA25" s="445" t="s">
        <v>165</v>
      </c>
      <c r="AB25" s="144"/>
      <c r="AC25" s="145"/>
      <c r="AD25" s="146"/>
      <c r="AE25" s="147"/>
      <c r="AF25" s="145"/>
      <c r="AG25" s="439"/>
      <c r="AH25" s="441"/>
      <c r="AI25" s="148"/>
      <c r="AJ25" s="94" t="s">
        <v>154</v>
      </c>
      <c r="AK25" s="111" t="s">
        <v>145</v>
      </c>
      <c r="AL25" s="506" t="s">
        <v>143</v>
      </c>
    </row>
    <row r="26" spans="1:38" ht="13.5" thickBot="1" x14ac:dyDescent="0.35">
      <c r="A26" s="113" t="s">
        <v>91</v>
      </c>
      <c r="B26" s="114">
        <v>15</v>
      </c>
      <c r="C26" s="114">
        <v>41</v>
      </c>
      <c r="D26" s="114">
        <v>59</v>
      </c>
      <c r="E26" s="115">
        <v>0</v>
      </c>
      <c r="F26" s="79" t="s">
        <v>166</v>
      </c>
      <c r="G26" s="233">
        <f>[4]Perso!J26</f>
        <v>9.8000000000000007</v>
      </c>
      <c r="H26" s="116">
        <v>0</v>
      </c>
      <c r="I26" s="82"/>
      <c r="L26" s="76" t="s">
        <v>210</v>
      </c>
      <c r="M26" s="77"/>
      <c r="N26" s="499">
        <f>[4]Talents!J26</f>
        <v>11.5</v>
      </c>
      <c r="O26" s="499">
        <f>[4]Talents!K26</f>
        <v>23</v>
      </c>
      <c r="P26" s="235">
        <f>[4]Talents!M26</f>
        <v>75</v>
      </c>
      <c r="Q26" s="78"/>
      <c r="R26" s="569" t="s">
        <v>289</v>
      </c>
      <c r="S26" s="77">
        <v>6</v>
      </c>
      <c r="T26" s="499">
        <f>[4]Talents!Z26</f>
        <v>5.5</v>
      </c>
      <c r="U26" s="499">
        <f>[4]Talents!AA26</f>
        <v>11</v>
      </c>
      <c r="V26" s="235">
        <f>[4]Talents!AC26</f>
        <v>62</v>
      </c>
      <c r="W26" s="78"/>
      <c r="X26" s="149" t="s">
        <v>1148</v>
      </c>
      <c r="Y26" s="416">
        <f>IF(X26&lt;&gt;"Bouclier",ROUND(S45/5,0),0)</f>
        <v>1</v>
      </c>
      <c r="Z26" s="150"/>
      <c r="AA26" s="446"/>
      <c r="AB26" s="151"/>
      <c r="AC26" s="152"/>
      <c r="AD26" s="153"/>
      <c r="AE26" s="154"/>
      <c r="AF26" s="152"/>
      <c r="AG26" s="442"/>
      <c r="AH26" s="443"/>
      <c r="AI26" s="155"/>
      <c r="AJ26" s="100" t="s">
        <v>146</v>
      </c>
      <c r="AK26" s="101" t="s">
        <v>165</v>
      </c>
      <c r="AL26" s="105"/>
    </row>
    <row r="27" spans="1:38" ht="13.5" thickBot="1" x14ac:dyDescent="0.35">
      <c r="A27" s="117" t="s">
        <v>92</v>
      </c>
      <c r="B27" s="118">
        <v>15</v>
      </c>
      <c r="C27" s="118">
        <v>35</v>
      </c>
      <c r="D27" s="118">
        <v>59</v>
      </c>
      <c r="E27" s="119">
        <v>0</v>
      </c>
      <c r="F27" s="121" t="s">
        <v>485</v>
      </c>
      <c r="G27" s="233">
        <f>[4]Perso!J27</f>
        <v>4</v>
      </c>
      <c r="H27" s="156">
        <v>0</v>
      </c>
      <c r="L27" s="76" t="s">
        <v>211</v>
      </c>
      <c r="M27" s="77"/>
      <c r="N27" s="499">
        <f>[4]Talents!J27</f>
        <v>7</v>
      </c>
      <c r="O27" s="499">
        <f>[4]Talents!K27</f>
        <v>14</v>
      </c>
      <c r="P27" s="235">
        <f>[4]Talents!M27</f>
        <v>66</v>
      </c>
      <c r="Q27" s="78"/>
      <c r="R27" s="569" t="s">
        <v>290</v>
      </c>
      <c r="S27" s="77">
        <v>48</v>
      </c>
      <c r="T27" s="499">
        <f>[4]Talents!Z27</f>
        <v>5.5</v>
      </c>
      <c r="U27" s="499">
        <f>[4]Talents!AA27</f>
        <v>11</v>
      </c>
      <c r="V27" s="235">
        <f>[4]Talents!AC27</f>
        <v>62</v>
      </c>
      <c r="W27" s="78"/>
      <c r="X27" s="157"/>
      <c r="Z27" s="408" t="s">
        <v>1096</v>
      </c>
      <c r="AA27" s="455">
        <f>SUM(AA22:AA26)</f>
        <v>10</v>
      </c>
      <c r="AB27" s="112"/>
      <c r="AC27" s="158"/>
      <c r="AD27" s="158"/>
      <c r="AE27" s="158"/>
      <c r="AF27" s="409"/>
      <c r="AG27" s="488">
        <f>SUM(AG22:AG26)</f>
        <v>-1</v>
      </c>
      <c r="AH27" s="488">
        <f>SUM(AH22:AH26)</f>
        <v>-2</v>
      </c>
      <c r="AI27" s="415">
        <f>SUM(AI22:AI26)</f>
        <v>0</v>
      </c>
      <c r="AJ27" s="100">
        <v>4</v>
      </c>
      <c r="AK27" s="101" t="s">
        <v>165</v>
      </c>
      <c r="AL27" s="478"/>
    </row>
    <row r="28" spans="1:38" ht="13.5" thickBot="1" x14ac:dyDescent="0.35">
      <c r="A28" s="113" t="s">
        <v>93</v>
      </c>
      <c r="B28" s="114">
        <v>13</v>
      </c>
      <c r="C28" s="114">
        <v>39</v>
      </c>
      <c r="D28" s="114">
        <v>39</v>
      </c>
      <c r="E28" s="115">
        <v>0</v>
      </c>
      <c r="F28" s="79" t="s">
        <v>106</v>
      </c>
      <c r="G28" s="233">
        <f>[4]Perso!J28</f>
        <v>8</v>
      </c>
      <c r="H28" s="116">
        <v>3</v>
      </c>
      <c r="I28" s="82"/>
      <c r="L28" s="76" t="s">
        <v>212</v>
      </c>
      <c r="M28" s="77"/>
      <c r="N28" s="499">
        <f>[4]Talents!J28</f>
        <v>11.5</v>
      </c>
      <c r="O28" s="499">
        <f>[4]Talents!K28</f>
        <v>23</v>
      </c>
      <c r="P28" s="235">
        <f>[4]Talents!M28</f>
        <v>52</v>
      </c>
      <c r="Q28" s="78"/>
      <c r="R28" s="569" t="s">
        <v>291</v>
      </c>
      <c r="S28" s="77">
        <v>15</v>
      </c>
      <c r="T28" s="499">
        <f>[4]Talents!Z28</f>
        <v>5.5</v>
      </c>
      <c r="U28" s="499">
        <f>[4]Talents!AA28</f>
        <v>11</v>
      </c>
      <c r="V28" s="235">
        <f>[4]Talents!AC28</f>
        <v>62</v>
      </c>
      <c r="W28" s="78">
        <v>1</v>
      </c>
      <c r="X28" s="112"/>
      <c r="Y28" s="112"/>
      <c r="Z28" s="112"/>
      <c r="AA28" s="112"/>
      <c r="AB28" s="112"/>
      <c r="AC28" s="112"/>
      <c r="AD28" s="112"/>
      <c r="AE28" s="112"/>
      <c r="AF28" s="112" t="s">
        <v>1097</v>
      </c>
      <c r="AG28" s="507" t="s">
        <v>139</v>
      </c>
      <c r="AH28" s="507" t="s">
        <v>140</v>
      </c>
      <c r="AI28" s="507" t="s">
        <v>1086</v>
      </c>
      <c r="AJ28" s="108" t="s">
        <v>165</v>
      </c>
      <c r="AK28" s="109" t="s">
        <v>165</v>
      </c>
      <c r="AL28" s="479"/>
    </row>
    <row r="29" spans="1:38" ht="13.5" thickBot="1" x14ac:dyDescent="0.35">
      <c r="A29" s="117" t="s">
        <v>94</v>
      </c>
      <c r="B29" s="118">
        <v>13</v>
      </c>
      <c r="C29" s="118">
        <v>39</v>
      </c>
      <c r="D29" s="118">
        <v>39</v>
      </c>
      <c r="E29" s="119">
        <v>0</v>
      </c>
      <c r="F29" s="79" t="s">
        <v>49</v>
      </c>
      <c r="G29" s="233">
        <f>[4]Perso!J29</f>
        <v>45</v>
      </c>
      <c r="H29" s="116">
        <v>0</v>
      </c>
      <c r="I29" s="82"/>
      <c r="L29" s="76" t="s">
        <v>213</v>
      </c>
      <c r="M29" s="77"/>
      <c r="N29" s="499">
        <f>[4]Talents!J29</f>
        <v>20.5</v>
      </c>
      <c r="O29" s="499">
        <f>[4]Talents!K29</f>
        <v>41</v>
      </c>
      <c r="P29" s="235">
        <f>[4]Talents!M29</f>
        <v>80</v>
      </c>
      <c r="Q29" s="78"/>
      <c r="R29" s="569" t="s">
        <v>292</v>
      </c>
      <c r="S29" s="77">
        <v>6</v>
      </c>
      <c r="T29" s="499">
        <f>[4]Talents!Z29</f>
        <v>5.5</v>
      </c>
      <c r="U29" s="499">
        <f>[4]Talents!AA29</f>
        <v>11</v>
      </c>
      <c r="V29" s="235">
        <f>[4]Talents!AC29</f>
        <v>62</v>
      </c>
      <c r="W29" s="78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07" t="s">
        <v>1087</v>
      </c>
      <c r="AI29" s="414">
        <f>M7/5+M67/10</f>
        <v>2.1</v>
      </c>
      <c r="AJ29" s="94" t="s">
        <v>155</v>
      </c>
      <c r="AK29" s="111" t="s">
        <v>145</v>
      </c>
      <c r="AL29" s="506" t="s">
        <v>143</v>
      </c>
    </row>
    <row r="30" spans="1:38" ht="13.5" thickBot="1" x14ac:dyDescent="0.35">
      <c r="A30" s="110" t="s">
        <v>95</v>
      </c>
      <c r="B30" s="159">
        <v>13</v>
      </c>
      <c r="C30" s="159">
        <v>35</v>
      </c>
      <c r="D30" s="159">
        <v>35</v>
      </c>
      <c r="E30" s="160">
        <v>0</v>
      </c>
      <c r="F30" s="79" t="s">
        <v>24</v>
      </c>
      <c r="G30" s="233">
        <f>[4]Perso!J30</f>
        <v>32</v>
      </c>
      <c r="H30" s="116">
        <v>0</v>
      </c>
      <c r="I30" s="82"/>
      <c r="L30" s="76" t="s">
        <v>214</v>
      </c>
      <c r="M30" s="77"/>
      <c r="N30" s="499">
        <f>[4]Talents!J30</f>
        <v>5</v>
      </c>
      <c r="O30" s="499">
        <f>[4]Talents!K30</f>
        <v>10</v>
      </c>
      <c r="P30" s="235">
        <f>[4]Talents!M30</f>
        <v>36</v>
      </c>
      <c r="Q30" s="78"/>
      <c r="R30" s="570" t="s">
        <v>293</v>
      </c>
      <c r="S30" s="77">
        <v>53</v>
      </c>
      <c r="T30" s="509">
        <f>[4]Talents!Z30</f>
        <v>5.5</v>
      </c>
      <c r="U30" s="509">
        <f>[4]Talents!AA30</f>
        <v>11</v>
      </c>
      <c r="V30" s="510">
        <f>[4]Talents!AC30</f>
        <v>62</v>
      </c>
      <c r="W30" s="511">
        <v>1</v>
      </c>
      <c r="X30" s="161" t="s">
        <v>129</v>
      </c>
      <c r="Y30" s="162"/>
      <c r="Z30" s="163" t="s">
        <v>130</v>
      </c>
      <c r="AA30" s="163"/>
      <c r="AB30" s="164" t="s">
        <v>143</v>
      </c>
      <c r="AC30" s="165" t="s">
        <v>131</v>
      </c>
      <c r="AD30" s="166"/>
      <c r="AE30" s="163" t="s">
        <v>132</v>
      </c>
      <c r="AF30" s="167" t="s">
        <v>133</v>
      </c>
      <c r="AG30" s="168" t="s">
        <v>134</v>
      </c>
      <c r="AH30" s="403"/>
      <c r="AI30" s="169" t="s">
        <v>135</v>
      </c>
      <c r="AJ30" s="100" t="s">
        <v>146</v>
      </c>
      <c r="AK30" s="101" t="s">
        <v>165</v>
      </c>
      <c r="AL30" s="105"/>
    </row>
    <row r="31" spans="1:38" ht="13.5" thickBot="1" x14ac:dyDescent="0.35">
      <c r="A31" s="117" t="s">
        <v>96</v>
      </c>
      <c r="B31" s="118">
        <v>17</v>
      </c>
      <c r="C31" s="118">
        <v>46</v>
      </c>
      <c r="D31" s="118">
        <v>47</v>
      </c>
      <c r="E31" s="119">
        <v>0</v>
      </c>
      <c r="F31" s="79" t="s">
        <v>25</v>
      </c>
      <c r="G31" s="233">
        <f>[4]Perso!J31</f>
        <v>64</v>
      </c>
      <c r="H31" s="116">
        <v>0</v>
      </c>
      <c r="I31" s="82"/>
      <c r="L31" s="76" t="s">
        <v>1171</v>
      </c>
      <c r="M31" s="77"/>
      <c r="N31" s="499">
        <f>[4]Talents!J31</f>
        <v>20.5</v>
      </c>
      <c r="O31" s="499">
        <f>[4]Talents!K31</f>
        <v>41</v>
      </c>
      <c r="P31" s="235">
        <f>[4]Talents!M31</f>
        <v>80</v>
      </c>
      <c r="Q31" s="78"/>
      <c r="R31" s="76" t="s">
        <v>245</v>
      </c>
      <c r="S31" s="77"/>
      <c r="T31" s="499">
        <f>[4]Talents!Z31</f>
        <v>18.5</v>
      </c>
      <c r="U31" s="499">
        <f>[4]Talents!AA31</f>
        <v>37</v>
      </c>
      <c r="V31" s="235">
        <f>[4]Talents!AC31</f>
        <v>80</v>
      </c>
      <c r="W31" s="78"/>
      <c r="X31" s="170" t="s">
        <v>136</v>
      </c>
      <c r="Y31" s="171"/>
      <c r="Z31" s="172" t="s">
        <v>137</v>
      </c>
      <c r="AA31" s="172"/>
      <c r="AB31" s="173" t="s">
        <v>142</v>
      </c>
      <c r="AC31" s="174"/>
      <c r="AD31" s="175"/>
      <c r="AE31" s="176"/>
      <c r="AF31" s="177"/>
      <c r="AG31" s="178"/>
      <c r="AH31" s="78"/>
      <c r="AI31" s="179" t="s">
        <v>138</v>
      </c>
      <c r="AJ31" s="100">
        <v>4</v>
      </c>
      <c r="AK31" s="101" t="s">
        <v>165</v>
      </c>
      <c r="AL31" s="478"/>
    </row>
    <row r="32" spans="1:38" ht="13.5" thickBot="1" x14ac:dyDescent="0.35">
      <c r="A32" s="67"/>
      <c r="B32" s="71"/>
      <c r="C32" s="102" t="s">
        <v>97</v>
      </c>
      <c r="D32" s="68" t="s">
        <v>104</v>
      </c>
      <c r="E32" s="70"/>
      <c r="F32" s="79" t="s">
        <v>26</v>
      </c>
      <c r="G32" s="233">
        <f>[4]Perso!J32</f>
        <v>96</v>
      </c>
      <c r="H32" s="116">
        <v>0</v>
      </c>
      <c r="I32" s="82"/>
      <c r="L32" s="567" t="s">
        <v>215</v>
      </c>
      <c r="M32" s="644">
        <v>27</v>
      </c>
      <c r="N32" s="499">
        <f>[4]Talents!J32</f>
        <v>5</v>
      </c>
      <c r="O32" s="499">
        <f>[4]Talents!K32</f>
        <v>10</v>
      </c>
      <c r="P32" s="235">
        <f>[4]Talents!M32</f>
        <v>52</v>
      </c>
      <c r="Q32" s="78"/>
      <c r="R32" s="567" t="s">
        <v>246</v>
      </c>
      <c r="S32" s="644">
        <v>43</v>
      </c>
      <c r="T32" s="499">
        <f>[4]Talents!Z32</f>
        <v>8.5</v>
      </c>
      <c r="U32" s="499">
        <f>[4]Talents!AA32</f>
        <v>17</v>
      </c>
      <c r="V32" s="235">
        <f>[4]Talents!AC32</f>
        <v>50</v>
      </c>
      <c r="W32" s="78">
        <v>5</v>
      </c>
      <c r="X32" s="181" t="s">
        <v>1228</v>
      </c>
      <c r="Y32" s="182"/>
      <c r="Z32" s="183" t="s">
        <v>1229</v>
      </c>
      <c r="AA32" s="183" t="s">
        <v>29</v>
      </c>
      <c r="AB32" s="453">
        <v>50</v>
      </c>
      <c r="AC32" s="410" t="s">
        <v>139</v>
      </c>
      <c r="AD32" s="450">
        <v>3</v>
      </c>
      <c r="AE32" s="184"/>
      <c r="AF32" s="185" t="s">
        <v>1161</v>
      </c>
      <c r="AG32" s="186"/>
      <c r="AH32" s="404"/>
      <c r="AI32" s="187" t="s">
        <v>135</v>
      </c>
      <c r="AJ32" s="108" t="s">
        <v>165</v>
      </c>
      <c r="AK32" s="109" t="s">
        <v>165</v>
      </c>
      <c r="AL32" s="479"/>
    </row>
    <row r="33" spans="1:38" ht="13.5" thickBot="1" x14ac:dyDescent="0.35">
      <c r="A33" s="80" t="s">
        <v>72</v>
      </c>
      <c r="B33" s="159">
        <v>79</v>
      </c>
      <c r="C33" s="188">
        <v>0</v>
      </c>
      <c r="D33" s="635" t="s">
        <v>1205</v>
      </c>
      <c r="E33" s="82"/>
      <c r="F33" s="79" t="s">
        <v>107</v>
      </c>
      <c r="G33" s="233">
        <f>[4]Perso!J33</f>
        <v>10789</v>
      </c>
      <c r="H33" s="116">
        <v>0</v>
      </c>
      <c r="I33" s="82"/>
      <c r="L33" s="76" t="s">
        <v>216</v>
      </c>
      <c r="M33" s="77"/>
      <c r="N33" s="499">
        <f>[4]Talents!J33</f>
        <v>8</v>
      </c>
      <c r="O33" s="499">
        <f>[4]Talents!K33</f>
        <v>16</v>
      </c>
      <c r="P33" s="235">
        <f>[4]Talents!M33</f>
        <v>53</v>
      </c>
      <c r="Q33" s="78"/>
      <c r="R33" s="76" t="s">
        <v>247</v>
      </c>
      <c r="S33" s="77"/>
      <c r="T33" s="499">
        <f>[4]Talents!Z33</f>
        <v>9</v>
      </c>
      <c r="U33" s="499">
        <f>[4]Talents!AA33</f>
        <v>18</v>
      </c>
      <c r="V33" s="235">
        <f>[4]Talents!AC33</f>
        <v>80</v>
      </c>
      <c r="W33" s="78"/>
      <c r="X33" s="189"/>
      <c r="Y33" s="190"/>
      <c r="Z33" s="191" t="s">
        <v>163</v>
      </c>
      <c r="AA33" s="191"/>
      <c r="AB33" s="449">
        <v>-1</v>
      </c>
      <c r="AC33" s="411" t="s">
        <v>140</v>
      </c>
      <c r="AD33" s="451">
        <v>5</v>
      </c>
      <c r="AE33" s="192" t="s">
        <v>1230</v>
      </c>
      <c r="AF33" s="192" t="s">
        <v>1227</v>
      </c>
      <c r="AG33" s="192" t="s">
        <v>1231</v>
      </c>
      <c r="AH33" s="192"/>
      <c r="AI33" s="417">
        <f>ROUND($AB$35+$AD35+$AI$29,0)</f>
        <v>17</v>
      </c>
      <c r="AJ33" s="193" t="s">
        <v>156</v>
      </c>
      <c r="AK33" s="194" t="s">
        <v>145</v>
      </c>
      <c r="AL33" s="506" t="s">
        <v>143</v>
      </c>
    </row>
    <row r="34" spans="1:38" ht="13" x14ac:dyDescent="0.3">
      <c r="A34" s="80" t="s">
        <v>98</v>
      </c>
      <c r="B34" s="159">
        <v>77</v>
      </c>
      <c r="C34" s="188">
        <v>0</v>
      </c>
      <c r="D34" s="92" t="s">
        <v>1206</v>
      </c>
      <c r="E34" s="82"/>
      <c r="F34" s="79" t="s">
        <v>43</v>
      </c>
      <c r="G34" s="233"/>
      <c r="H34" s="81">
        <v>6</v>
      </c>
      <c r="I34" s="82"/>
      <c r="L34" s="76" t="s">
        <v>1124</v>
      </c>
      <c r="M34" s="77"/>
      <c r="N34" s="499">
        <f>[4]Talents!J34</f>
        <v>18.5</v>
      </c>
      <c r="O34" s="499">
        <f>[4]Talents!K34</f>
        <v>37</v>
      </c>
      <c r="P34" s="235">
        <f>[4]Talents!M34</f>
        <v>80</v>
      </c>
      <c r="Q34" s="78"/>
      <c r="R34" s="76" t="s">
        <v>248</v>
      </c>
      <c r="S34" s="77"/>
      <c r="T34" s="499">
        <f>[4]Talents!Z34</f>
        <v>20.5</v>
      </c>
      <c r="U34" s="499">
        <f>[4]Talents!AA34</f>
        <v>41</v>
      </c>
      <c r="V34" s="235">
        <f>[4]Talents!AC34</f>
        <v>80</v>
      </c>
      <c r="W34" s="78"/>
      <c r="X34" s="189"/>
      <c r="Y34" s="195"/>
      <c r="Z34" s="196" t="s">
        <v>1088</v>
      </c>
      <c r="AA34" s="447">
        <v>6</v>
      </c>
      <c r="AB34" s="449">
        <v>2</v>
      </c>
      <c r="AC34" s="411" t="s">
        <v>1086</v>
      </c>
      <c r="AD34" s="451">
        <v>-1</v>
      </c>
      <c r="AE34" s="490">
        <f>ROUND($G$12+S59/5+$AG$27+$AD32,0)</f>
        <v>15</v>
      </c>
      <c r="AF34" s="491">
        <f>ROUND($G$13+$AH$27+$AD33,0)</f>
        <v>9</v>
      </c>
      <c r="AG34" s="492">
        <f>AF34+$Y$26</f>
        <v>10</v>
      </c>
      <c r="AH34" s="405"/>
      <c r="AI34" s="197" t="s">
        <v>138</v>
      </c>
      <c r="AJ34" s="100" t="s">
        <v>152</v>
      </c>
      <c r="AK34" s="101">
        <v>2</v>
      </c>
      <c r="AL34" s="105">
        <v>6</v>
      </c>
    </row>
    <row r="35" spans="1:38" ht="13.5" thickBot="1" x14ac:dyDescent="0.35">
      <c r="A35" s="80" t="s">
        <v>73</v>
      </c>
      <c r="B35" s="159">
        <v>50</v>
      </c>
      <c r="C35" s="188">
        <v>0</v>
      </c>
      <c r="D35" s="92" t="s">
        <v>1207</v>
      </c>
      <c r="E35" s="82"/>
      <c r="F35" s="80" t="s">
        <v>308</v>
      </c>
      <c r="G35" s="233">
        <f>[4]Perso!J35</f>
        <v>66</v>
      </c>
      <c r="H35" s="116">
        <v>6</v>
      </c>
      <c r="I35" s="82"/>
      <c r="L35" s="76" t="s">
        <v>217</v>
      </c>
      <c r="M35" s="77"/>
      <c r="N35" s="499">
        <f>[4]Talents!J35</f>
        <v>20.5</v>
      </c>
      <c r="O35" s="499">
        <f>[4]Talents!K35</f>
        <v>41</v>
      </c>
      <c r="P35" s="235">
        <f>[4]Talents!M35</f>
        <v>80</v>
      </c>
      <c r="Q35" s="78"/>
      <c r="R35" s="76" t="s">
        <v>249</v>
      </c>
      <c r="S35" s="77"/>
      <c r="T35" s="499">
        <f>[4]Talents!Z35</f>
        <v>11.5</v>
      </c>
      <c r="U35" s="499">
        <f>[4]Talents!AA35</f>
        <v>23</v>
      </c>
      <c r="V35" s="235">
        <f>[4]Talents!AC35</f>
        <v>50</v>
      </c>
      <c r="W35" s="78"/>
      <c r="X35" s="198"/>
      <c r="Y35" s="199"/>
      <c r="Z35" s="200" t="s">
        <v>164</v>
      </c>
      <c r="AA35" s="191"/>
      <c r="AB35" s="454">
        <v>5</v>
      </c>
      <c r="AC35" s="412" t="s">
        <v>1087</v>
      </c>
      <c r="AD35" s="452">
        <v>10</v>
      </c>
      <c r="AE35" s="201" t="s">
        <v>139</v>
      </c>
      <c r="AF35" s="202" t="s">
        <v>140</v>
      </c>
      <c r="AG35" s="203" t="s">
        <v>1090</v>
      </c>
      <c r="AH35" s="203"/>
      <c r="AI35" s="413" t="str">
        <f>ROUND($G$27+$AA34+$AI$27+$AD34,0)&amp;"/"&amp;ROUND($AB34+$G$27+$AI$27+$AD34,0)</f>
        <v>9/5</v>
      </c>
      <c r="AJ35" s="100">
        <v>3</v>
      </c>
      <c r="AK35" s="101">
        <v>1</v>
      </c>
      <c r="AL35" s="478"/>
    </row>
    <row r="36" spans="1:38" ht="14" thickTop="1" thickBot="1" x14ac:dyDescent="0.35">
      <c r="A36" s="80" t="s">
        <v>99</v>
      </c>
      <c r="B36" s="159">
        <v>46</v>
      </c>
      <c r="C36" s="188">
        <v>0</v>
      </c>
      <c r="D36" s="92" t="s">
        <v>1208</v>
      </c>
      <c r="E36" s="82"/>
      <c r="F36" s="79" t="s">
        <v>492</v>
      </c>
      <c r="G36" s="233">
        <f>[4]Perso!J36</f>
        <v>25.400000000000002</v>
      </c>
      <c r="H36" s="116">
        <v>1</v>
      </c>
      <c r="I36" s="82"/>
      <c r="L36" s="567" t="s">
        <v>218</v>
      </c>
      <c r="M36" s="644">
        <v>23</v>
      </c>
      <c r="N36" s="499">
        <f>[4]Talents!J36</f>
        <v>5</v>
      </c>
      <c r="O36" s="499">
        <f>[4]Talents!K36</f>
        <v>10</v>
      </c>
      <c r="P36" s="235">
        <f>[4]Talents!M36</f>
        <v>35</v>
      </c>
      <c r="Q36" s="78"/>
      <c r="R36" s="112"/>
      <c r="S36" s="77">
        <v>0</v>
      </c>
      <c r="T36" s="499">
        <f>[4]Talents!Z36</f>
        <v>0</v>
      </c>
      <c r="U36" s="499">
        <f>[4]Talents!AA36</f>
        <v>0</v>
      </c>
      <c r="V36" s="235">
        <f>[4]Talents!AC36</f>
        <v>0</v>
      </c>
      <c r="W36" s="78"/>
      <c r="X36" s="181"/>
      <c r="Y36" s="195"/>
      <c r="Z36" s="183"/>
      <c r="AA36" s="183"/>
      <c r="AB36" s="453"/>
      <c r="AC36" s="410" t="s">
        <v>139</v>
      </c>
      <c r="AD36" s="450"/>
      <c r="AE36" s="184"/>
      <c r="AF36" s="185"/>
      <c r="AG36" s="204"/>
      <c r="AH36" s="406"/>
      <c r="AI36" s="197" t="s">
        <v>135</v>
      </c>
      <c r="AJ36" s="108" t="s">
        <v>165</v>
      </c>
      <c r="AK36" s="109">
        <v>1</v>
      </c>
      <c r="AL36" s="479"/>
    </row>
    <row r="37" spans="1:38" ht="13.5" thickBot="1" x14ac:dyDescent="0.35">
      <c r="A37" s="89" t="s">
        <v>74</v>
      </c>
      <c r="B37" s="118">
        <v>47</v>
      </c>
      <c r="C37" s="205">
        <v>0</v>
      </c>
      <c r="D37" s="92" t="s">
        <v>1209</v>
      </c>
      <c r="E37" s="82"/>
      <c r="F37" s="79" t="s">
        <v>493</v>
      </c>
      <c r="G37" s="233">
        <f>[4]Perso!J37</f>
        <v>23</v>
      </c>
      <c r="H37" s="116">
        <v>0</v>
      </c>
      <c r="I37" s="82"/>
      <c r="L37" s="76" t="s">
        <v>219</v>
      </c>
      <c r="M37" s="77">
        <v>20</v>
      </c>
      <c r="N37" s="499">
        <f>[4]Talents!J37</f>
        <v>11.5</v>
      </c>
      <c r="O37" s="499">
        <f>[4]Talents!K37</f>
        <v>23</v>
      </c>
      <c r="P37" s="235">
        <f>[4]Talents!M37</f>
        <v>55</v>
      </c>
      <c r="Q37" s="78"/>
      <c r="R37" s="206"/>
      <c r="S37" s="207"/>
      <c r="T37" s="500">
        <f>[4]Talents!Z37</f>
        <v>0</v>
      </c>
      <c r="U37" s="500">
        <f>[4]Talents!AA37</f>
        <v>0</v>
      </c>
      <c r="V37" s="498"/>
      <c r="W37" s="208"/>
      <c r="X37" s="189"/>
      <c r="Y37" s="195"/>
      <c r="Z37" s="191" t="s">
        <v>163</v>
      </c>
      <c r="AA37" s="191"/>
      <c r="AB37" s="449"/>
      <c r="AC37" s="411" t="s">
        <v>140</v>
      </c>
      <c r="AD37" s="451"/>
      <c r="AE37" s="192"/>
      <c r="AF37" s="192"/>
      <c r="AG37" s="192"/>
      <c r="AH37" s="192"/>
      <c r="AI37" s="417">
        <f>ROUND(AB39+$AD39+$AI$29,0)</f>
        <v>2</v>
      </c>
      <c r="AJ37" s="94" t="s">
        <v>157</v>
      </c>
      <c r="AK37" s="111" t="s">
        <v>145</v>
      </c>
      <c r="AL37" s="506" t="s">
        <v>143</v>
      </c>
    </row>
    <row r="38" spans="1:38" ht="13" x14ac:dyDescent="0.3">
      <c r="D38" s="501" t="s">
        <v>1210</v>
      </c>
      <c r="E38" s="82"/>
      <c r="F38" s="79" t="s">
        <v>108</v>
      </c>
      <c r="G38" s="233">
        <f>[4]Perso!J38</f>
        <v>152</v>
      </c>
      <c r="H38" s="116">
        <v>0</v>
      </c>
      <c r="I38" s="82"/>
      <c r="L38" s="76" t="s">
        <v>1169</v>
      </c>
      <c r="M38" s="77"/>
      <c r="N38" s="499">
        <f>[4]Talents!J38</f>
        <v>20.5</v>
      </c>
      <c r="O38" s="499">
        <f>[4]Talents!K38</f>
        <v>41</v>
      </c>
      <c r="P38" s="235">
        <f>[4]Talents!M38</f>
        <v>80</v>
      </c>
      <c r="Q38" s="78"/>
      <c r="R38" s="206"/>
      <c r="S38" s="207"/>
      <c r="T38" s="500">
        <f>[4]Talents!Z38</f>
        <v>0</v>
      </c>
      <c r="U38" s="500">
        <f>[4]Talents!AA38</f>
        <v>0</v>
      </c>
      <c r="V38" s="498"/>
      <c r="W38" s="208"/>
      <c r="X38" s="189"/>
      <c r="Y38" s="195"/>
      <c r="Z38" s="196" t="s">
        <v>166</v>
      </c>
      <c r="AA38" s="447"/>
      <c r="AB38" s="448"/>
      <c r="AC38" s="411" t="s">
        <v>1086</v>
      </c>
      <c r="AD38" s="451"/>
      <c r="AE38" s="490">
        <f>ROUND($G$12+S57/5+$AG$27+$AD36,0)</f>
        <v>8</v>
      </c>
      <c r="AF38" s="491">
        <f>ROUND($G$13+$AH$27+$AD37,0)</f>
        <v>4</v>
      </c>
      <c r="AG38" s="492">
        <f>AF38+$Y$26</f>
        <v>5</v>
      </c>
      <c r="AH38" s="405"/>
      <c r="AI38" s="197" t="s">
        <v>138</v>
      </c>
      <c r="AJ38" s="100" t="s">
        <v>152</v>
      </c>
      <c r="AK38" s="101">
        <v>2</v>
      </c>
      <c r="AL38" s="105">
        <v>7</v>
      </c>
    </row>
    <row r="39" spans="1:38" ht="13.5" thickBot="1" x14ac:dyDescent="0.35">
      <c r="B39" s="112" t="s">
        <v>173</v>
      </c>
      <c r="D39" s="501" t="s">
        <v>1211</v>
      </c>
      <c r="E39" s="82"/>
      <c r="F39" s="79" t="s">
        <v>494</v>
      </c>
      <c r="G39" s="233" t="str">
        <f>[4]Perso!J39</f>
        <v>19 /+ 6</v>
      </c>
      <c r="H39" s="116">
        <v>8</v>
      </c>
      <c r="I39" s="160">
        <v>0</v>
      </c>
      <c r="L39" s="76" t="s">
        <v>220</v>
      </c>
      <c r="M39" s="77"/>
      <c r="N39" s="499">
        <f>[4]Talents!J39</f>
        <v>20.5</v>
      </c>
      <c r="O39" s="499">
        <f>[4]Talents!K39</f>
        <v>41</v>
      </c>
      <c r="P39" s="235">
        <f>[4]Talents!M39</f>
        <v>80</v>
      </c>
      <c r="Q39" s="78"/>
      <c r="R39" s="206"/>
      <c r="S39" s="207"/>
      <c r="T39" s="500">
        <f>[4]Talents!Z39</f>
        <v>0</v>
      </c>
      <c r="U39" s="500">
        <f>[4]Talents!AA39</f>
        <v>0</v>
      </c>
      <c r="V39" s="498"/>
      <c r="W39" s="208"/>
      <c r="X39" s="198"/>
      <c r="Y39" s="199"/>
      <c r="Z39" s="200" t="s">
        <v>164</v>
      </c>
      <c r="AA39" s="191"/>
      <c r="AB39" s="454"/>
      <c r="AC39" s="412" t="s">
        <v>1087</v>
      </c>
      <c r="AD39" s="452"/>
      <c r="AE39" s="209" t="s">
        <v>139</v>
      </c>
      <c r="AF39" s="210" t="s">
        <v>140</v>
      </c>
      <c r="AG39" s="203" t="s">
        <v>1090</v>
      </c>
      <c r="AH39" s="203"/>
      <c r="AI39" s="413" t="str">
        <f>ROUND($G$27+$AA38+$AI$27+$AD38,0)&amp;"/"&amp;ROUND($AB38+$G$27+$AI$27+$AD38,0)</f>
        <v>4/4</v>
      </c>
      <c r="AJ39" s="100">
        <v>3</v>
      </c>
      <c r="AK39" s="101">
        <v>1</v>
      </c>
      <c r="AL39" s="478"/>
    </row>
    <row r="40" spans="1:38" ht="14" thickTop="1" thickBot="1" x14ac:dyDescent="0.35">
      <c r="A40" s="68" t="s">
        <v>100</v>
      </c>
      <c r="B40" s="103" t="s">
        <v>1212</v>
      </c>
      <c r="C40" s="98" t="s">
        <v>1195</v>
      </c>
      <c r="D40" s="103" t="s">
        <v>1213</v>
      </c>
      <c r="E40" s="70"/>
      <c r="F40" s="211" t="s">
        <v>487</v>
      </c>
      <c r="G40" s="233">
        <f>[4]Perso!J40</f>
        <v>18</v>
      </c>
      <c r="H40" s="212"/>
      <c r="I40" s="82"/>
      <c r="L40" s="76" t="s">
        <v>221</v>
      </c>
      <c r="M40" s="77"/>
      <c r="N40" s="499">
        <f>[4]Talents!J40</f>
        <v>20.5</v>
      </c>
      <c r="O40" s="499">
        <f>[4]Talents!K40</f>
        <v>41</v>
      </c>
      <c r="P40" s="235">
        <f>[4]Talents!M40</f>
        <v>80</v>
      </c>
      <c r="Q40" s="78"/>
      <c r="R40" s="213" t="s">
        <v>125</v>
      </c>
      <c r="S40" s="214" t="s">
        <v>124</v>
      </c>
      <c r="T40" s="499" t="str">
        <f>[4]Talents!Z40</f>
        <v>N1</v>
      </c>
      <c r="U40" s="499" t="str">
        <f>[4]Talents!AA40</f>
        <v>N2</v>
      </c>
      <c r="V40" s="235" t="str">
        <f>[4]Talents!AC40</f>
        <v>N3</v>
      </c>
      <c r="W40" s="215" t="s">
        <v>75</v>
      </c>
      <c r="X40" s="181"/>
      <c r="Y40" s="195"/>
      <c r="Z40" s="183" t="s">
        <v>165</v>
      </c>
      <c r="AA40" s="183"/>
      <c r="AB40" s="453"/>
      <c r="AC40" s="410" t="s">
        <v>139</v>
      </c>
      <c r="AD40" s="450"/>
      <c r="AE40" s="184"/>
      <c r="AF40" s="185"/>
      <c r="AG40" s="204"/>
      <c r="AH40" s="406"/>
      <c r="AI40" s="197" t="s">
        <v>135</v>
      </c>
      <c r="AJ40" s="108" t="s">
        <v>165</v>
      </c>
      <c r="AK40" s="109">
        <v>1</v>
      </c>
      <c r="AL40" s="479"/>
    </row>
    <row r="41" spans="1:38" ht="13.5" thickBot="1" x14ac:dyDescent="0.35">
      <c r="A41" s="80" t="s">
        <v>101</v>
      </c>
      <c r="B41" s="74" t="s">
        <v>1214</v>
      </c>
      <c r="C41" s="92" t="s">
        <v>1195</v>
      </c>
      <c r="D41" s="74" t="s">
        <v>1215</v>
      </c>
      <c r="E41" s="82"/>
      <c r="F41" s="79" t="s">
        <v>18</v>
      </c>
      <c r="G41" s="233">
        <f>[4]Perso!J41</f>
        <v>119</v>
      </c>
      <c r="H41" s="116">
        <v>-4</v>
      </c>
      <c r="I41" s="82"/>
      <c r="L41" s="76" t="s">
        <v>222</v>
      </c>
      <c r="M41" s="77"/>
      <c r="N41" s="499">
        <f>[4]Talents!J41</f>
        <v>10.5</v>
      </c>
      <c r="O41" s="499">
        <f>[4]Talents!K41</f>
        <v>21</v>
      </c>
      <c r="P41" s="235">
        <f>[4]Talents!M41</f>
        <v>80</v>
      </c>
      <c r="Q41" s="78"/>
      <c r="R41" s="76" t="s">
        <v>250</v>
      </c>
      <c r="S41" s="77">
        <v>10</v>
      </c>
      <c r="T41" s="499">
        <f>[4]Talents!Z41</f>
        <v>8</v>
      </c>
      <c r="U41" s="499">
        <f>[4]Talents!AA41</f>
        <v>16</v>
      </c>
      <c r="V41" s="235">
        <f>[4]Talents!AC41</f>
        <v>50</v>
      </c>
      <c r="W41" s="78"/>
      <c r="X41" s="189"/>
      <c r="Y41" s="195"/>
      <c r="Z41" s="191" t="s">
        <v>163</v>
      </c>
      <c r="AA41" s="191"/>
      <c r="AB41" s="449"/>
      <c r="AC41" s="411" t="s">
        <v>140</v>
      </c>
      <c r="AD41" s="451"/>
      <c r="AE41" s="192"/>
      <c r="AF41" s="192"/>
      <c r="AG41" s="192"/>
      <c r="AH41" s="192"/>
      <c r="AI41" s="417">
        <f>ROUND(AB43+$AD43+$AI$29,0)</f>
        <v>2</v>
      </c>
      <c r="AJ41" s="94" t="s">
        <v>158</v>
      </c>
      <c r="AK41" s="111" t="s">
        <v>145</v>
      </c>
      <c r="AL41" s="506" t="s">
        <v>143</v>
      </c>
    </row>
    <row r="42" spans="1:38" ht="13" x14ac:dyDescent="0.3">
      <c r="A42" s="80" t="s">
        <v>102</v>
      </c>
      <c r="B42" s="74" t="s">
        <v>1216</v>
      </c>
      <c r="C42" s="92" t="s">
        <v>1217</v>
      </c>
      <c r="D42" s="74" t="s">
        <v>1218</v>
      </c>
      <c r="E42" s="82"/>
      <c r="F42" s="83" t="s">
        <v>44</v>
      </c>
      <c r="G42" s="233">
        <f>[4]Perso!J42</f>
        <v>6</v>
      </c>
      <c r="H42" s="116">
        <v>0</v>
      </c>
      <c r="I42" s="82"/>
      <c r="L42" s="76" t="s">
        <v>297</v>
      </c>
      <c r="M42" s="77"/>
      <c r="N42" s="499">
        <f>[4]Talents!J42</f>
        <v>10.5</v>
      </c>
      <c r="O42" s="499">
        <f>[4]Talents!K42</f>
        <v>21</v>
      </c>
      <c r="P42" s="235">
        <f>[4]Talents!M42</f>
        <v>49</v>
      </c>
      <c r="Q42" s="78"/>
      <c r="R42" s="76" t="s">
        <v>251</v>
      </c>
      <c r="S42" s="77">
        <v>6</v>
      </c>
      <c r="T42" s="499">
        <f>[4]Talents!Z42</f>
        <v>8.5</v>
      </c>
      <c r="U42" s="499">
        <f>[4]Talents!AA42</f>
        <v>17</v>
      </c>
      <c r="V42" s="235">
        <f>[4]Talents!AC42</f>
        <v>50</v>
      </c>
      <c r="W42" s="78"/>
      <c r="X42" s="189"/>
      <c r="Y42" s="195"/>
      <c r="Z42" s="196" t="s">
        <v>166</v>
      </c>
      <c r="AA42" s="447"/>
      <c r="AB42" s="448"/>
      <c r="AC42" s="411" t="s">
        <v>1086</v>
      </c>
      <c r="AD42" s="451"/>
      <c r="AE42" s="490">
        <f>ROUND($G$12+$S49/5+$AG$27+$AD40,0)</f>
        <v>8</v>
      </c>
      <c r="AF42" s="491">
        <f>ROUND($G$13+$AH$27+$AD41,0)</f>
        <v>4</v>
      </c>
      <c r="AG42" s="492">
        <f>AF42+$Y$26</f>
        <v>5</v>
      </c>
      <c r="AH42" s="405"/>
      <c r="AI42" s="197" t="s">
        <v>138</v>
      </c>
      <c r="AJ42" s="100" t="s">
        <v>146</v>
      </c>
      <c r="AK42" s="101">
        <v>2</v>
      </c>
      <c r="AL42" s="105">
        <v>7</v>
      </c>
    </row>
    <row r="43" spans="1:38" ht="13.5" thickBot="1" x14ac:dyDescent="0.35">
      <c r="A43" s="89" t="s">
        <v>103</v>
      </c>
      <c r="B43" s="97" t="s">
        <v>1219</v>
      </c>
      <c r="C43" s="96" t="s">
        <v>1217</v>
      </c>
      <c r="D43" s="97" t="s">
        <v>1220</v>
      </c>
      <c r="E43" s="90"/>
      <c r="F43" s="83" t="s">
        <v>109</v>
      </c>
      <c r="G43" s="233">
        <f>[4]Perso!J43</f>
        <v>72</v>
      </c>
      <c r="H43" s="116">
        <v>0</v>
      </c>
      <c r="I43" s="82"/>
      <c r="L43" s="76" t="s">
        <v>223</v>
      </c>
      <c r="M43" s="77"/>
      <c r="N43" s="499">
        <f>[4]Talents!J43</f>
        <v>20.5</v>
      </c>
      <c r="O43" s="499">
        <f>[4]Talents!K43</f>
        <v>41</v>
      </c>
      <c r="P43" s="235">
        <f>[4]Talents!M43</f>
        <v>80</v>
      </c>
      <c r="Q43" s="78"/>
      <c r="R43" s="76" t="s">
        <v>252</v>
      </c>
      <c r="S43" s="77">
        <v>8</v>
      </c>
      <c r="T43" s="499">
        <f>[4]Talents!Z43</f>
        <v>8</v>
      </c>
      <c r="U43" s="499">
        <f>[4]Talents!AA43</f>
        <v>16</v>
      </c>
      <c r="V43" s="235">
        <f>[4]Talents!AC43</f>
        <v>43</v>
      </c>
      <c r="W43" s="78"/>
      <c r="X43" s="198"/>
      <c r="Y43" s="199"/>
      <c r="Z43" s="200" t="s">
        <v>164</v>
      </c>
      <c r="AA43" s="191"/>
      <c r="AB43" s="454"/>
      <c r="AC43" s="412" t="s">
        <v>1087</v>
      </c>
      <c r="AD43" s="452"/>
      <c r="AE43" s="209" t="s">
        <v>139</v>
      </c>
      <c r="AF43" s="210" t="s">
        <v>140</v>
      </c>
      <c r="AG43" s="203" t="s">
        <v>1090</v>
      </c>
      <c r="AH43" s="203"/>
      <c r="AI43" s="413" t="str">
        <f>ROUND($G$27+$AA42+$AI$27+$AD42,0)&amp;"/"&amp;ROUND($AB42+$G$27+$AI$27+$AD42,0)</f>
        <v>4/4</v>
      </c>
      <c r="AJ43" s="100">
        <v>4</v>
      </c>
      <c r="AK43" s="101">
        <v>1</v>
      </c>
      <c r="AL43" s="478"/>
    </row>
    <row r="44" spans="1:38" ht="13.5" thickBot="1" x14ac:dyDescent="0.35">
      <c r="C44" s="216" t="s">
        <v>311</v>
      </c>
      <c r="D44" s="112"/>
      <c r="F44" s="83" t="s">
        <v>19</v>
      </c>
      <c r="G44" s="233" t="str">
        <f>[4]Perso!J44</f>
        <v>2 PdN/j</v>
      </c>
      <c r="H44" s="116">
        <v>0</v>
      </c>
      <c r="I44" s="82"/>
      <c r="L44" s="76" t="s">
        <v>224</v>
      </c>
      <c r="M44" s="77"/>
      <c r="N44" s="499">
        <f>[4]Talents!J44</f>
        <v>11.5</v>
      </c>
      <c r="O44" s="499">
        <f>[4]Talents!K44</f>
        <v>23</v>
      </c>
      <c r="P44" s="235">
        <f>[4]Talents!M44</f>
        <v>80</v>
      </c>
      <c r="Q44" s="78"/>
      <c r="R44" s="76" t="s">
        <v>253</v>
      </c>
      <c r="S44" s="77">
        <v>28</v>
      </c>
      <c r="T44" s="499">
        <f>[4]Talents!Z44</f>
        <v>5.5</v>
      </c>
      <c r="U44" s="499">
        <f>[4]Talents!AA44</f>
        <v>11</v>
      </c>
      <c r="V44" s="235">
        <f>[4]Talents!AC44</f>
        <v>38</v>
      </c>
      <c r="W44" s="78"/>
      <c r="X44" s="181" t="s">
        <v>304</v>
      </c>
      <c r="Y44" s="195"/>
      <c r="Z44" s="183" t="s">
        <v>165</v>
      </c>
      <c r="AA44" s="183"/>
      <c r="AB44" s="453"/>
      <c r="AC44" s="410" t="s">
        <v>139</v>
      </c>
      <c r="AD44" s="450"/>
      <c r="AE44" s="184"/>
      <c r="AF44" s="185" t="s">
        <v>1232</v>
      </c>
      <c r="AG44" s="204"/>
      <c r="AH44" s="406"/>
      <c r="AI44" s="197" t="s">
        <v>135</v>
      </c>
      <c r="AJ44" s="108" t="s">
        <v>165</v>
      </c>
      <c r="AK44" s="109">
        <v>1</v>
      </c>
      <c r="AL44" s="479"/>
    </row>
    <row r="45" spans="1:38" ht="13.5" thickBot="1" x14ac:dyDescent="0.35">
      <c r="A45" s="63" t="s">
        <v>1221</v>
      </c>
      <c r="F45" s="79" t="s">
        <v>110</v>
      </c>
      <c r="G45" s="233" t="str">
        <f>[4]Perso!J45</f>
        <v>3,5 km/h</v>
      </c>
      <c r="H45" s="116">
        <v>0</v>
      </c>
      <c r="I45" s="82"/>
      <c r="L45" s="429" t="s">
        <v>277</v>
      </c>
      <c r="M45" s="512">
        <v>61</v>
      </c>
      <c r="N45" s="513">
        <f>[4]Talents!J45</f>
        <v>9</v>
      </c>
      <c r="O45" s="513">
        <f>[4]Talents!K45</f>
        <v>18</v>
      </c>
      <c r="P45" s="514">
        <f>[4]Talents!M45</f>
        <v>67</v>
      </c>
      <c r="Q45" s="515"/>
      <c r="R45" s="76" t="s">
        <v>254</v>
      </c>
      <c r="S45" s="77">
        <v>6</v>
      </c>
      <c r="T45" s="499">
        <f>[4]Talents!Z45</f>
        <v>8.5</v>
      </c>
      <c r="U45" s="499">
        <f>[4]Talents!AA45</f>
        <v>17</v>
      </c>
      <c r="V45" s="235">
        <f>[4]Talents!AC45</f>
        <v>47</v>
      </c>
      <c r="W45" s="78"/>
      <c r="X45" s="189"/>
      <c r="Y45" s="195"/>
      <c r="Z45" s="191" t="s">
        <v>163</v>
      </c>
      <c r="AA45" s="191"/>
      <c r="AB45" s="449"/>
      <c r="AC45" s="411" t="s">
        <v>140</v>
      </c>
      <c r="AD45" s="451"/>
      <c r="AE45" s="192" t="s">
        <v>1163</v>
      </c>
      <c r="AF45" s="192" t="s">
        <v>1162</v>
      </c>
      <c r="AG45" s="192" t="s">
        <v>1161</v>
      </c>
      <c r="AH45" s="192"/>
      <c r="AI45" s="417">
        <f>ROUND(AB47+$AD47+$AI$29,0)</f>
        <v>-18</v>
      </c>
      <c r="AJ45" s="94" t="s">
        <v>159</v>
      </c>
      <c r="AK45" s="111" t="s">
        <v>145</v>
      </c>
      <c r="AL45" s="480" t="s">
        <v>143</v>
      </c>
    </row>
    <row r="46" spans="1:38" ht="13.5" thickBot="1" x14ac:dyDescent="0.35">
      <c r="F46" s="79" t="s">
        <v>45</v>
      </c>
      <c r="G46" s="233">
        <f>[4]Perso!J46</f>
        <v>6</v>
      </c>
      <c r="H46" s="116">
        <v>0</v>
      </c>
      <c r="I46" s="82"/>
      <c r="L46" s="141" t="s">
        <v>279</v>
      </c>
      <c r="M46" s="508"/>
      <c r="N46" s="509">
        <f>[4]Talents!J46</f>
        <v>9</v>
      </c>
      <c r="O46" s="509">
        <f>[4]Talents!K46</f>
        <v>18</v>
      </c>
      <c r="P46" s="510">
        <f>[4]Talents!M46</f>
        <v>67</v>
      </c>
      <c r="Q46" s="511"/>
      <c r="R46" s="76" t="s">
        <v>41</v>
      </c>
      <c r="S46" s="77">
        <v>4</v>
      </c>
      <c r="T46" s="499">
        <f>[4]Talents!Z46</f>
        <v>5.5</v>
      </c>
      <c r="U46" s="499">
        <f>[4]Talents!AA46</f>
        <v>11</v>
      </c>
      <c r="V46" s="235">
        <f>[4]Talents!AC46</f>
        <v>44</v>
      </c>
      <c r="W46" s="78"/>
      <c r="X46" s="189"/>
      <c r="Y46" s="195"/>
      <c r="Z46" s="196" t="s">
        <v>166</v>
      </c>
      <c r="AA46" s="447">
        <v>9</v>
      </c>
      <c r="AB46" s="448">
        <v>9</v>
      </c>
      <c r="AC46" s="411" t="s">
        <v>1086</v>
      </c>
      <c r="AD46" s="451"/>
      <c r="AE46" s="490">
        <f>ROUND($G$12+S60/5+$AG$27+$AD44,0)</f>
        <v>8</v>
      </c>
      <c r="AF46" s="491">
        <f>ROUND($G$13+$AH$27+$AD45,0)</f>
        <v>4</v>
      </c>
      <c r="AG46" s="492">
        <f>AF46+$Y$26</f>
        <v>5</v>
      </c>
      <c r="AH46" s="405"/>
      <c r="AI46" s="197" t="s">
        <v>138</v>
      </c>
      <c r="AJ46" s="100" t="s">
        <v>146</v>
      </c>
      <c r="AK46" s="101">
        <v>2</v>
      </c>
      <c r="AL46" s="105">
        <v>7</v>
      </c>
    </row>
    <row r="47" spans="1:38" ht="13.5" thickBot="1" x14ac:dyDescent="0.35">
      <c r="F47" s="217" t="s">
        <v>486</v>
      </c>
      <c r="G47" s="233" t="str">
        <f>[4]Perso!J47</f>
        <v>2,7m / 0,9m</v>
      </c>
      <c r="I47" s="90"/>
      <c r="L47" s="429" t="s">
        <v>1168</v>
      </c>
      <c r="M47" s="512"/>
      <c r="N47" s="513">
        <f>[4]Talents!J47</f>
        <v>20.5</v>
      </c>
      <c r="O47" s="513">
        <f>[4]Talents!K47</f>
        <v>41</v>
      </c>
      <c r="P47" s="514">
        <f>[4]Talents!M47</f>
        <v>80</v>
      </c>
      <c r="Q47" s="515"/>
      <c r="R47" s="76" t="s">
        <v>255</v>
      </c>
      <c r="S47" s="77">
        <v>8</v>
      </c>
      <c r="T47" s="499">
        <f>[4]Talents!Z47</f>
        <v>8</v>
      </c>
      <c r="U47" s="499">
        <f>[4]Talents!AA47</f>
        <v>16</v>
      </c>
      <c r="V47" s="235">
        <f>[4]Talents!AC47</f>
        <v>36</v>
      </c>
      <c r="W47" s="78"/>
      <c r="X47" s="198"/>
      <c r="Y47" s="199"/>
      <c r="Z47" s="200" t="s">
        <v>164</v>
      </c>
      <c r="AA47" s="191"/>
      <c r="AB47" s="454">
        <v>-20</v>
      </c>
      <c r="AC47" s="412" t="s">
        <v>1087</v>
      </c>
      <c r="AD47" s="452"/>
      <c r="AE47" s="209" t="s">
        <v>139</v>
      </c>
      <c r="AF47" s="210" t="s">
        <v>140</v>
      </c>
      <c r="AG47" s="203" t="s">
        <v>1092</v>
      </c>
      <c r="AH47" s="203"/>
      <c r="AI47" s="413" t="str">
        <f>ROUND($G$27+$AA46+$AI$27+$AD46,0)&amp;"/"&amp;ROUND($AB46+$G$27+$AI$27+$AD46,0)</f>
        <v>13/13</v>
      </c>
      <c r="AJ47" s="100">
        <v>4</v>
      </c>
      <c r="AK47" s="101">
        <v>1</v>
      </c>
      <c r="AL47" s="478"/>
    </row>
    <row r="48" spans="1:38" ht="13.5" thickBot="1" x14ac:dyDescent="0.35">
      <c r="L48" s="123" t="s">
        <v>279</v>
      </c>
      <c r="M48" s="77"/>
      <c r="N48" s="499">
        <f>[4]Talents!J48</f>
        <v>20.5</v>
      </c>
      <c r="O48" s="499">
        <f>[4]Talents!K48</f>
        <v>41</v>
      </c>
      <c r="P48" s="235">
        <f>[4]Talents!M48</f>
        <v>80</v>
      </c>
      <c r="Q48" s="78"/>
      <c r="R48" s="76" t="s">
        <v>256</v>
      </c>
      <c r="S48" s="77">
        <v>8</v>
      </c>
      <c r="T48" s="499">
        <f>[4]Talents!Z48</f>
        <v>11.5</v>
      </c>
      <c r="U48" s="499">
        <f>[4]Talents!AA48</f>
        <v>23</v>
      </c>
      <c r="V48" s="235">
        <f>[4]Talents!AC48</f>
        <v>50</v>
      </c>
      <c r="W48" s="78"/>
      <c r="X48" s="277"/>
      <c r="Y48" s="218" t="s">
        <v>141</v>
      </c>
      <c r="Z48" s="183"/>
      <c r="AA48" s="183"/>
      <c r="AB48" s="453"/>
      <c r="AC48" s="410" t="s">
        <v>139</v>
      </c>
      <c r="AD48" s="450"/>
      <c r="AE48" s="184"/>
      <c r="AF48" s="185"/>
      <c r="AG48" s="219"/>
      <c r="AH48" s="407"/>
      <c r="AI48" s="197" t="s">
        <v>135</v>
      </c>
      <c r="AJ48" s="108" t="s">
        <v>165</v>
      </c>
      <c r="AK48" s="109">
        <v>1</v>
      </c>
      <c r="AL48" s="479"/>
    </row>
    <row r="49" spans="12:35" ht="13.5" thickBot="1" x14ac:dyDescent="0.35">
      <c r="L49" s="141" t="s">
        <v>279</v>
      </c>
      <c r="M49" s="508"/>
      <c r="N49" s="509">
        <f>[4]Talents!J49</f>
        <v>20.5</v>
      </c>
      <c r="O49" s="509">
        <f>[4]Talents!K49</f>
        <v>41</v>
      </c>
      <c r="P49" s="510">
        <f>[4]Talents!M49</f>
        <v>80</v>
      </c>
      <c r="Q49" s="511"/>
      <c r="R49" s="76" t="s">
        <v>257</v>
      </c>
      <c r="S49" s="77">
        <v>8</v>
      </c>
      <c r="T49" s="499">
        <f>[4]Talents!Z49</f>
        <v>8</v>
      </c>
      <c r="U49" s="499">
        <f>[4]Talents!AA49</f>
        <v>16</v>
      </c>
      <c r="V49" s="235">
        <f>[4]Talents!AC49</f>
        <v>44</v>
      </c>
      <c r="W49" s="78"/>
      <c r="X49" s="189"/>
      <c r="Y49" s="195"/>
      <c r="Z49" s="191" t="s">
        <v>163</v>
      </c>
      <c r="AA49" s="191"/>
      <c r="AB49" s="449"/>
      <c r="AC49" s="411" t="s">
        <v>140</v>
      </c>
      <c r="AD49" s="451"/>
      <c r="AE49" s="192"/>
      <c r="AF49" s="192"/>
      <c r="AG49" s="192"/>
      <c r="AH49" s="192"/>
      <c r="AI49" s="417">
        <f>ROUND(AB51+$AD51+$AI$29,0)</f>
        <v>2</v>
      </c>
    </row>
    <row r="50" spans="12:35" ht="13.5" thickBot="1" x14ac:dyDescent="0.35">
      <c r="L50" s="76" t="s">
        <v>1167</v>
      </c>
      <c r="M50" s="77"/>
      <c r="N50" s="499">
        <f>[4]Talents!J50</f>
        <v>20.5</v>
      </c>
      <c r="O50" s="499">
        <f>[4]Talents!K50</f>
        <v>41</v>
      </c>
      <c r="P50" s="235">
        <f>[4]Talents!M50</f>
        <v>80</v>
      </c>
      <c r="Q50" s="78"/>
      <c r="R50" s="76" t="s">
        <v>258</v>
      </c>
      <c r="S50" s="77">
        <v>35</v>
      </c>
      <c r="T50" s="499">
        <f>[4]Talents!Z50</f>
        <v>5</v>
      </c>
      <c r="U50" s="499">
        <f>[4]Talents!AA50</f>
        <v>10</v>
      </c>
      <c r="V50" s="235">
        <f>[4]Talents!AC50</f>
        <v>35</v>
      </c>
      <c r="W50" s="78"/>
      <c r="X50" s="189"/>
      <c r="Y50" s="195"/>
      <c r="Z50" s="196" t="s">
        <v>166</v>
      </c>
      <c r="AA50" s="196"/>
      <c r="AB50" s="449"/>
      <c r="AC50" s="411" t="s">
        <v>1086</v>
      </c>
      <c r="AD50" s="451"/>
      <c r="AE50" s="490">
        <f>ROUND($G$12+garc/5+$AG$27+$AD48,0)</f>
        <v>8</v>
      </c>
      <c r="AF50" s="491">
        <f>ROUND($G$13+$AH$27+$AD49,0)</f>
        <v>4</v>
      </c>
      <c r="AG50" s="489" t="s">
        <v>477</v>
      </c>
      <c r="AH50" s="405"/>
      <c r="AI50" s="197" t="s">
        <v>138</v>
      </c>
    </row>
    <row r="51" spans="12:35" ht="13.5" thickBot="1" x14ac:dyDescent="0.35">
      <c r="L51" s="429" t="s">
        <v>1166</v>
      </c>
      <c r="M51" s="644">
        <v>80</v>
      </c>
      <c r="N51" s="513">
        <f>[4]Talents!J51</f>
        <v>20.5</v>
      </c>
      <c r="O51" s="513">
        <f>[4]Talents!K51</f>
        <v>41</v>
      </c>
      <c r="P51" s="514">
        <f>[4]Talents!M51</f>
        <v>80</v>
      </c>
      <c r="Q51" s="515"/>
      <c r="R51" s="76" t="s">
        <v>259</v>
      </c>
      <c r="S51" s="77">
        <v>8</v>
      </c>
      <c r="T51" s="499">
        <f>[4]Talents!Z51</f>
        <v>8</v>
      </c>
      <c r="U51" s="499">
        <f>[4]Talents!AA51</f>
        <v>16</v>
      </c>
      <c r="V51" s="235">
        <f>[4]Talents!AC51</f>
        <v>50</v>
      </c>
      <c r="W51" s="78"/>
      <c r="X51" s="220"/>
      <c r="Y51" s="199"/>
      <c r="Z51" s="200" t="s">
        <v>164</v>
      </c>
      <c r="AA51" s="191"/>
      <c r="AB51" s="454"/>
      <c r="AC51" s="412" t="s">
        <v>1087</v>
      </c>
      <c r="AD51" s="452"/>
      <c r="AE51" s="209" t="s">
        <v>139</v>
      </c>
      <c r="AF51" s="210" t="s">
        <v>140</v>
      </c>
      <c r="AG51" s="203"/>
      <c r="AH51" s="203"/>
      <c r="AI51" s="418">
        <f>ROUND($G$27+$AB50+$AI$27+$AD50,0)</f>
        <v>4</v>
      </c>
    </row>
    <row r="52" spans="12:35" ht="13" x14ac:dyDescent="0.3">
      <c r="L52" s="123" t="s">
        <v>279</v>
      </c>
      <c r="M52" s="77"/>
      <c r="N52" s="499">
        <f>[4]Talents!J52</f>
        <v>20.5</v>
      </c>
      <c r="O52" s="499">
        <f>[4]Talents!K52</f>
        <v>41</v>
      </c>
      <c r="P52" s="235">
        <f>[4]Talents!M52</f>
        <v>80</v>
      </c>
      <c r="Q52" s="78"/>
      <c r="R52" s="76" t="s">
        <v>260</v>
      </c>
      <c r="S52" s="77">
        <v>8</v>
      </c>
      <c r="T52" s="499">
        <f>[4]Talents!Z52</f>
        <v>9</v>
      </c>
      <c r="U52" s="499">
        <f>[4]Talents!AA52</f>
        <v>18</v>
      </c>
      <c r="V52" s="235">
        <f>[4]Talents!AC52</f>
        <v>50</v>
      </c>
      <c r="W52" s="78">
        <v>-1</v>
      </c>
      <c r="X52" s="181"/>
      <c r="Y52" s="218" t="s">
        <v>141</v>
      </c>
      <c r="Z52" s="183" t="s">
        <v>165</v>
      </c>
      <c r="AA52" s="183"/>
      <c r="AB52" s="453"/>
      <c r="AC52" s="410" t="s">
        <v>139</v>
      </c>
      <c r="AD52" s="450"/>
      <c r="AE52" s="184"/>
      <c r="AF52" s="185"/>
      <c r="AG52" s="219"/>
      <c r="AH52" s="407"/>
      <c r="AI52" s="197" t="s">
        <v>135</v>
      </c>
    </row>
    <row r="53" spans="12:35" ht="13.5" thickBot="1" x14ac:dyDescent="0.35">
      <c r="L53" s="123" t="s">
        <v>279</v>
      </c>
      <c r="M53" s="77"/>
      <c r="N53" s="499">
        <f>[4]Talents!J53</f>
        <v>20.5</v>
      </c>
      <c r="O53" s="499">
        <f>[4]Talents!K53</f>
        <v>41</v>
      </c>
      <c r="P53" s="235">
        <f>[4]Talents!M53</f>
        <v>80</v>
      </c>
      <c r="Q53" s="78"/>
      <c r="R53" s="76" t="s">
        <v>261</v>
      </c>
      <c r="S53" s="77">
        <v>11</v>
      </c>
      <c r="T53" s="499">
        <f>[4]Talents!Z53</f>
        <v>8.5</v>
      </c>
      <c r="U53" s="499">
        <f>[4]Talents!AA53</f>
        <v>17</v>
      </c>
      <c r="V53" s="235">
        <f>[4]Talents!AC53</f>
        <v>50</v>
      </c>
      <c r="W53" s="78"/>
      <c r="X53" s="189"/>
      <c r="Y53" s="195"/>
      <c r="Z53" s="191" t="s">
        <v>163</v>
      </c>
      <c r="AA53" s="191"/>
      <c r="AB53" s="449"/>
      <c r="AC53" s="411" t="s">
        <v>140</v>
      </c>
      <c r="AD53" s="451"/>
      <c r="AE53" s="192"/>
      <c r="AF53" s="192"/>
      <c r="AG53" s="192"/>
      <c r="AH53" s="192"/>
      <c r="AI53" s="417">
        <f>ROUND(AB55+$AD55+$AI$29,0)</f>
        <v>2</v>
      </c>
    </row>
    <row r="54" spans="12:35" ht="13" x14ac:dyDescent="0.3">
      <c r="L54" s="123" t="s">
        <v>279</v>
      </c>
      <c r="M54" s="77"/>
      <c r="N54" s="499">
        <f>[4]Talents!J54</f>
        <v>20.5</v>
      </c>
      <c r="O54" s="499">
        <f>[4]Talents!K54</f>
        <v>41</v>
      </c>
      <c r="P54" s="235">
        <f>[4]Talents!M54</f>
        <v>80</v>
      </c>
      <c r="Q54" s="78"/>
      <c r="R54" s="76" t="s">
        <v>23</v>
      </c>
      <c r="S54" s="77">
        <v>19</v>
      </c>
      <c r="T54" s="499">
        <f>[4]Talents!Z54</f>
        <v>11.5</v>
      </c>
      <c r="U54" s="499">
        <f>[4]Talents!AA54</f>
        <v>23</v>
      </c>
      <c r="V54" s="235">
        <f>[4]Talents!AC54</f>
        <v>50</v>
      </c>
      <c r="W54" s="78">
        <v>1</v>
      </c>
      <c r="X54" s="189"/>
      <c r="Y54" s="195"/>
      <c r="Z54" s="196" t="s">
        <v>166</v>
      </c>
      <c r="AA54" s="196"/>
      <c r="AB54" s="449"/>
      <c r="AC54" s="411" t="s">
        <v>1086</v>
      </c>
      <c r="AD54" s="451"/>
      <c r="AE54" s="490">
        <f>ROUND($G$12+$S73/5+$AG$27+$AD52,0)</f>
        <v>6</v>
      </c>
      <c r="AF54" s="491">
        <f>ROUND($G$13+$AH$27+$AD53,0)</f>
        <v>4</v>
      </c>
      <c r="AG54" s="489" t="s">
        <v>477</v>
      </c>
      <c r="AH54" s="405"/>
      <c r="AI54" s="197" t="s">
        <v>138</v>
      </c>
    </row>
    <row r="55" spans="12:35" ht="13.5" thickBot="1" x14ac:dyDescent="0.35">
      <c r="L55" s="141" t="s">
        <v>279</v>
      </c>
      <c r="M55" s="508"/>
      <c r="N55" s="509">
        <f>[4]Talents!J55</f>
        <v>20.5</v>
      </c>
      <c r="O55" s="509">
        <f>[4]Talents!K55</f>
        <v>41</v>
      </c>
      <c r="P55" s="510">
        <f>[4]Talents!M55</f>
        <v>80</v>
      </c>
      <c r="Q55" s="511"/>
      <c r="R55" s="76" t="s">
        <v>262</v>
      </c>
      <c r="S55" s="77">
        <v>8</v>
      </c>
      <c r="T55" s="499">
        <f>[4]Talents!Z55</f>
        <v>8</v>
      </c>
      <c r="U55" s="499">
        <f>[4]Talents!AA55</f>
        <v>16</v>
      </c>
      <c r="V55" s="235">
        <f>[4]Talents!AC55</f>
        <v>40</v>
      </c>
      <c r="W55" s="78"/>
      <c r="X55" s="220"/>
      <c r="Y55" s="221"/>
      <c r="Z55" s="200" t="s">
        <v>164</v>
      </c>
      <c r="AA55" s="191"/>
      <c r="AB55" s="454"/>
      <c r="AC55" s="412" t="s">
        <v>1087</v>
      </c>
      <c r="AD55" s="452"/>
      <c r="AE55" s="209" t="s">
        <v>139</v>
      </c>
      <c r="AF55" s="210" t="s">
        <v>140</v>
      </c>
      <c r="AG55" s="203"/>
      <c r="AH55" s="405"/>
      <c r="AI55" s="418">
        <f>ROUND($G$27+$AB54+$AI$27+$AD54,0)</f>
        <v>4</v>
      </c>
    </row>
    <row r="56" spans="12:35" ht="13" x14ac:dyDescent="0.3">
      <c r="L56" s="429" t="s">
        <v>1030</v>
      </c>
      <c r="M56" s="512">
        <v>36</v>
      </c>
      <c r="N56" s="513">
        <f>[4]Talents!J56</f>
        <v>20.5</v>
      </c>
      <c r="O56" s="513">
        <f>[4]Talents!K56</f>
        <v>41</v>
      </c>
      <c r="P56" s="514">
        <f>[4]Talents!M56</f>
        <v>80</v>
      </c>
      <c r="Q56" s="515"/>
      <c r="R56" s="76" t="s">
        <v>48</v>
      </c>
      <c r="S56" s="77">
        <v>7</v>
      </c>
      <c r="T56" s="499">
        <f>[4]Talents!Z56</f>
        <v>5</v>
      </c>
      <c r="U56" s="499">
        <f>[4]Talents!AA56</f>
        <v>10</v>
      </c>
      <c r="V56" s="235">
        <f>[4]Talents!AC56</f>
        <v>30</v>
      </c>
      <c r="W56" s="78"/>
    </row>
    <row r="57" spans="12:35" ht="13" x14ac:dyDescent="0.3">
      <c r="L57" s="123" t="s">
        <v>279</v>
      </c>
      <c r="M57" s="77"/>
      <c r="N57" s="499">
        <f>[4]Talents!J57</f>
        <v>20.5</v>
      </c>
      <c r="O57" s="499">
        <f>[4]Talents!K57</f>
        <v>41</v>
      </c>
      <c r="P57" s="235">
        <f>[4]Talents!M57</f>
        <v>80</v>
      </c>
      <c r="Q57" s="78"/>
      <c r="R57" s="76" t="s">
        <v>263</v>
      </c>
      <c r="S57" s="77">
        <v>5.5</v>
      </c>
      <c r="T57" s="499">
        <f>[4]Talents!Z57</f>
        <v>8.5</v>
      </c>
      <c r="U57" s="499">
        <f>[4]Talents!AA57</f>
        <v>17</v>
      </c>
      <c r="V57" s="235">
        <f>[4]Talents!AC57</f>
        <v>42</v>
      </c>
      <c r="W57" s="78"/>
    </row>
    <row r="58" spans="12:35" ht="13" x14ac:dyDescent="0.3">
      <c r="L58" s="123" t="s">
        <v>279</v>
      </c>
      <c r="M58" s="77"/>
      <c r="N58" s="499">
        <f>[4]Talents!J58</f>
        <v>20.5</v>
      </c>
      <c r="O58" s="499">
        <f>[4]Talents!K58</f>
        <v>41</v>
      </c>
      <c r="P58" s="235">
        <f>[4]Talents!M58</f>
        <v>80</v>
      </c>
      <c r="Q58" s="78"/>
      <c r="R58" s="76" t="s">
        <v>264</v>
      </c>
      <c r="S58" s="77">
        <v>5.5</v>
      </c>
      <c r="T58" s="499">
        <f>[4]Talents!Z58</f>
        <v>8.5</v>
      </c>
      <c r="U58" s="499">
        <f>[4]Talents!AA58</f>
        <v>17</v>
      </c>
      <c r="V58" s="235">
        <f>[4]Talents!AC58</f>
        <v>50</v>
      </c>
      <c r="W58" s="78"/>
    </row>
    <row r="59" spans="12:35" ht="13.5" thickBot="1" x14ac:dyDescent="0.35">
      <c r="L59" s="141" t="s">
        <v>279</v>
      </c>
      <c r="M59" s="508"/>
      <c r="N59" s="509">
        <f>[4]Talents!J59</f>
        <v>20.5</v>
      </c>
      <c r="O59" s="509">
        <f>[4]Talents!K59</f>
        <v>41</v>
      </c>
      <c r="P59" s="510">
        <f>[4]Talents!M59</f>
        <v>80</v>
      </c>
      <c r="Q59" s="511"/>
      <c r="R59" s="76" t="s">
        <v>265</v>
      </c>
      <c r="S59" s="77">
        <v>29</v>
      </c>
      <c r="T59" s="499">
        <f>[4]Talents!Z59</f>
        <v>5.5</v>
      </c>
      <c r="U59" s="499">
        <f>[4]Talents!AA59</f>
        <v>11</v>
      </c>
      <c r="V59" s="235">
        <f>[4]Talents!AC59</f>
        <v>41</v>
      </c>
      <c r="W59" s="78"/>
    </row>
    <row r="60" spans="12:35" ht="13" x14ac:dyDescent="0.3">
      <c r="L60" s="429" t="s">
        <v>1170</v>
      </c>
      <c r="M60" s="512"/>
      <c r="N60" s="513">
        <f>[4]Talents!J60</f>
        <v>10.5</v>
      </c>
      <c r="O60" s="513">
        <f>[4]Talents!K60</f>
        <v>21</v>
      </c>
      <c r="P60" s="514">
        <f>[4]Talents!M60</f>
        <v>63</v>
      </c>
      <c r="Q60" s="515"/>
      <c r="R60" s="76" t="s">
        <v>266</v>
      </c>
      <c r="S60" s="77">
        <v>5.5</v>
      </c>
      <c r="T60" s="499">
        <f>[4]Talents!Z60</f>
        <v>8.5</v>
      </c>
      <c r="U60" s="499">
        <f>[4]Talents!AA60</f>
        <v>17</v>
      </c>
      <c r="V60" s="235">
        <f>[4]Talents!AC60</f>
        <v>41</v>
      </c>
      <c r="W60" s="78"/>
    </row>
    <row r="61" spans="12:35" ht="13" x14ac:dyDescent="0.3">
      <c r="L61" s="123" t="s">
        <v>279</v>
      </c>
      <c r="M61" s="77"/>
      <c r="N61" s="499">
        <f>[4]Talents!J61</f>
        <v>10.5</v>
      </c>
      <c r="O61" s="499">
        <f>[4]Talents!K61</f>
        <v>21</v>
      </c>
      <c r="P61" s="235">
        <f>[4]Talents!M61</f>
        <v>63</v>
      </c>
      <c r="Q61" s="78"/>
      <c r="R61" s="76" t="s">
        <v>20</v>
      </c>
      <c r="S61" s="77">
        <v>32</v>
      </c>
      <c r="T61" s="499">
        <f>[4]Talents!Z61</f>
        <v>11.5</v>
      </c>
      <c r="U61" s="499">
        <f>[4]Talents!AA61</f>
        <v>23</v>
      </c>
      <c r="V61" s="235">
        <f>[4]Talents!AC61</f>
        <v>50</v>
      </c>
      <c r="W61" s="78"/>
    </row>
    <row r="62" spans="12:35" ht="13.5" thickBot="1" x14ac:dyDescent="0.35">
      <c r="L62" s="141" t="s">
        <v>279</v>
      </c>
      <c r="M62" s="508"/>
      <c r="N62" s="509">
        <f>[4]Talents!J62</f>
        <v>10.5</v>
      </c>
      <c r="O62" s="509">
        <f>[4]Talents!K62</f>
        <v>21</v>
      </c>
      <c r="P62" s="510">
        <f>[4]Talents!M62</f>
        <v>63</v>
      </c>
      <c r="Q62" s="511"/>
      <c r="R62" s="76" t="s">
        <v>267</v>
      </c>
      <c r="S62" s="77">
        <v>5.5</v>
      </c>
      <c r="T62" s="499">
        <f>[4]Talents!Z62</f>
        <v>8.5</v>
      </c>
      <c r="U62" s="499">
        <f>[4]Talents!AA62</f>
        <v>17</v>
      </c>
      <c r="V62" s="235">
        <f>[4]Talents!AC62</f>
        <v>47</v>
      </c>
      <c r="W62" s="78"/>
    </row>
    <row r="63" spans="12:35" ht="13" x14ac:dyDescent="0.3">
      <c r="L63" s="76" t="s">
        <v>225</v>
      </c>
      <c r="M63" s="77"/>
      <c r="N63" s="499">
        <f>[4]Talents!J63</f>
        <v>11.5</v>
      </c>
      <c r="O63" s="499">
        <f>[4]Talents!K63</f>
        <v>23</v>
      </c>
      <c r="P63" s="235">
        <f>[4]Talents!M63</f>
        <v>52</v>
      </c>
      <c r="Q63" s="78"/>
      <c r="R63" s="76" t="s">
        <v>42</v>
      </c>
      <c r="S63" s="77">
        <v>20</v>
      </c>
      <c r="T63" s="499">
        <f>[4]Talents!Z63</f>
        <v>6</v>
      </c>
      <c r="U63" s="499">
        <f>[4]Talents!AA63</f>
        <v>12</v>
      </c>
      <c r="V63" s="235">
        <f>[4]Talents!AC63</f>
        <v>50</v>
      </c>
      <c r="W63" s="78">
        <v>-2</v>
      </c>
    </row>
    <row r="64" spans="12:35" ht="13" x14ac:dyDescent="0.3">
      <c r="L64" s="76" t="s">
        <v>51</v>
      </c>
      <c r="M64" s="77">
        <v>67</v>
      </c>
      <c r="N64" s="499">
        <f>[4]Talents!J64</f>
        <v>14</v>
      </c>
      <c r="O64" s="499">
        <f>[4]Talents!K64</f>
        <v>28</v>
      </c>
      <c r="P64" s="235">
        <f>[4]Talents!M64</f>
        <v>80</v>
      </c>
      <c r="Q64" s="78">
        <v>1</v>
      </c>
      <c r="R64" s="76" t="s">
        <v>10</v>
      </c>
      <c r="S64" s="77">
        <v>15</v>
      </c>
      <c r="T64" s="499">
        <f>[4]Talents!Z64</f>
        <v>10</v>
      </c>
      <c r="U64" s="499">
        <f>[4]Talents!AA64</f>
        <v>20</v>
      </c>
      <c r="V64" s="235">
        <f>[4]Talents!AC64</f>
        <v>50</v>
      </c>
      <c r="W64" s="78"/>
    </row>
    <row r="65" spans="12:23" ht="13" x14ac:dyDescent="0.3">
      <c r="L65" s="76" t="s">
        <v>226</v>
      </c>
      <c r="M65" s="77"/>
      <c r="N65" s="499">
        <f>[4]Talents!J65</f>
        <v>11.5</v>
      </c>
      <c r="O65" s="499">
        <f>[4]Talents!K65</f>
        <v>23</v>
      </c>
      <c r="P65" s="235">
        <f>[4]Talents!M65</f>
        <v>48</v>
      </c>
      <c r="Q65" s="78"/>
      <c r="R65" s="76" t="s">
        <v>268</v>
      </c>
      <c r="S65" s="77">
        <v>13.5</v>
      </c>
      <c r="T65" s="499">
        <f>[4]Talents!Z65</f>
        <v>20.5</v>
      </c>
      <c r="U65" s="499">
        <f>[4]Talents!AA65</f>
        <v>41</v>
      </c>
      <c r="V65" s="235">
        <f>[4]Talents!AC65</f>
        <v>50</v>
      </c>
      <c r="W65" s="78"/>
    </row>
    <row r="66" spans="12:23" ht="13" x14ac:dyDescent="0.3">
      <c r="L66" s="76" t="s">
        <v>227</v>
      </c>
      <c r="M66" s="77"/>
      <c r="N66" s="499">
        <f>[4]Talents!J66</f>
        <v>5.5</v>
      </c>
      <c r="O66" s="499">
        <f>[4]Talents!K66</f>
        <v>11</v>
      </c>
      <c r="P66" s="235">
        <f>[4]Talents!M66</f>
        <v>40</v>
      </c>
      <c r="Q66" s="78"/>
      <c r="R66" s="76" t="s">
        <v>269</v>
      </c>
      <c r="S66" s="77">
        <v>9</v>
      </c>
      <c r="T66" s="499">
        <f>[4]Talents!Z66</f>
        <v>6</v>
      </c>
      <c r="U66" s="499">
        <f>[4]Talents!AA66</f>
        <v>12</v>
      </c>
      <c r="V66" s="235">
        <f>[4]Talents!AC66</f>
        <v>39</v>
      </c>
      <c r="W66" s="78"/>
    </row>
    <row r="67" spans="12:23" ht="13" x14ac:dyDescent="0.3">
      <c r="L67" s="76" t="s">
        <v>228</v>
      </c>
      <c r="M67" s="77">
        <v>21</v>
      </c>
      <c r="N67" s="499">
        <f>[4]Talents!J67</f>
        <v>20.5</v>
      </c>
      <c r="O67" s="499">
        <f>[4]Talents!K67</f>
        <v>41</v>
      </c>
      <c r="P67" s="235">
        <f>[4]Talents!M67</f>
        <v>80</v>
      </c>
      <c r="Q67" s="78"/>
      <c r="R67" s="76" t="s">
        <v>312</v>
      </c>
      <c r="S67" s="77">
        <v>1</v>
      </c>
      <c r="T67" s="499">
        <f>[4]Talents!Z67</f>
        <v>0</v>
      </c>
      <c r="U67" s="499">
        <f>[4]Talents!AA67</f>
        <v>0</v>
      </c>
      <c r="V67" s="235">
        <f>[4]Talents!AC67</f>
        <v>0</v>
      </c>
      <c r="W67" s="78"/>
    </row>
    <row r="68" spans="12:23" ht="13" x14ac:dyDescent="0.3">
      <c r="L68" s="76" t="s">
        <v>229</v>
      </c>
      <c r="M68" s="77"/>
      <c r="N68" s="499">
        <f>[4]Talents!J68</f>
        <v>7</v>
      </c>
      <c r="O68" s="499">
        <f>[4]Talents!K68</f>
        <v>14</v>
      </c>
      <c r="P68" s="235">
        <f>[4]Talents!M68</f>
        <v>68</v>
      </c>
      <c r="Q68" s="78"/>
      <c r="R68" s="206" t="s">
        <v>165</v>
      </c>
      <c r="S68" s="207">
        <v>0</v>
      </c>
      <c r="T68" s="207"/>
      <c r="U68" s="207"/>
      <c r="V68" s="207"/>
      <c r="W68" s="208"/>
    </row>
    <row r="69" spans="12:23" ht="13" x14ac:dyDescent="0.3">
      <c r="L69" s="76" t="s">
        <v>230</v>
      </c>
      <c r="M69" s="77"/>
      <c r="N69" s="499">
        <f>[4]Talents!J69</f>
        <v>7</v>
      </c>
      <c r="O69" s="499">
        <f>[4]Talents!K69</f>
        <v>14</v>
      </c>
      <c r="P69" s="235">
        <f>[4]Talents!M69</f>
        <v>47</v>
      </c>
      <c r="Q69" s="78"/>
      <c r="R69" s="206" t="s">
        <v>165</v>
      </c>
      <c r="S69" s="207">
        <v>0</v>
      </c>
      <c r="T69" s="207"/>
      <c r="U69" s="207"/>
      <c r="V69" s="207"/>
      <c r="W69" s="208"/>
    </row>
    <row r="70" spans="12:23" ht="13.5" thickBot="1" x14ac:dyDescent="0.35">
      <c r="L70" s="76" t="s">
        <v>231</v>
      </c>
      <c r="M70" s="77"/>
      <c r="N70" s="499">
        <f>[4]Talents!J70</f>
        <v>11.5</v>
      </c>
      <c r="O70" s="499">
        <f>[4]Talents!K70</f>
        <v>23</v>
      </c>
      <c r="P70" s="235">
        <f>[4]Talents!M70</f>
        <v>80</v>
      </c>
      <c r="Q70" s="78"/>
      <c r="R70" s="206" t="s">
        <v>165</v>
      </c>
      <c r="S70" s="207">
        <v>0</v>
      </c>
      <c r="T70" s="207"/>
      <c r="U70" s="207"/>
      <c r="V70" s="207"/>
      <c r="W70" s="208"/>
    </row>
    <row r="71" spans="12:23" ht="13" x14ac:dyDescent="0.3">
      <c r="L71" s="76" t="s">
        <v>280</v>
      </c>
      <c r="M71" s="77"/>
      <c r="N71" s="513">
        <f>[4]Talents!J71</f>
        <v>20.5</v>
      </c>
      <c r="O71" s="513">
        <f>[4]Talents!K71</f>
        <v>41</v>
      </c>
      <c r="P71" s="514">
        <f>[4]Talents!M71</f>
        <v>80</v>
      </c>
      <c r="Q71" s="515"/>
      <c r="R71" s="206" t="s">
        <v>165</v>
      </c>
      <c r="S71" s="207">
        <v>0</v>
      </c>
      <c r="T71" s="207"/>
      <c r="U71" s="207"/>
      <c r="V71" s="207"/>
      <c r="W71" s="208"/>
    </row>
    <row r="72" spans="12:23" ht="13.5" thickBot="1" x14ac:dyDescent="0.35">
      <c r="L72" s="141" t="s">
        <v>279</v>
      </c>
      <c r="M72" s="508"/>
      <c r="N72" s="509">
        <f>[4]Talents!J72</f>
        <v>20.5</v>
      </c>
      <c r="O72" s="509">
        <f>[4]Talents!K72</f>
        <v>41</v>
      </c>
      <c r="P72" s="510">
        <f>[4]Talents!M72</f>
        <v>80</v>
      </c>
      <c r="Q72" s="511"/>
      <c r="R72" s="206" t="s">
        <v>167</v>
      </c>
      <c r="S72" s="207">
        <v>0</v>
      </c>
      <c r="T72" s="207"/>
      <c r="U72" s="207"/>
      <c r="V72" s="207"/>
      <c r="W72" s="208"/>
    </row>
    <row r="73" spans="12:23" ht="13" x14ac:dyDescent="0.3">
      <c r="L73" s="76"/>
      <c r="M73" s="77"/>
      <c r="N73" s="497"/>
      <c r="O73" s="497"/>
      <c r="P73" s="235"/>
      <c r="Q73" s="78"/>
      <c r="R73" s="206" t="s">
        <v>165</v>
      </c>
      <c r="S73" s="207">
        <v>0</v>
      </c>
      <c r="T73" s="207"/>
      <c r="U73" s="207"/>
      <c r="V73" s="207"/>
      <c r="W73" s="208"/>
    </row>
    <row r="74" spans="12:23" ht="13" x14ac:dyDescent="0.3">
      <c r="L74" s="222"/>
      <c r="M74" s="223"/>
      <c r="N74" s="223"/>
      <c r="O74" s="223"/>
      <c r="P74" s="223"/>
      <c r="Q74" s="224"/>
      <c r="R74" s="222"/>
      <c r="S74" s="223"/>
      <c r="T74" s="223"/>
      <c r="U74" s="223"/>
      <c r="V74" s="223"/>
      <c r="W74" s="224"/>
    </row>
    <row r="75" spans="12:23" ht="13" x14ac:dyDescent="0.3">
      <c r="L75" s="222"/>
      <c r="M75" s="223"/>
      <c r="N75" s="223"/>
      <c r="O75" s="223"/>
      <c r="P75" s="223"/>
      <c r="Q75" s="224"/>
      <c r="R75" s="222"/>
      <c r="S75" s="223"/>
      <c r="T75" s="223"/>
      <c r="U75" s="223"/>
      <c r="V75" s="223"/>
      <c r="W75" s="224"/>
    </row>
    <row r="76" spans="12:23" ht="13.5" thickBot="1" x14ac:dyDescent="0.35">
      <c r="L76" s="222"/>
      <c r="M76" s="223"/>
      <c r="N76" s="223"/>
      <c r="O76" s="223"/>
      <c r="P76" s="223"/>
      <c r="Q76" s="224"/>
      <c r="R76" s="222"/>
      <c r="S76" s="223"/>
      <c r="T76" s="223"/>
      <c r="U76" s="223"/>
      <c r="V76" s="223"/>
      <c r="W76" s="224"/>
    </row>
    <row r="77" spans="12:23" ht="13" x14ac:dyDescent="0.3">
      <c r="L77" s="222"/>
      <c r="M77" s="223"/>
      <c r="N77" s="223"/>
      <c r="O77" s="223"/>
      <c r="P77" s="223"/>
      <c r="Q77" s="224"/>
      <c r="R77" s="225"/>
      <c r="S77" s="226"/>
      <c r="T77" s="226"/>
      <c r="U77" s="226"/>
      <c r="V77" s="226"/>
      <c r="W77" s="227"/>
    </row>
    <row r="78" spans="12:23" ht="13.5" thickBot="1" x14ac:dyDescent="0.35">
      <c r="L78" s="228"/>
      <c r="M78" s="229"/>
      <c r="N78" s="229"/>
      <c r="O78" s="229"/>
      <c r="P78" s="229"/>
      <c r="Q78" s="230"/>
      <c r="R78" s="228"/>
      <c r="S78" s="229"/>
      <c r="T78" s="229"/>
      <c r="U78" s="229"/>
      <c r="V78" s="229"/>
      <c r="W78" s="23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opLeftCell="A10" zoomScale="115" zoomScaleNormal="115" workbookViewId="0">
      <selection activeCell="Q33" sqref="Q33"/>
    </sheetView>
  </sheetViews>
  <sheetFormatPr baseColWidth="10" defaultColWidth="8.90625" defaultRowHeight="12.5" x14ac:dyDescent="0.25"/>
  <cols>
    <col min="1" max="1" width="10.36328125" style="63" customWidth="1"/>
    <col min="2" max="2" width="9.453125" style="63" bestFit="1" customWidth="1"/>
    <col min="3" max="3" width="7.453125" style="63" bestFit="1" customWidth="1"/>
    <col min="4" max="4" width="16.54296875" style="63" bestFit="1" customWidth="1"/>
    <col min="5" max="5" width="16.54296875" style="63" customWidth="1"/>
    <col min="6" max="6" width="12.6328125" style="63" customWidth="1"/>
    <col min="7" max="7" width="6.90625" style="63" customWidth="1"/>
    <col min="8" max="8" width="7.6328125" style="63" customWidth="1"/>
    <col min="9" max="9" width="7.90625" style="63" bestFit="1" customWidth="1"/>
    <col min="10" max="10" width="6.54296875" style="63" bestFit="1" customWidth="1"/>
    <col min="11" max="11" width="2.08984375" style="63" customWidth="1"/>
    <col min="12" max="12" width="21.54296875" style="63" bestFit="1" customWidth="1"/>
    <col min="13" max="13" width="3" style="231" bestFit="1" customWidth="1"/>
    <col min="14" max="15" width="3" style="231" customWidth="1"/>
    <col min="16" max="16" width="3" style="232" customWidth="1"/>
    <col min="17" max="17" width="4.453125" style="231" bestFit="1" customWidth="1"/>
    <col min="18" max="18" width="18.453125" style="63" bestFit="1" customWidth="1"/>
    <col min="19" max="19" width="3" style="231" bestFit="1" customWidth="1"/>
    <col min="20" max="21" width="3" style="231" customWidth="1"/>
    <col min="22" max="22" width="3" style="232" customWidth="1"/>
    <col min="23" max="23" width="4.453125" style="231" bestFit="1" customWidth="1"/>
    <col min="24" max="24" width="14" style="63" bestFit="1" customWidth="1"/>
    <col min="25" max="25" width="8.54296875" style="63" customWidth="1"/>
    <col min="26" max="26" width="7.90625" style="63" bestFit="1" customWidth="1"/>
    <col min="27" max="27" width="5.36328125" style="63" customWidth="1"/>
    <col min="28" max="28" width="5.453125" style="63" bestFit="1" customWidth="1"/>
    <col min="29" max="29" width="6.54296875" style="63" customWidth="1"/>
    <col min="30" max="30" width="6.6328125" style="63" customWidth="1"/>
    <col min="31" max="31" width="8.453125" style="63" bestFit="1" customWidth="1"/>
    <col min="32" max="32" width="6.54296875" style="63" bestFit="1" customWidth="1"/>
    <col min="33" max="33" width="6.36328125" style="63" customWidth="1"/>
    <col min="34" max="34" width="5" style="63" customWidth="1"/>
    <col min="35" max="35" width="7.6328125" style="63" bestFit="1" customWidth="1"/>
    <col min="36" max="36" width="14.54296875" style="63" bestFit="1" customWidth="1"/>
    <col min="37" max="37" width="6.6328125" style="63" bestFit="1" customWidth="1"/>
    <col min="38" max="38" width="4.54296875" style="63" bestFit="1" customWidth="1"/>
    <col min="39" max="16384" width="8.90625" style="63"/>
  </cols>
  <sheetData>
    <row r="1" spans="1:38" ht="13.5" thickBot="1" x14ac:dyDescent="0.35">
      <c r="A1" s="59" t="s">
        <v>111</v>
      </c>
      <c r="B1" s="59" t="s">
        <v>112</v>
      </c>
      <c r="C1" s="60" t="s">
        <v>70</v>
      </c>
      <c r="D1" s="61" t="s">
        <v>52</v>
      </c>
      <c r="E1" s="62" t="s">
        <v>113</v>
      </c>
      <c r="F1" s="59" t="s">
        <v>114</v>
      </c>
      <c r="G1" s="59" t="s">
        <v>71</v>
      </c>
      <c r="H1" s="62" t="s">
        <v>115</v>
      </c>
      <c r="I1" s="59" t="s">
        <v>116</v>
      </c>
      <c r="J1" s="59" t="s">
        <v>117</v>
      </c>
      <c r="L1" s="64" t="s">
        <v>123</v>
      </c>
      <c r="M1" s="65" t="s">
        <v>124</v>
      </c>
      <c r="N1" s="496" t="s">
        <v>1093</v>
      </c>
      <c r="O1" s="496" t="s">
        <v>1094</v>
      </c>
      <c r="P1" s="234" t="s">
        <v>484</v>
      </c>
      <c r="Q1" s="66" t="s">
        <v>75</v>
      </c>
      <c r="R1" s="64" t="s">
        <v>123</v>
      </c>
      <c r="S1" s="65" t="s">
        <v>124</v>
      </c>
      <c r="T1" s="496" t="s">
        <v>1093</v>
      </c>
      <c r="U1" s="496" t="s">
        <v>1094</v>
      </c>
      <c r="V1" s="234" t="s">
        <v>484</v>
      </c>
      <c r="W1" s="66" t="s">
        <v>75</v>
      </c>
      <c r="AA1" s="216"/>
      <c r="AB1" s="216"/>
      <c r="AC1" s="216"/>
      <c r="AD1" s="216"/>
      <c r="AE1" s="106"/>
      <c r="AF1" s="216"/>
    </row>
    <row r="2" spans="1:38" ht="13.5" thickBot="1" x14ac:dyDescent="0.35">
      <c r="A2" s="267" t="s">
        <v>1245</v>
      </c>
      <c r="B2" s="268" t="s">
        <v>1246</v>
      </c>
      <c r="C2" s="269">
        <v>165</v>
      </c>
      <c r="D2" s="270">
        <v>58</v>
      </c>
      <c r="E2" s="273" t="s">
        <v>1152</v>
      </c>
      <c r="F2" s="271" t="s">
        <v>1247</v>
      </c>
      <c r="G2" s="271"/>
      <c r="H2" s="273"/>
      <c r="I2" s="267" t="s">
        <v>1248</v>
      </c>
      <c r="J2" s="267"/>
      <c r="L2" s="76" t="s">
        <v>188</v>
      </c>
      <c r="M2" s="77"/>
      <c r="N2" s="499">
        <f>[1]Talents!J2</f>
        <v>10</v>
      </c>
      <c r="O2" s="499">
        <f>[1]Talents!K2</f>
        <v>20</v>
      </c>
      <c r="P2" s="235">
        <f>[1]Talents!M2</f>
        <v>63</v>
      </c>
      <c r="Q2" s="78"/>
      <c r="R2" s="567" t="s">
        <v>232</v>
      </c>
      <c r="S2" s="644">
        <v>40</v>
      </c>
      <c r="T2" s="499">
        <f>[1]Talents!Z2</f>
        <v>13.5</v>
      </c>
      <c r="U2" s="499">
        <f>[1]Talents!AA2</f>
        <v>27</v>
      </c>
      <c r="V2" s="235">
        <f>[1]Talents!AC2</f>
        <v>71</v>
      </c>
      <c r="W2" s="78"/>
      <c r="AA2" s="216"/>
      <c r="AB2" s="216"/>
      <c r="AC2" s="216"/>
      <c r="AD2" s="216"/>
      <c r="AE2" s="106"/>
      <c r="AF2" s="216"/>
    </row>
    <row r="3" spans="1:38" ht="13.5" thickBot="1" x14ac:dyDescent="0.35">
      <c r="A3" s="271" t="s">
        <v>1249</v>
      </c>
      <c r="B3" s="84" t="s">
        <v>168</v>
      </c>
      <c r="C3" s="272"/>
      <c r="D3" s="70"/>
      <c r="E3" s="273" t="s">
        <v>1144</v>
      </c>
      <c r="F3" s="273" t="s">
        <v>1250</v>
      </c>
      <c r="G3" s="273" t="s">
        <v>165</v>
      </c>
      <c r="H3" s="273" t="s">
        <v>165</v>
      </c>
      <c r="I3" s="271" t="s">
        <v>1251</v>
      </c>
      <c r="J3" s="271" t="s">
        <v>165</v>
      </c>
      <c r="L3" s="76" t="s">
        <v>189</v>
      </c>
      <c r="M3" s="77"/>
      <c r="N3" s="499">
        <f>[1]Talents!J3</f>
        <v>9</v>
      </c>
      <c r="O3" s="499">
        <f>[1]Talents!K3</f>
        <v>18</v>
      </c>
      <c r="P3" s="235">
        <f>[1]Talents!M3</f>
        <v>64</v>
      </c>
      <c r="Q3" s="78"/>
      <c r="R3" s="76" t="s">
        <v>233</v>
      </c>
      <c r="S3" s="77"/>
      <c r="T3" s="499">
        <f>[1]Talents!Z3</f>
        <v>12</v>
      </c>
      <c r="U3" s="499">
        <f>[1]Talents!AA3</f>
        <v>24</v>
      </c>
      <c r="V3" s="235">
        <f>[1]Talents!AC3</f>
        <v>61</v>
      </c>
      <c r="W3" s="85"/>
      <c r="AA3" s="216"/>
      <c r="AB3" s="216"/>
      <c r="AC3" s="216"/>
      <c r="AD3" s="216"/>
      <c r="AE3" s="106"/>
      <c r="AF3" s="216"/>
    </row>
    <row r="4" spans="1:38" ht="13.5" thickBot="1" x14ac:dyDescent="0.35">
      <c r="A4" s="59" t="s">
        <v>9</v>
      </c>
      <c r="B4" s="86" t="s">
        <v>118</v>
      </c>
      <c r="C4" s="87"/>
      <c r="D4" s="86" t="s">
        <v>119</v>
      </c>
      <c r="E4" s="87"/>
      <c r="F4" s="59" t="s">
        <v>120</v>
      </c>
      <c r="G4" s="86" t="s">
        <v>76</v>
      </c>
      <c r="H4" s="59" t="s">
        <v>121</v>
      </c>
      <c r="I4" s="86" t="s">
        <v>122</v>
      </c>
      <c r="J4" s="88" t="s">
        <v>68</v>
      </c>
      <c r="L4" s="76" t="s">
        <v>190</v>
      </c>
      <c r="M4" s="77"/>
      <c r="N4" s="499">
        <f>[1]Talents!J4</f>
        <v>8.5</v>
      </c>
      <c r="O4" s="499">
        <f>[1]Talents!K4</f>
        <v>17</v>
      </c>
      <c r="P4" s="235">
        <f>[1]Talents!M4</f>
        <v>55</v>
      </c>
      <c r="Q4" s="78"/>
      <c r="R4" s="76" t="s">
        <v>234</v>
      </c>
      <c r="S4" s="77"/>
      <c r="T4" s="499">
        <f>[1]Talents!Z4</f>
        <v>12</v>
      </c>
      <c r="U4" s="499">
        <f>[1]Talents!AA4</f>
        <v>24</v>
      </c>
      <c r="V4" s="235">
        <f>[1]Talents!AC4</f>
        <v>61</v>
      </c>
      <c r="W4" s="78"/>
      <c r="AA4" s="216"/>
      <c r="AB4" s="216"/>
      <c r="AC4" s="216"/>
      <c r="AD4" s="216"/>
      <c r="AE4" s="106"/>
      <c r="AF4" s="216"/>
    </row>
    <row r="5" spans="1:38" ht="13.5" thickBot="1" x14ac:dyDescent="0.35">
      <c r="A5" s="267" t="s">
        <v>1145</v>
      </c>
      <c r="B5" s="92"/>
      <c r="C5" s="82"/>
      <c r="D5" s="274"/>
      <c r="E5" s="82"/>
      <c r="F5" s="267" t="s">
        <v>1180</v>
      </c>
      <c r="G5" s="274" t="s">
        <v>1253</v>
      </c>
      <c r="H5" s="75" t="s">
        <v>165</v>
      </c>
      <c r="I5" s="92">
        <v>2</v>
      </c>
      <c r="J5" s="93">
        <v>150</v>
      </c>
      <c r="L5" s="76" t="s">
        <v>191</v>
      </c>
      <c r="M5" s="77"/>
      <c r="N5" s="499">
        <f>[1]Talents!J5</f>
        <v>17.5</v>
      </c>
      <c r="O5" s="499">
        <f>[1]Talents!K5</f>
        <v>35</v>
      </c>
      <c r="P5" s="235">
        <f>[1]Talents!M5</f>
        <v>80</v>
      </c>
      <c r="Q5" s="78"/>
      <c r="R5" s="76" t="s">
        <v>235</v>
      </c>
      <c r="S5" s="77">
        <v>25</v>
      </c>
      <c r="T5" s="499">
        <f>[1]Talents!Z5</f>
        <v>17.5</v>
      </c>
      <c r="U5" s="499">
        <f>[1]Talents!AA5</f>
        <v>35</v>
      </c>
      <c r="V5" s="235">
        <f>[1]Talents!AC5</f>
        <v>80</v>
      </c>
      <c r="W5" s="78"/>
      <c r="AA5" s="216"/>
      <c r="AB5" s="216"/>
      <c r="AC5" s="216"/>
      <c r="AD5" s="216"/>
      <c r="AE5" s="216"/>
      <c r="AF5" s="216"/>
      <c r="AJ5" s="94" t="s">
        <v>144</v>
      </c>
      <c r="AK5" s="95" t="s">
        <v>145</v>
      </c>
      <c r="AL5" s="506" t="s">
        <v>143</v>
      </c>
    </row>
    <row r="6" spans="1:38" ht="13.5" thickBot="1" x14ac:dyDescent="0.35">
      <c r="A6" s="75" t="s">
        <v>1252</v>
      </c>
      <c r="B6" s="505"/>
      <c r="C6" s="90"/>
      <c r="D6" s="275"/>
      <c r="E6" s="90"/>
      <c r="F6" s="271">
        <v>40</v>
      </c>
      <c r="G6" s="637">
        <v>54</v>
      </c>
      <c r="H6" s="97" t="s">
        <v>1254</v>
      </c>
      <c r="I6" s="98" t="s">
        <v>1027</v>
      </c>
      <c r="J6" s="99" t="s">
        <v>1255</v>
      </c>
      <c r="L6" s="76" t="s">
        <v>192</v>
      </c>
      <c r="M6" s="77"/>
      <c r="N6" s="499">
        <f>[1]Talents!J6</f>
        <v>19</v>
      </c>
      <c r="O6" s="499">
        <f>[1]Talents!K6</f>
        <v>38</v>
      </c>
      <c r="P6" s="235">
        <f>[1]Talents!M6</f>
        <v>80</v>
      </c>
      <c r="Q6" s="78"/>
      <c r="R6" s="76" t="s">
        <v>236</v>
      </c>
      <c r="S6" s="77"/>
      <c r="T6" s="499">
        <f>[1]Talents!Z6</f>
        <v>13</v>
      </c>
      <c r="U6" s="499">
        <f>[1]Talents!AA6</f>
        <v>26</v>
      </c>
      <c r="V6" s="235">
        <f>[1]Talents!AC6</f>
        <v>70</v>
      </c>
      <c r="W6" s="78"/>
      <c r="AA6" s="216"/>
      <c r="AB6" s="216"/>
      <c r="AC6" s="216"/>
      <c r="AD6" s="216"/>
      <c r="AE6" s="216"/>
      <c r="AF6" s="216"/>
      <c r="AJ6" s="100" t="s">
        <v>146</v>
      </c>
      <c r="AK6" s="101"/>
      <c r="AL6" s="105"/>
    </row>
    <row r="7" spans="1:38" ht="13.5" thickBot="1" x14ac:dyDescent="0.35">
      <c r="A7" s="68" t="s">
        <v>69</v>
      </c>
      <c r="B7" s="102" t="s">
        <v>161</v>
      </c>
      <c r="C7" s="276" t="s">
        <v>1257</v>
      </c>
      <c r="D7" s="71"/>
      <c r="E7" s="102" t="s">
        <v>160</v>
      </c>
      <c r="F7" s="103">
        <v>0</v>
      </c>
      <c r="G7" s="71"/>
      <c r="H7" s="71"/>
      <c r="I7" s="104" t="s">
        <v>165</v>
      </c>
      <c r="J7" s="72" t="s">
        <v>1256</v>
      </c>
      <c r="L7" s="76" t="s">
        <v>193</v>
      </c>
      <c r="M7" s="77">
        <v>50</v>
      </c>
      <c r="N7" s="499">
        <f>[1]Talents!J7</f>
        <v>19</v>
      </c>
      <c r="O7" s="499">
        <f>[1]Talents!K7</f>
        <v>38</v>
      </c>
      <c r="P7" s="235">
        <f>[1]Talents!M7</f>
        <v>70</v>
      </c>
      <c r="Q7" s="78">
        <v>4</v>
      </c>
      <c r="R7" s="76" t="s">
        <v>237</v>
      </c>
      <c r="S7" s="77"/>
      <c r="T7" s="499">
        <f>[1]Talents!Z7</f>
        <v>12</v>
      </c>
      <c r="U7" s="499">
        <f>[1]Talents!AA7</f>
        <v>24</v>
      </c>
      <c r="V7" s="235">
        <f>[1]Talents!AC7</f>
        <v>61</v>
      </c>
      <c r="W7" s="78"/>
      <c r="AA7" s="216"/>
      <c r="AB7" s="216"/>
      <c r="AC7" s="216"/>
      <c r="AD7" s="216"/>
      <c r="AE7" s="216"/>
      <c r="AF7" s="216"/>
      <c r="AJ7" s="100">
        <v>3</v>
      </c>
      <c r="AK7" s="101"/>
      <c r="AL7" s="478"/>
    </row>
    <row r="8" spans="1:38" ht="13.5" thickBot="1" x14ac:dyDescent="0.35">
      <c r="A8" s="274"/>
      <c r="B8" s="106" t="s">
        <v>162</v>
      </c>
      <c r="C8" s="273" t="s">
        <v>1258</v>
      </c>
      <c r="D8" s="83"/>
      <c r="E8" s="74" t="s">
        <v>1259</v>
      </c>
      <c r="G8" s="74"/>
      <c r="H8" s="83"/>
      <c r="I8" s="503" t="s">
        <v>1037</v>
      </c>
      <c r="J8" s="105" t="s">
        <v>165</v>
      </c>
      <c r="L8" s="76" t="s">
        <v>194</v>
      </c>
      <c r="M8" s="77"/>
      <c r="N8" s="499">
        <f>[1]Talents!J8</f>
        <v>9</v>
      </c>
      <c r="O8" s="499">
        <f>[1]Talents!K8</f>
        <v>18</v>
      </c>
      <c r="P8" s="235">
        <f>[1]Talents!M8</f>
        <v>63</v>
      </c>
      <c r="Q8" s="78"/>
      <c r="R8" s="76" t="s">
        <v>238</v>
      </c>
      <c r="S8" s="77"/>
      <c r="T8" s="499">
        <f>[1]Talents!Z8</f>
        <v>13</v>
      </c>
      <c r="U8" s="499">
        <f>[1]Talents!AA8</f>
        <v>26</v>
      </c>
      <c r="V8" s="235">
        <f>[1]Talents!AC8</f>
        <v>69</v>
      </c>
      <c r="W8" s="78"/>
      <c r="AI8" s="107" t="s">
        <v>135</v>
      </c>
      <c r="AJ8" s="108" t="s">
        <v>165</v>
      </c>
      <c r="AK8" s="109"/>
      <c r="AL8" s="479"/>
    </row>
    <row r="9" spans="1:38" ht="13.5" thickBot="1" x14ac:dyDescent="0.35">
      <c r="A9" s="110" t="s">
        <v>168</v>
      </c>
      <c r="B9" s="92" t="s">
        <v>1260</v>
      </c>
      <c r="C9" s="83"/>
      <c r="D9" s="83"/>
      <c r="E9" s="74" t="s">
        <v>1755</v>
      </c>
      <c r="F9" s="83"/>
      <c r="G9" s="74" t="s">
        <v>165</v>
      </c>
      <c r="H9" s="83"/>
      <c r="I9" s="83"/>
      <c r="J9" s="73" t="s">
        <v>165</v>
      </c>
      <c r="L9" s="76" t="s">
        <v>1172</v>
      </c>
      <c r="M9" s="77">
        <v>21</v>
      </c>
      <c r="N9" s="499">
        <f>[1]Talents!J9</f>
        <v>4</v>
      </c>
      <c r="O9" s="499">
        <f>[1]Talents!K9</f>
        <v>8</v>
      </c>
      <c r="P9" s="235">
        <f>[1]Talents!M9</f>
        <v>31</v>
      </c>
      <c r="Q9" s="78"/>
      <c r="R9" s="76" t="s">
        <v>239</v>
      </c>
      <c r="S9" s="77"/>
      <c r="T9" s="499">
        <f>[1]Talents!Z9</f>
        <v>17.5</v>
      </c>
      <c r="U9" s="499">
        <f>[1]Talents!AA9</f>
        <v>35</v>
      </c>
      <c r="V9" s="235">
        <f>[1]Talents!AC9</f>
        <v>80</v>
      </c>
      <c r="W9" s="78"/>
      <c r="AJ9" s="94" t="s">
        <v>147</v>
      </c>
      <c r="AK9" s="111" t="s">
        <v>145</v>
      </c>
      <c r="AL9" s="506" t="s">
        <v>143</v>
      </c>
    </row>
    <row r="10" spans="1:38" ht="13.5" thickBot="1" x14ac:dyDescent="0.35">
      <c r="A10" s="110" t="s">
        <v>169</v>
      </c>
      <c r="B10" s="275" t="s">
        <v>1261</v>
      </c>
      <c r="C10" s="91"/>
      <c r="D10" s="91"/>
      <c r="E10" s="97"/>
      <c r="F10" s="91"/>
      <c r="G10" s="97" t="s">
        <v>165</v>
      </c>
      <c r="H10" s="91"/>
      <c r="I10" s="91"/>
      <c r="J10" s="504" t="s">
        <v>1095</v>
      </c>
      <c r="L10" s="76" t="s">
        <v>195</v>
      </c>
      <c r="M10" s="77"/>
      <c r="N10" s="499">
        <f>[1]Talents!J10</f>
        <v>14</v>
      </c>
      <c r="O10" s="499">
        <f>[1]Talents!K10</f>
        <v>28</v>
      </c>
      <c r="P10" s="235">
        <f>[1]Talents!M10</f>
        <v>68</v>
      </c>
      <c r="Q10" s="78"/>
      <c r="R10" s="76" t="s">
        <v>1174</v>
      </c>
      <c r="S10" s="77"/>
      <c r="T10" s="499">
        <f>[1]Talents!Z10</f>
        <v>12</v>
      </c>
      <c r="U10" s="499">
        <f>[1]Talents!AA10</f>
        <v>24</v>
      </c>
      <c r="V10" s="235">
        <f>[1]Talents!AC10</f>
        <v>62</v>
      </c>
      <c r="W10" s="78"/>
      <c r="AJ10" s="100" t="s">
        <v>148</v>
      </c>
      <c r="AK10" s="101">
        <v>2</v>
      </c>
      <c r="AL10" s="105">
        <v>7</v>
      </c>
    </row>
    <row r="11" spans="1:38" ht="13.5" thickBot="1" x14ac:dyDescent="0.35">
      <c r="B11" s="106" t="s">
        <v>170</v>
      </c>
      <c r="C11" s="112" t="s">
        <v>171</v>
      </c>
      <c r="D11" s="112" t="s">
        <v>172</v>
      </c>
      <c r="E11" s="112" t="s">
        <v>97</v>
      </c>
      <c r="F11" s="67" t="s">
        <v>40</v>
      </c>
      <c r="G11" s="71"/>
      <c r="H11" s="69">
        <v>7</v>
      </c>
      <c r="I11" s="70"/>
      <c r="L11" s="76" t="s">
        <v>1173</v>
      </c>
      <c r="M11" s="77"/>
      <c r="N11" s="499">
        <f>[1]Talents!J11</f>
        <v>9</v>
      </c>
      <c r="O11" s="499">
        <f>[1]Talents!K11</f>
        <v>18</v>
      </c>
      <c r="P11" s="235">
        <f>[1]Talents!M11</f>
        <v>71</v>
      </c>
      <c r="Q11" s="78"/>
      <c r="R11" s="76" t="s">
        <v>240</v>
      </c>
      <c r="S11" s="77"/>
      <c r="T11" s="499">
        <f>[1]Talents!Z11</f>
        <v>12.5</v>
      </c>
      <c r="U11" s="499">
        <f>[1]Talents!AA11</f>
        <v>25</v>
      </c>
      <c r="V11" s="235">
        <f>[1]Talents!AC11</f>
        <v>59</v>
      </c>
      <c r="W11" s="78"/>
      <c r="AJ11" s="100">
        <v>2</v>
      </c>
      <c r="AK11" s="101">
        <v>1</v>
      </c>
      <c r="AL11" s="478"/>
    </row>
    <row r="12" spans="1:38" ht="13.5" thickBot="1" x14ac:dyDescent="0.35">
      <c r="A12" s="113" t="s">
        <v>77</v>
      </c>
      <c r="B12" s="114">
        <v>13</v>
      </c>
      <c r="C12" s="114">
        <v>52</v>
      </c>
      <c r="D12" s="114">
        <v>52</v>
      </c>
      <c r="E12" s="115"/>
      <c r="F12" s="80" t="s">
        <v>270</v>
      </c>
      <c r="G12" s="233">
        <f>[1]Perso!J12</f>
        <v>28.824999999999999</v>
      </c>
      <c r="H12" s="116">
        <v>5</v>
      </c>
      <c r="I12" s="82"/>
      <c r="L12" s="76" t="s">
        <v>196</v>
      </c>
      <c r="M12" s="77"/>
      <c r="N12" s="499">
        <f>[1]Talents!J12</f>
        <v>12</v>
      </c>
      <c r="O12" s="499">
        <f>[1]Talents!K12</f>
        <v>24</v>
      </c>
      <c r="P12" s="235">
        <f>[1]Talents!M12</f>
        <v>61</v>
      </c>
      <c r="Q12" s="78"/>
      <c r="R12" s="76" t="s">
        <v>241</v>
      </c>
      <c r="S12" s="77"/>
      <c r="T12" s="499">
        <f>[1]Talents!Z12</f>
        <v>13.5</v>
      </c>
      <c r="U12" s="499">
        <f>[1]Talents!AA12</f>
        <v>27</v>
      </c>
      <c r="V12" s="235">
        <f>[1]Talents!AC12</f>
        <v>67</v>
      </c>
      <c r="W12" s="78"/>
      <c r="AJ12" s="108">
        <v>-5</v>
      </c>
      <c r="AK12" s="109">
        <v>1</v>
      </c>
      <c r="AL12" s="479"/>
    </row>
    <row r="13" spans="1:38" ht="13.5" thickBot="1" x14ac:dyDescent="0.35">
      <c r="A13" s="117" t="s">
        <v>78</v>
      </c>
      <c r="B13" s="118">
        <v>13</v>
      </c>
      <c r="C13" s="118">
        <v>52</v>
      </c>
      <c r="D13" s="118">
        <v>52</v>
      </c>
      <c r="E13" s="119"/>
      <c r="F13" s="120" t="s">
        <v>271</v>
      </c>
      <c r="G13" s="233">
        <f>[1]Perso!J13</f>
        <v>13.9</v>
      </c>
      <c r="H13" s="116">
        <v>-3</v>
      </c>
      <c r="I13" s="82"/>
      <c r="L13" s="76" t="s">
        <v>197</v>
      </c>
      <c r="M13" s="77"/>
      <c r="N13" s="499">
        <f>[1]Talents!J13</f>
        <v>13.5</v>
      </c>
      <c r="O13" s="499">
        <f>[1]Talents!K13</f>
        <v>27</v>
      </c>
      <c r="P13" s="235">
        <f>[1]Talents!M13</f>
        <v>70</v>
      </c>
      <c r="Q13" s="78"/>
      <c r="R13" s="76" t="s">
        <v>1175</v>
      </c>
      <c r="S13" s="77"/>
      <c r="T13" s="499">
        <f>[1]Talents!Z13</f>
        <v>4</v>
      </c>
      <c r="U13" s="499">
        <f>[1]Talents!AA13</f>
        <v>8</v>
      </c>
      <c r="V13" s="235">
        <f>[1]Talents!AC13</f>
        <v>40</v>
      </c>
      <c r="W13" s="78"/>
      <c r="AJ13" s="94" t="s">
        <v>149</v>
      </c>
      <c r="AK13" s="111" t="s">
        <v>145</v>
      </c>
      <c r="AL13" s="506" t="s">
        <v>143</v>
      </c>
    </row>
    <row r="14" spans="1:38" ht="13" x14ac:dyDescent="0.3">
      <c r="A14" s="113" t="s">
        <v>79</v>
      </c>
      <c r="B14" s="114">
        <v>9</v>
      </c>
      <c r="C14" s="114">
        <v>36</v>
      </c>
      <c r="D14" s="114">
        <v>36</v>
      </c>
      <c r="E14" s="115"/>
      <c r="F14" s="120" t="s">
        <v>272</v>
      </c>
      <c r="G14" s="233">
        <f>[1]Perso!J14</f>
        <v>33</v>
      </c>
      <c r="H14" s="116"/>
      <c r="I14" s="82"/>
      <c r="L14" s="76" t="s">
        <v>198</v>
      </c>
      <c r="M14" s="77"/>
      <c r="N14" s="499">
        <f>[1]Talents!J14</f>
        <v>4</v>
      </c>
      <c r="O14" s="499">
        <f>[1]Talents!K14</f>
        <v>8</v>
      </c>
      <c r="P14" s="235">
        <f>[1]Talents!M14</f>
        <v>32</v>
      </c>
      <c r="Q14" s="78"/>
      <c r="R14" s="76" t="s">
        <v>242</v>
      </c>
      <c r="S14" s="77"/>
      <c r="T14" s="499">
        <f>[1]Talents!Z14</f>
        <v>17.5</v>
      </c>
      <c r="U14" s="499">
        <f>[1]Talents!AA14</f>
        <v>35</v>
      </c>
      <c r="V14" s="235">
        <f>[1]Talents!AC14</f>
        <v>80</v>
      </c>
      <c r="W14" s="78"/>
      <c r="AJ14" s="100" t="s">
        <v>150</v>
      </c>
      <c r="AK14" s="101">
        <v>3</v>
      </c>
      <c r="AL14" s="105">
        <v>7</v>
      </c>
    </row>
    <row r="15" spans="1:38" ht="13.5" thickBot="1" x14ac:dyDescent="0.35">
      <c r="A15" s="117" t="s">
        <v>80</v>
      </c>
      <c r="B15" s="118">
        <v>9</v>
      </c>
      <c r="C15" s="118">
        <v>36</v>
      </c>
      <c r="D15" s="118">
        <v>36</v>
      </c>
      <c r="E15" s="119"/>
      <c r="F15" s="120" t="s">
        <v>273</v>
      </c>
      <c r="G15" s="233">
        <f>[1]Perso!J15</f>
        <v>8</v>
      </c>
      <c r="H15" s="116"/>
      <c r="I15" s="82"/>
      <c r="L15" s="76" t="s">
        <v>199</v>
      </c>
      <c r="M15" s="77"/>
      <c r="N15" s="499">
        <f>[1]Talents!J15</f>
        <v>13</v>
      </c>
      <c r="O15" s="499">
        <f>[1]Talents!K15</f>
        <v>26</v>
      </c>
      <c r="P15" s="235">
        <f>[1]Talents!M15</f>
        <v>73</v>
      </c>
      <c r="Q15" s="78"/>
      <c r="R15" s="76" t="s">
        <v>294</v>
      </c>
      <c r="S15" s="77"/>
      <c r="T15" s="499">
        <f>[1]Talents!Z15</f>
        <v>9</v>
      </c>
      <c r="U15" s="499">
        <f>[1]Talents!AA15</f>
        <v>18</v>
      </c>
      <c r="V15" s="235">
        <f>[1]Talents!AC15</f>
        <v>74</v>
      </c>
      <c r="W15" s="78"/>
      <c r="AJ15" s="100">
        <v>3</v>
      </c>
      <c r="AK15" s="101">
        <v>2</v>
      </c>
      <c r="AL15" s="478"/>
    </row>
    <row r="16" spans="1:38" ht="13.5" thickBot="1" x14ac:dyDescent="0.35">
      <c r="A16" s="113" t="s">
        <v>81</v>
      </c>
      <c r="B16" s="114">
        <v>20</v>
      </c>
      <c r="C16" s="114">
        <v>75</v>
      </c>
      <c r="D16" s="114">
        <v>110</v>
      </c>
      <c r="E16" s="115"/>
      <c r="F16" s="121" t="s">
        <v>299</v>
      </c>
      <c r="G16" s="233">
        <f>[1]Perso!J16</f>
        <v>61</v>
      </c>
      <c r="H16" s="116"/>
      <c r="I16" s="82"/>
      <c r="L16" s="76" t="s">
        <v>200</v>
      </c>
      <c r="M16" s="77"/>
      <c r="N16" s="499">
        <f>[1]Talents!J16</f>
        <v>9</v>
      </c>
      <c r="O16" s="499">
        <f>[1]Talents!K16</f>
        <v>18</v>
      </c>
      <c r="P16" s="235">
        <f>[1]Talents!M16</f>
        <v>66</v>
      </c>
      <c r="Q16" s="78"/>
      <c r="R16" s="76" t="s">
        <v>243</v>
      </c>
      <c r="S16" s="77"/>
      <c r="T16" s="499">
        <f>[1]Talents!Z16</f>
        <v>5.5</v>
      </c>
      <c r="U16" s="499">
        <f>[1]Talents!AA16</f>
        <v>11</v>
      </c>
      <c r="V16" s="235">
        <f>[1]Talents!AC16</f>
        <v>40</v>
      </c>
      <c r="W16" s="78"/>
      <c r="AJ16" s="108">
        <v>-5</v>
      </c>
      <c r="AK16" s="109">
        <v>1</v>
      </c>
      <c r="AL16" s="479"/>
    </row>
    <row r="17" spans="1:38" ht="13.5" thickBot="1" x14ac:dyDescent="0.35">
      <c r="A17" s="117" t="s">
        <v>82</v>
      </c>
      <c r="B17" s="118">
        <v>16</v>
      </c>
      <c r="C17" s="118">
        <v>70</v>
      </c>
      <c r="D17" s="118">
        <v>94</v>
      </c>
      <c r="E17" s="119"/>
      <c r="F17" s="120" t="s">
        <v>300</v>
      </c>
      <c r="G17" s="233">
        <f>[1]Perso!J17</f>
        <v>9.75</v>
      </c>
      <c r="H17" s="122"/>
      <c r="I17" s="82"/>
      <c r="L17" s="76" t="s">
        <v>201</v>
      </c>
      <c r="M17" s="77"/>
      <c r="N17" s="499">
        <f>[1]Talents!J17</f>
        <v>12.5</v>
      </c>
      <c r="O17" s="499">
        <f>[1]Talents!K17</f>
        <v>25</v>
      </c>
      <c r="P17" s="235">
        <f>[1]Talents!M17</f>
        <v>63</v>
      </c>
      <c r="Q17" s="78"/>
      <c r="R17" s="180" t="s">
        <v>244</v>
      </c>
      <c r="S17" s="77"/>
      <c r="T17" s="509">
        <f>[1]Talents!Z17</f>
        <v>12</v>
      </c>
      <c r="U17" s="509">
        <f>[1]Talents!AA17</f>
        <v>24</v>
      </c>
      <c r="V17" s="510">
        <f>[1]Talents!AC17</f>
        <v>66</v>
      </c>
      <c r="W17" s="511"/>
      <c r="AJ17" s="94" t="s">
        <v>151</v>
      </c>
      <c r="AK17" s="111" t="s">
        <v>145</v>
      </c>
      <c r="AL17" s="506" t="s">
        <v>143</v>
      </c>
    </row>
    <row r="18" spans="1:38" ht="13" x14ac:dyDescent="0.3">
      <c r="A18" s="113" t="s">
        <v>83</v>
      </c>
      <c r="B18" s="114">
        <v>13</v>
      </c>
      <c r="C18" s="114">
        <v>53</v>
      </c>
      <c r="D18" s="114">
        <v>65</v>
      </c>
      <c r="E18" s="115"/>
      <c r="F18" s="120" t="s">
        <v>301</v>
      </c>
      <c r="G18" s="233">
        <f>[1]Perso!J18</f>
        <v>45</v>
      </c>
      <c r="H18" s="122"/>
      <c r="I18" s="82"/>
      <c r="L18" s="76" t="s">
        <v>202</v>
      </c>
      <c r="M18" s="77"/>
      <c r="N18" s="499">
        <f>[1]Talents!J18</f>
        <v>12.5</v>
      </c>
      <c r="O18" s="499">
        <f>[1]Talents!K18</f>
        <v>25</v>
      </c>
      <c r="P18" s="235">
        <f>[1]Talents!M18</f>
        <v>60</v>
      </c>
      <c r="Q18" s="78"/>
      <c r="R18" s="568" t="s">
        <v>281</v>
      </c>
      <c r="S18" s="77">
        <v>12</v>
      </c>
      <c r="T18" s="513">
        <f>[1]Talents!Z18</f>
        <v>9</v>
      </c>
      <c r="U18" s="513">
        <f>[1]Talents!AA18</f>
        <v>18</v>
      </c>
      <c r="V18" s="514">
        <f>[1]Talents!AC18</f>
        <v>57</v>
      </c>
      <c r="W18" s="515"/>
      <c r="AJ18" s="100" t="s">
        <v>152</v>
      </c>
      <c r="AK18" s="101">
        <v>2</v>
      </c>
      <c r="AL18" s="105">
        <v>7</v>
      </c>
    </row>
    <row r="19" spans="1:38" ht="13.5" thickBot="1" x14ac:dyDescent="0.35">
      <c r="A19" s="117" t="s">
        <v>84</v>
      </c>
      <c r="B19" s="118">
        <v>13</v>
      </c>
      <c r="C19" s="118">
        <v>40</v>
      </c>
      <c r="D19" s="118">
        <v>65</v>
      </c>
      <c r="E19" s="119"/>
      <c r="F19" s="121" t="s">
        <v>105</v>
      </c>
      <c r="G19" s="233">
        <f>[1]Perso!J19</f>
        <v>62.4</v>
      </c>
      <c r="H19" s="116"/>
      <c r="I19" s="82"/>
      <c r="L19" s="76" t="s">
        <v>203</v>
      </c>
      <c r="M19" s="77"/>
      <c r="N19" s="499">
        <f>[1]Talents!J19</f>
        <v>13</v>
      </c>
      <c r="O19" s="499">
        <f>[1]Talents!K19</f>
        <v>26</v>
      </c>
      <c r="P19" s="235">
        <f>[1]Talents!M19</f>
        <v>72</v>
      </c>
      <c r="Q19" s="78"/>
      <c r="R19" s="569" t="s">
        <v>282</v>
      </c>
      <c r="S19" s="77">
        <v>8</v>
      </c>
      <c r="T19" s="499">
        <f>[1]Talents!Z19</f>
        <v>9</v>
      </c>
      <c r="U19" s="499">
        <f>[1]Talents!AA19</f>
        <v>18</v>
      </c>
      <c r="V19" s="235">
        <f>[1]Talents!AC19</f>
        <v>57</v>
      </c>
      <c r="W19" s="78"/>
      <c r="AJ19" s="100">
        <v>3</v>
      </c>
      <c r="AK19" s="101">
        <v>1</v>
      </c>
      <c r="AL19" s="478"/>
    </row>
    <row r="20" spans="1:38" ht="13.5" thickBot="1" x14ac:dyDescent="0.35">
      <c r="A20" s="113" t="s">
        <v>85</v>
      </c>
      <c r="B20" s="114">
        <v>13</v>
      </c>
      <c r="C20" s="114">
        <v>47</v>
      </c>
      <c r="D20" s="114">
        <v>52</v>
      </c>
      <c r="E20" s="115"/>
      <c r="F20" s="121" t="s">
        <v>302</v>
      </c>
      <c r="G20" s="233">
        <f>[1]Perso!J20</f>
        <v>56.15</v>
      </c>
      <c r="H20" s="116"/>
      <c r="I20" s="82"/>
      <c r="L20" s="76" t="s">
        <v>204</v>
      </c>
      <c r="M20" s="77"/>
      <c r="N20" s="499">
        <f>[1]Talents!J20</f>
        <v>12</v>
      </c>
      <c r="O20" s="499">
        <f>[1]Talents!K20</f>
        <v>24</v>
      </c>
      <c r="P20" s="235">
        <f>[1]Talents!M20</f>
        <v>79</v>
      </c>
      <c r="Q20" s="78"/>
      <c r="R20" s="569" t="s">
        <v>283</v>
      </c>
      <c r="S20" s="77">
        <v>6</v>
      </c>
      <c r="T20" s="499">
        <f>[1]Talents!Z20</f>
        <v>9</v>
      </c>
      <c r="U20" s="499">
        <f>[1]Talents!AA20</f>
        <v>18</v>
      </c>
      <c r="V20" s="235">
        <f>[1]Talents!AC20</f>
        <v>57</v>
      </c>
      <c r="W20" s="78"/>
      <c r="Y20" s="516" t="s">
        <v>128</v>
      </c>
      <c r="Z20" s="517"/>
      <c r="AJ20" s="108">
        <v>-5</v>
      </c>
      <c r="AK20" s="109">
        <v>1</v>
      </c>
      <c r="AL20" s="479"/>
    </row>
    <row r="21" spans="1:38" ht="13.5" thickBot="1" x14ac:dyDescent="0.35">
      <c r="A21" s="117" t="s">
        <v>86</v>
      </c>
      <c r="B21" s="118">
        <v>11</v>
      </c>
      <c r="C21" s="118">
        <v>33</v>
      </c>
      <c r="D21" s="118">
        <v>44</v>
      </c>
      <c r="E21" s="119"/>
      <c r="F21" s="120" t="s">
        <v>303</v>
      </c>
      <c r="G21" s="233">
        <f>[1]Perso!J21</f>
        <v>40.424999999999997</v>
      </c>
      <c r="H21" s="122"/>
      <c r="I21" s="82"/>
      <c r="L21" s="76" t="s">
        <v>205</v>
      </c>
      <c r="M21" s="77"/>
      <c r="N21" s="499">
        <f>[1]Talents!J21</f>
        <v>12.5</v>
      </c>
      <c r="O21" s="499">
        <f>[1]Talents!K21</f>
        <v>25</v>
      </c>
      <c r="P21" s="235">
        <f>[1]Talents!M21</f>
        <v>73</v>
      </c>
      <c r="Q21" s="78"/>
      <c r="R21" s="569" t="s">
        <v>284</v>
      </c>
      <c r="S21" s="77">
        <v>36</v>
      </c>
      <c r="T21" s="499">
        <f>[1]Talents!Z21</f>
        <v>9</v>
      </c>
      <c r="U21" s="499">
        <f>[1]Talents!AA21</f>
        <v>18</v>
      </c>
      <c r="V21" s="235">
        <f>[1]Talents!AC21</f>
        <v>57</v>
      </c>
      <c r="W21" s="78">
        <v>-1</v>
      </c>
      <c r="X21" s="124" t="s">
        <v>126</v>
      </c>
      <c r="Y21" s="125" t="s">
        <v>127</v>
      </c>
      <c r="Z21" s="126" t="s">
        <v>310</v>
      </c>
      <c r="AA21" s="127" t="s">
        <v>309</v>
      </c>
      <c r="AB21" s="128" t="s">
        <v>991</v>
      </c>
      <c r="AC21" s="129" t="s">
        <v>992</v>
      </c>
      <c r="AD21" s="130" t="s">
        <v>993</v>
      </c>
      <c r="AE21" s="131" t="s">
        <v>994</v>
      </c>
      <c r="AF21" s="132" t="s">
        <v>995</v>
      </c>
      <c r="AG21" s="129" t="s">
        <v>139</v>
      </c>
      <c r="AH21" s="402" t="s">
        <v>140</v>
      </c>
      <c r="AI21" s="130" t="s">
        <v>996</v>
      </c>
      <c r="AJ21" s="94" t="s">
        <v>153</v>
      </c>
      <c r="AK21" s="111" t="s">
        <v>145</v>
      </c>
      <c r="AL21" s="506" t="s">
        <v>143</v>
      </c>
    </row>
    <row r="22" spans="1:38" ht="13" x14ac:dyDescent="0.3">
      <c r="A22" s="113" t="s">
        <v>87</v>
      </c>
      <c r="B22" s="114">
        <v>17</v>
      </c>
      <c r="C22" s="114">
        <v>50</v>
      </c>
      <c r="D22" s="114">
        <v>68</v>
      </c>
      <c r="E22" s="115"/>
      <c r="F22" s="120" t="s">
        <v>304</v>
      </c>
      <c r="G22" s="233">
        <f>[1]Perso!J22</f>
        <v>18</v>
      </c>
      <c r="H22" s="122"/>
      <c r="I22" s="82"/>
      <c r="L22" s="76" t="s">
        <v>206</v>
      </c>
      <c r="M22" s="77">
        <v>4</v>
      </c>
      <c r="N22" s="499">
        <f>[1]Talents!J22</f>
        <v>4</v>
      </c>
      <c r="O22" s="499">
        <f>[1]Talents!K22</f>
        <v>8</v>
      </c>
      <c r="P22" s="235">
        <f>[1]Talents!M22</f>
        <v>42</v>
      </c>
      <c r="Q22" s="78"/>
      <c r="R22" s="569" t="s">
        <v>285</v>
      </c>
      <c r="S22" s="77">
        <v>14</v>
      </c>
      <c r="T22" s="499">
        <f>[1]Talents!Z22</f>
        <v>9</v>
      </c>
      <c r="U22" s="499">
        <f>[1]Talents!AA22</f>
        <v>18</v>
      </c>
      <c r="V22" s="235">
        <f>[1]Talents!AC22</f>
        <v>57</v>
      </c>
      <c r="W22" s="78"/>
      <c r="X22" s="133" t="s">
        <v>1222</v>
      </c>
      <c r="Y22" s="134" t="s">
        <v>1223</v>
      </c>
      <c r="Z22" s="135" t="s">
        <v>1224</v>
      </c>
      <c r="AA22" s="601">
        <v>10</v>
      </c>
      <c r="AB22" s="136" t="s">
        <v>1225</v>
      </c>
      <c r="AC22" s="137" t="s">
        <v>1226</v>
      </c>
      <c r="AD22" s="138" t="s">
        <v>1226</v>
      </c>
      <c r="AE22" s="139" t="s">
        <v>1227</v>
      </c>
      <c r="AF22" s="137"/>
      <c r="AG22" s="439">
        <v>-1</v>
      </c>
      <c r="AH22" s="440">
        <v>-2</v>
      </c>
      <c r="AI22" s="140"/>
      <c r="AJ22" s="100" t="s">
        <v>152</v>
      </c>
      <c r="AK22" s="101">
        <v>2</v>
      </c>
      <c r="AL22" s="105">
        <v>7</v>
      </c>
    </row>
    <row r="23" spans="1:38" ht="13.5" thickBot="1" x14ac:dyDescent="0.35">
      <c r="A23" s="117" t="s">
        <v>88</v>
      </c>
      <c r="B23" s="118">
        <v>13</v>
      </c>
      <c r="C23" s="118">
        <v>52</v>
      </c>
      <c r="D23" s="118">
        <v>52</v>
      </c>
      <c r="E23" s="119"/>
      <c r="F23" s="120" t="s">
        <v>305</v>
      </c>
      <c r="G23" s="233">
        <f>[1]Perso!J23</f>
        <v>5.5</v>
      </c>
      <c r="H23" s="122"/>
      <c r="I23" s="82"/>
      <c r="L23" s="76" t="s">
        <v>207</v>
      </c>
      <c r="M23" s="77"/>
      <c r="N23" s="499">
        <f>[1]Talents!J23</f>
        <v>9</v>
      </c>
      <c r="O23" s="499">
        <f>[1]Talents!K23</f>
        <v>18</v>
      </c>
      <c r="P23" s="235">
        <f>[1]Talents!M23</f>
        <v>66</v>
      </c>
      <c r="Q23" s="78"/>
      <c r="R23" s="569" t="s">
        <v>286</v>
      </c>
      <c r="S23" s="77">
        <v>6</v>
      </c>
      <c r="T23" s="499">
        <f>[1]Talents!Z23</f>
        <v>9</v>
      </c>
      <c r="U23" s="499">
        <f>[1]Talents!AA23</f>
        <v>18</v>
      </c>
      <c r="V23" s="235">
        <f>[1]Talents!AC23</f>
        <v>57</v>
      </c>
      <c r="W23" s="78"/>
      <c r="X23" s="133" t="s">
        <v>1275</v>
      </c>
      <c r="Y23" s="134" t="s">
        <v>31</v>
      </c>
      <c r="Z23" s="135" t="s">
        <v>1276</v>
      </c>
      <c r="AA23" s="444">
        <v>0.8</v>
      </c>
      <c r="AB23" s="136" t="s">
        <v>1226</v>
      </c>
      <c r="AC23" s="137" t="s">
        <v>1226</v>
      </c>
      <c r="AD23" s="138"/>
      <c r="AE23" s="139" t="s">
        <v>1230</v>
      </c>
      <c r="AF23" s="137"/>
      <c r="AG23" s="439"/>
      <c r="AH23" s="440">
        <v>-1</v>
      </c>
      <c r="AI23" s="140"/>
      <c r="AJ23" s="100">
        <v>3</v>
      </c>
      <c r="AK23" s="101">
        <v>1</v>
      </c>
      <c r="AL23" s="478"/>
    </row>
    <row r="24" spans="1:38" ht="13.5" thickBot="1" x14ac:dyDescent="0.35">
      <c r="A24" s="113" t="s">
        <v>89</v>
      </c>
      <c r="B24" s="114">
        <v>5</v>
      </c>
      <c r="C24" s="114">
        <v>15</v>
      </c>
      <c r="D24" s="114">
        <v>15</v>
      </c>
      <c r="E24" s="115"/>
      <c r="F24" s="121" t="s">
        <v>306</v>
      </c>
      <c r="G24" s="233">
        <f>[1]Perso!J24</f>
        <v>44.8</v>
      </c>
      <c r="H24" s="116"/>
      <c r="I24" s="82"/>
      <c r="L24" s="76" t="s">
        <v>208</v>
      </c>
      <c r="M24" s="77"/>
      <c r="N24" s="499">
        <f>[1]Talents!J24</f>
        <v>17.5</v>
      </c>
      <c r="O24" s="499">
        <f>[1]Talents!K24</f>
        <v>35</v>
      </c>
      <c r="P24" s="235">
        <f>[1]Talents!M24</f>
        <v>80</v>
      </c>
      <c r="Q24" s="78"/>
      <c r="R24" s="569" t="s">
        <v>287</v>
      </c>
      <c r="S24" s="77">
        <v>6</v>
      </c>
      <c r="T24" s="499">
        <f>[1]Talents!Z24</f>
        <v>9</v>
      </c>
      <c r="U24" s="499">
        <f>[1]Talents!AA24</f>
        <v>18</v>
      </c>
      <c r="V24" s="235">
        <f>[1]Talents!AC24</f>
        <v>57</v>
      </c>
      <c r="W24" s="78"/>
      <c r="X24" s="133" t="s">
        <v>165</v>
      </c>
      <c r="Y24" s="134"/>
      <c r="Z24" s="135" t="s">
        <v>165</v>
      </c>
      <c r="AA24" s="444"/>
      <c r="AB24" s="136"/>
      <c r="AC24" s="137"/>
      <c r="AD24" s="138"/>
      <c r="AE24" s="139"/>
      <c r="AF24" s="137"/>
      <c r="AG24" s="439"/>
      <c r="AH24" s="440"/>
      <c r="AI24" s="140"/>
      <c r="AJ24" s="108">
        <v>-5</v>
      </c>
      <c r="AK24" s="109">
        <v>1</v>
      </c>
      <c r="AL24" s="479"/>
    </row>
    <row r="25" spans="1:38" ht="13.5" thickBot="1" x14ac:dyDescent="0.35">
      <c r="A25" s="117" t="s">
        <v>90</v>
      </c>
      <c r="B25" s="118">
        <v>5</v>
      </c>
      <c r="C25" s="118">
        <v>15</v>
      </c>
      <c r="D25" s="118">
        <v>15</v>
      </c>
      <c r="E25" s="119"/>
      <c r="F25" s="121" t="s">
        <v>307</v>
      </c>
      <c r="G25" s="233">
        <f>[1]Perso!J25</f>
        <v>49</v>
      </c>
      <c r="H25" s="116"/>
      <c r="I25" s="82"/>
      <c r="L25" s="76" t="s">
        <v>209</v>
      </c>
      <c r="M25" s="77"/>
      <c r="N25" s="499">
        <f>[1]Talents!J25</f>
        <v>10</v>
      </c>
      <c r="O25" s="499">
        <f>[1]Talents!K25</f>
        <v>20</v>
      </c>
      <c r="P25" s="235">
        <f>[1]Talents!M25</f>
        <v>66</v>
      </c>
      <c r="Q25" s="78"/>
      <c r="R25" s="569" t="s">
        <v>288</v>
      </c>
      <c r="S25" s="77">
        <v>6</v>
      </c>
      <c r="T25" s="499">
        <f>[1]Talents!Z25</f>
        <v>9</v>
      </c>
      <c r="U25" s="499">
        <f>[1]Talents!AA25</f>
        <v>18</v>
      </c>
      <c r="V25" s="235">
        <f>[1]Talents!AC25</f>
        <v>57</v>
      </c>
      <c r="W25" s="78"/>
      <c r="X25" s="142" t="s">
        <v>165</v>
      </c>
      <c r="Y25" s="143"/>
      <c r="Z25" s="135" t="s">
        <v>165</v>
      </c>
      <c r="AA25" s="445" t="s">
        <v>165</v>
      </c>
      <c r="AB25" s="144"/>
      <c r="AC25" s="145"/>
      <c r="AD25" s="146"/>
      <c r="AE25" s="147"/>
      <c r="AF25" s="145"/>
      <c r="AG25" s="439"/>
      <c r="AH25" s="441"/>
      <c r="AI25" s="148"/>
      <c r="AJ25" s="94" t="s">
        <v>154</v>
      </c>
      <c r="AK25" s="111" t="s">
        <v>145</v>
      </c>
      <c r="AL25" s="506" t="s">
        <v>143</v>
      </c>
    </row>
    <row r="26" spans="1:38" ht="13.5" thickBot="1" x14ac:dyDescent="0.35">
      <c r="A26" s="113" t="s">
        <v>91</v>
      </c>
      <c r="B26" s="114">
        <v>9</v>
      </c>
      <c r="C26" s="114">
        <v>36</v>
      </c>
      <c r="D26" s="114">
        <v>36</v>
      </c>
      <c r="E26" s="115"/>
      <c r="F26" s="79" t="s">
        <v>166</v>
      </c>
      <c r="G26" s="233">
        <f>[1]Perso!J26</f>
        <v>37.65</v>
      </c>
      <c r="H26" s="116"/>
      <c r="I26" s="82"/>
      <c r="L26" s="76" t="s">
        <v>210</v>
      </c>
      <c r="M26" s="77">
        <v>55</v>
      </c>
      <c r="N26" s="499">
        <f>[1]Talents!J26</f>
        <v>17.5</v>
      </c>
      <c r="O26" s="499">
        <f>[1]Talents!K26</f>
        <v>35</v>
      </c>
      <c r="P26" s="235">
        <f>[1]Talents!M26</f>
        <v>80</v>
      </c>
      <c r="Q26" s="78">
        <v>1</v>
      </c>
      <c r="R26" s="569" t="s">
        <v>289</v>
      </c>
      <c r="S26" s="77">
        <v>6</v>
      </c>
      <c r="T26" s="499">
        <f>[1]Talents!Z26</f>
        <v>9</v>
      </c>
      <c r="U26" s="499">
        <f>[1]Talents!AA26</f>
        <v>18</v>
      </c>
      <c r="V26" s="235">
        <f>[1]Talents!AC26</f>
        <v>57</v>
      </c>
      <c r="W26" s="78"/>
      <c r="X26" s="149" t="s">
        <v>1147</v>
      </c>
      <c r="Y26" s="416">
        <f>IF(X26&lt;&gt;"Bouclier",ROUND(S49/5,0),0)</f>
        <v>11</v>
      </c>
      <c r="Z26" s="150"/>
      <c r="AA26" s="446"/>
      <c r="AB26" s="151"/>
      <c r="AC26" s="152"/>
      <c r="AD26" s="153"/>
      <c r="AE26" s="154"/>
      <c r="AF26" s="152"/>
      <c r="AG26" s="442"/>
      <c r="AH26" s="443"/>
      <c r="AI26" s="155"/>
      <c r="AJ26" s="100" t="s">
        <v>146</v>
      </c>
      <c r="AK26" s="101"/>
      <c r="AL26" s="105"/>
    </row>
    <row r="27" spans="1:38" ht="13.5" thickBot="1" x14ac:dyDescent="0.35">
      <c r="A27" s="117" t="s">
        <v>92</v>
      </c>
      <c r="B27" s="118">
        <v>9</v>
      </c>
      <c r="C27" s="118">
        <v>36</v>
      </c>
      <c r="D27" s="118">
        <v>36</v>
      </c>
      <c r="E27" s="119"/>
      <c r="F27" s="121" t="s">
        <v>485</v>
      </c>
      <c r="G27" s="233">
        <f>[1]Perso!J27</f>
        <v>8</v>
      </c>
      <c r="H27" s="156"/>
      <c r="L27" s="76" t="s">
        <v>211</v>
      </c>
      <c r="M27" s="77">
        <v>20</v>
      </c>
      <c r="N27" s="499">
        <f>[1]Talents!J27</f>
        <v>9</v>
      </c>
      <c r="O27" s="499">
        <f>[1]Talents!K27</f>
        <v>18</v>
      </c>
      <c r="P27" s="235">
        <f>[1]Talents!M27</f>
        <v>61</v>
      </c>
      <c r="Q27" s="78"/>
      <c r="R27" s="569" t="s">
        <v>290</v>
      </c>
      <c r="S27" s="77">
        <v>48</v>
      </c>
      <c r="T27" s="499">
        <f>[1]Talents!Z27</f>
        <v>9</v>
      </c>
      <c r="U27" s="499">
        <f>[1]Talents!AA27</f>
        <v>18</v>
      </c>
      <c r="V27" s="235">
        <f>[1]Talents!AC27</f>
        <v>57</v>
      </c>
      <c r="W27" s="78"/>
      <c r="X27" s="157"/>
      <c r="Z27" s="408" t="s">
        <v>1096</v>
      </c>
      <c r="AA27" s="455">
        <f>SUM(AA22:AA26)</f>
        <v>10.8</v>
      </c>
      <c r="AB27" s="112"/>
      <c r="AC27" s="158"/>
      <c r="AD27" s="158"/>
      <c r="AE27" s="158"/>
      <c r="AF27" s="409"/>
      <c r="AG27" s="488">
        <f>SUM(AG22:AG26)</f>
        <v>-1</v>
      </c>
      <c r="AH27" s="488">
        <f>SUM(AH22:AH26)</f>
        <v>-3</v>
      </c>
      <c r="AI27" s="415">
        <f>SUM(AI22:AI26)</f>
        <v>0</v>
      </c>
      <c r="AJ27" s="100">
        <v>4</v>
      </c>
      <c r="AK27" s="101"/>
      <c r="AL27" s="478"/>
    </row>
    <row r="28" spans="1:38" ht="13.5" thickBot="1" x14ac:dyDescent="0.35">
      <c r="A28" s="113" t="s">
        <v>93</v>
      </c>
      <c r="B28" s="114">
        <v>11</v>
      </c>
      <c r="C28" s="114">
        <v>44</v>
      </c>
      <c r="D28" s="114">
        <v>44</v>
      </c>
      <c r="E28" s="115"/>
      <c r="F28" s="79" t="s">
        <v>106</v>
      </c>
      <c r="G28" s="233">
        <f>[1]Perso!J28</f>
        <v>11</v>
      </c>
      <c r="H28" s="116">
        <v>4</v>
      </c>
      <c r="I28" s="82"/>
      <c r="L28" s="76" t="s">
        <v>212</v>
      </c>
      <c r="M28" s="77"/>
      <c r="N28" s="499">
        <f>[1]Talents!J28</f>
        <v>17.5</v>
      </c>
      <c r="O28" s="499">
        <f>[1]Talents!K28</f>
        <v>35</v>
      </c>
      <c r="P28" s="235">
        <f>[1]Talents!M28</f>
        <v>80</v>
      </c>
      <c r="Q28" s="78"/>
      <c r="R28" s="569" t="s">
        <v>291</v>
      </c>
      <c r="S28" s="77">
        <v>17</v>
      </c>
      <c r="T28" s="499">
        <f>[1]Talents!Z28</f>
        <v>9</v>
      </c>
      <c r="U28" s="499">
        <f>[1]Talents!AA28</f>
        <v>18</v>
      </c>
      <c r="V28" s="235">
        <f>[1]Talents!AC28</f>
        <v>57</v>
      </c>
      <c r="W28" s="78"/>
      <c r="X28" s="112"/>
      <c r="Y28" s="112"/>
      <c r="Z28" s="112"/>
      <c r="AA28" s="112"/>
      <c r="AB28" s="112"/>
      <c r="AC28" s="112"/>
      <c r="AD28" s="112"/>
      <c r="AE28" s="112"/>
      <c r="AF28" s="112" t="s">
        <v>1097</v>
      </c>
      <c r="AG28" s="507" t="s">
        <v>139</v>
      </c>
      <c r="AH28" s="507" t="s">
        <v>140</v>
      </c>
      <c r="AI28" s="507" t="s">
        <v>1086</v>
      </c>
      <c r="AJ28" s="108" t="s">
        <v>165</v>
      </c>
      <c r="AK28" s="109"/>
      <c r="AL28" s="479"/>
    </row>
    <row r="29" spans="1:38" ht="13.5" thickBot="1" x14ac:dyDescent="0.35">
      <c r="A29" s="117" t="s">
        <v>94</v>
      </c>
      <c r="B29" s="118">
        <v>11</v>
      </c>
      <c r="C29" s="118">
        <v>44</v>
      </c>
      <c r="D29" s="118">
        <v>45</v>
      </c>
      <c r="E29" s="119"/>
      <c r="F29" s="79" t="s">
        <v>49</v>
      </c>
      <c r="G29" s="233">
        <f>[1]Perso!J29</f>
        <v>55</v>
      </c>
      <c r="H29" s="116"/>
      <c r="I29" s="82"/>
      <c r="L29" s="76" t="s">
        <v>213</v>
      </c>
      <c r="M29" s="77"/>
      <c r="N29" s="499">
        <f>[1]Talents!J29</f>
        <v>8.5</v>
      </c>
      <c r="O29" s="499">
        <f>[1]Talents!K29</f>
        <v>17</v>
      </c>
      <c r="P29" s="235">
        <f>[1]Talents!M29</f>
        <v>69</v>
      </c>
      <c r="Q29" s="78"/>
      <c r="R29" s="569" t="s">
        <v>292</v>
      </c>
      <c r="S29" s="77">
        <v>6</v>
      </c>
      <c r="T29" s="499">
        <f>[1]Talents!Z29</f>
        <v>9</v>
      </c>
      <c r="U29" s="499">
        <f>[1]Talents!AA29</f>
        <v>18</v>
      </c>
      <c r="V29" s="235">
        <f>[1]Talents!AC29</f>
        <v>57</v>
      </c>
      <c r="W29" s="78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07" t="s">
        <v>1087</v>
      </c>
      <c r="AI29" s="414">
        <f>M7/5+M67/10</f>
        <v>15.7</v>
      </c>
      <c r="AJ29" s="94" t="s">
        <v>155</v>
      </c>
      <c r="AK29" s="111" t="s">
        <v>145</v>
      </c>
      <c r="AL29" s="506" t="s">
        <v>143</v>
      </c>
    </row>
    <row r="30" spans="1:38" ht="13.5" thickBot="1" x14ac:dyDescent="0.35">
      <c r="A30" s="110" t="s">
        <v>95</v>
      </c>
      <c r="B30" s="159">
        <v>11</v>
      </c>
      <c r="C30" s="159">
        <v>22</v>
      </c>
      <c r="D30" s="159">
        <v>33</v>
      </c>
      <c r="E30" s="160"/>
      <c r="F30" s="79" t="s">
        <v>24</v>
      </c>
      <c r="G30" s="233">
        <f>[1]Perso!J30</f>
        <v>52</v>
      </c>
      <c r="H30" s="116">
        <v>0</v>
      </c>
      <c r="I30" s="82"/>
      <c r="L30" s="76" t="s">
        <v>214</v>
      </c>
      <c r="M30" s="77"/>
      <c r="N30" s="499">
        <f>[1]Talents!J30</f>
        <v>13.5</v>
      </c>
      <c r="O30" s="499">
        <f>[1]Talents!K30</f>
        <v>27</v>
      </c>
      <c r="P30" s="235">
        <f>[1]Talents!M30</f>
        <v>61</v>
      </c>
      <c r="Q30" s="78"/>
      <c r="R30" s="570" t="s">
        <v>293</v>
      </c>
      <c r="S30" s="77">
        <v>54</v>
      </c>
      <c r="T30" s="509">
        <f>[1]Talents!Z30</f>
        <v>9</v>
      </c>
      <c r="U30" s="509">
        <f>[1]Talents!AA30</f>
        <v>18</v>
      </c>
      <c r="V30" s="510">
        <f>[1]Talents!AC30</f>
        <v>57</v>
      </c>
      <c r="W30" s="511"/>
      <c r="X30" s="161" t="s">
        <v>129</v>
      </c>
      <c r="Y30" s="162"/>
      <c r="Z30" s="163" t="s">
        <v>130</v>
      </c>
      <c r="AA30" s="163"/>
      <c r="AB30" s="164" t="s">
        <v>143</v>
      </c>
      <c r="AC30" s="165" t="s">
        <v>131</v>
      </c>
      <c r="AD30" s="166"/>
      <c r="AE30" s="163" t="s">
        <v>132</v>
      </c>
      <c r="AF30" s="167" t="s">
        <v>133</v>
      </c>
      <c r="AG30" s="168" t="s">
        <v>134</v>
      </c>
      <c r="AH30" s="403"/>
      <c r="AI30" s="169" t="s">
        <v>135</v>
      </c>
      <c r="AJ30" s="100" t="s">
        <v>146</v>
      </c>
      <c r="AK30" s="101"/>
      <c r="AL30" s="105"/>
    </row>
    <row r="31" spans="1:38" ht="13.5" thickBot="1" x14ac:dyDescent="0.35">
      <c r="A31" s="117" t="s">
        <v>96</v>
      </c>
      <c r="B31" s="118">
        <v>11</v>
      </c>
      <c r="C31" s="118">
        <v>21</v>
      </c>
      <c r="D31" s="118">
        <v>33</v>
      </c>
      <c r="E31" s="119">
        <v>0</v>
      </c>
      <c r="F31" s="79" t="s">
        <v>25</v>
      </c>
      <c r="G31" s="233">
        <f>[1]Perso!J31</f>
        <v>104</v>
      </c>
      <c r="H31" s="116"/>
      <c r="I31" s="82"/>
      <c r="L31" s="76" t="s">
        <v>1171</v>
      </c>
      <c r="M31" s="77"/>
      <c r="N31" s="499">
        <f>[1]Talents!J31</f>
        <v>12</v>
      </c>
      <c r="O31" s="499">
        <f>[1]Talents!K31</f>
        <v>24</v>
      </c>
      <c r="P31" s="235">
        <f>[1]Talents!M31</f>
        <v>64</v>
      </c>
      <c r="Q31" s="78"/>
      <c r="R31" s="76" t="s">
        <v>245</v>
      </c>
      <c r="S31" s="77">
        <v>40</v>
      </c>
      <c r="T31" s="499">
        <f>[1]Talents!Z31</f>
        <v>12.5</v>
      </c>
      <c r="U31" s="499">
        <f>[1]Talents!AA31</f>
        <v>25</v>
      </c>
      <c r="V31" s="235">
        <f>[1]Talents!AC31</f>
        <v>80</v>
      </c>
      <c r="W31" s="78"/>
      <c r="X31" s="170" t="s">
        <v>136</v>
      </c>
      <c r="Y31" s="171"/>
      <c r="Z31" s="172" t="s">
        <v>137</v>
      </c>
      <c r="AA31" s="172"/>
      <c r="AB31" s="173" t="s">
        <v>142</v>
      </c>
      <c r="AC31" s="174"/>
      <c r="AD31" s="175"/>
      <c r="AE31" s="176"/>
      <c r="AF31" s="177"/>
      <c r="AG31" s="178"/>
      <c r="AH31" s="78"/>
      <c r="AI31" s="179" t="s">
        <v>138</v>
      </c>
      <c r="AJ31" s="100">
        <v>4</v>
      </c>
      <c r="AK31" s="101"/>
      <c r="AL31" s="478"/>
    </row>
    <row r="32" spans="1:38" ht="13.5" thickBot="1" x14ac:dyDescent="0.35">
      <c r="A32" s="67"/>
      <c r="B32" s="71"/>
      <c r="C32" s="102" t="s">
        <v>97</v>
      </c>
      <c r="D32" s="68" t="s">
        <v>104</v>
      </c>
      <c r="E32" s="70"/>
      <c r="F32" s="79" t="s">
        <v>26</v>
      </c>
      <c r="G32" s="233">
        <f>[1]Perso!J32</f>
        <v>156</v>
      </c>
      <c r="H32" s="116"/>
      <c r="I32" s="82"/>
      <c r="L32" s="567" t="s">
        <v>215</v>
      </c>
      <c r="M32" s="644">
        <v>58</v>
      </c>
      <c r="N32" s="499">
        <f>[1]Talents!J32</f>
        <v>13.5</v>
      </c>
      <c r="O32" s="499">
        <f>[1]Talents!K32</f>
        <v>27</v>
      </c>
      <c r="P32" s="235">
        <f>[1]Talents!M32</f>
        <v>70</v>
      </c>
      <c r="Q32" s="78">
        <v>4</v>
      </c>
      <c r="R32" s="567" t="s">
        <v>246</v>
      </c>
      <c r="S32" s="644">
        <v>35</v>
      </c>
      <c r="T32" s="499">
        <f>[1]Talents!Z32</f>
        <v>13</v>
      </c>
      <c r="U32" s="499">
        <f>[1]Talents!AA32</f>
        <v>26</v>
      </c>
      <c r="V32" s="235">
        <f>[1]Talents!AC32</f>
        <v>75</v>
      </c>
      <c r="W32" s="78"/>
      <c r="X32" s="181" t="s">
        <v>1277</v>
      </c>
      <c r="Y32" s="182"/>
      <c r="Z32" s="183" t="s">
        <v>1278</v>
      </c>
      <c r="AA32" s="183" t="s">
        <v>1026</v>
      </c>
      <c r="AB32" s="453">
        <v>20</v>
      </c>
      <c r="AC32" s="410" t="s">
        <v>139</v>
      </c>
      <c r="AD32" s="450"/>
      <c r="AE32" s="184"/>
      <c r="AF32" s="185" t="s">
        <v>1280</v>
      </c>
      <c r="AG32" s="186"/>
      <c r="AH32" s="404"/>
      <c r="AI32" s="187" t="s">
        <v>135</v>
      </c>
      <c r="AJ32" s="108" t="s">
        <v>165</v>
      </c>
      <c r="AK32" s="109"/>
      <c r="AL32" s="479"/>
    </row>
    <row r="33" spans="1:38" ht="13.5" thickBot="1" x14ac:dyDescent="0.35">
      <c r="A33" s="80" t="s">
        <v>72</v>
      </c>
      <c r="B33" s="159">
        <v>60</v>
      </c>
      <c r="C33" s="188">
        <v>0</v>
      </c>
      <c r="D33" s="92" t="s">
        <v>1262</v>
      </c>
      <c r="E33" s="82"/>
      <c r="F33" s="79" t="s">
        <v>107</v>
      </c>
      <c r="G33" s="233">
        <f>[1]Perso!J33</f>
        <v>14752</v>
      </c>
      <c r="H33" s="116">
        <v>0</v>
      </c>
      <c r="I33" s="82"/>
      <c r="L33" s="76" t="s">
        <v>216</v>
      </c>
      <c r="M33" s="77"/>
      <c r="N33" s="499">
        <f>[1]Talents!J33</f>
        <v>19</v>
      </c>
      <c r="O33" s="499">
        <f>[1]Talents!K33</f>
        <v>38</v>
      </c>
      <c r="P33" s="235">
        <f>[1]Talents!M33</f>
        <v>80</v>
      </c>
      <c r="Q33" s="78"/>
      <c r="R33" s="76" t="s">
        <v>247</v>
      </c>
      <c r="S33" s="77">
        <v>52</v>
      </c>
      <c r="T33" s="499">
        <f>[1]Talents!Z33</f>
        <v>9</v>
      </c>
      <c r="U33" s="499">
        <f>[1]Talents!AA33</f>
        <v>18</v>
      </c>
      <c r="V33" s="235">
        <f>[1]Talents!AC33</f>
        <v>66</v>
      </c>
      <c r="W33" s="78">
        <v>1</v>
      </c>
      <c r="X33" s="189" t="s">
        <v>1279</v>
      </c>
      <c r="Y33" s="190"/>
      <c r="Z33" s="191" t="s">
        <v>163</v>
      </c>
      <c r="AA33" s="191"/>
      <c r="AB33" s="449">
        <v>-1</v>
      </c>
      <c r="AC33" s="411" t="s">
        <v>140</v>
      </c>
      <c r="AD33" s="451"/>
      <c r="AE33" s="192" t="s">
        <v>1281</v>
      </c>
      <c r="AF33" s="192" t="s">
        <v>1282</v>
      </c>
      <c r="AG33" s="192" t="s">
        <v>1283</v>
      </c>
      <c r="AH33" s="192"/>
      <c r="AI33" s="417">
        <f>ROUND($AB$35+$AD35+$AI$29,0)</f>
        <v>26</v>
      </c>
      <c r="AJ33" s="193" t="s">
        <v>156</v>
      </c>
      <c r="AK33" s="194" t="s">
        <v>145</v>
      </c>
      <c r="AL33" s="506" t="s">
        <v>143</v>
      </c>
    </row>
    <row r="34" spans="1:38" ht="13" x14ac:dyDescent="0.3">
      <c r="A34" s="80" t="s">
        <v>98</v>
      </c>
      <c r="B34" s="159">
        <v>64</v>
      </c>
      <c r="C34" s="188">
        <v>0</v>
      </c>
      <c r="D34" s="92" t="s">
        <v>1263</v>
      </c>
      <c r="E34" s="82"/>
      <c r="F34" s="79" t="s">
        <v>43</v>
      </c>
      <c r="G34" s="233"/>
      <c r="H34" s="81">
        <v>0</v>
      </c>
      <c r="I34" s="82"/>
      <c r="L34" s="76" t="s">
        <v>1124</v>
      </c>
      <c r="M34" s="77"/>
      <c r="N34" s="499">
        <f>[1]Talents!J34</f>
        <v>12.5</v>
      </c>
      <c r="O34" s="499">
        <f>[1]Talents!K34</f>
        <v>25</v>
      </c>
      <c r="P34" s="235">
        <f>[1]Talents!M34</f>
        <v>65</v>
      </c>
      <c r="Q34" s="78"/>
      <c r="R34" s="76" t="s">
        <v>248</v>
      </c>
      <c r="S34" s="77"/>
      <c r="T34" s="499">
        <f>[1]Talents!Z34</f>
        <v>8.5</v>
      </c>
      <c r="U34" s="499">
        <f>[1]Talents!AA34</f>
        <v>17</v>
      </c>
      <c r="V34" s="235">
        <f>[1]Talents!AC34</f>
        <v>62</v>
      </c>
      <c r="W34" s="78"/>
      <c r="X34" s="189"/>
      <c r="Y34" s="195"/>
      <c r="Z34" s="196" t="s">
        <v>1088</v>
      </c>
      <c r="AA34" s="447">
        <v>3</v>
      </c>
      <c r="AB34" s="449">
        <v>6</v>
      </c>
      <c r="AC34" s="411" t="s">
        <v>1086</v>
      </c>
      <c r="AD34" s="451"/>
      <c r="AE34" s="490">
        <f>ROUND($G$12+S49/5+$AG$27+$AD32,0)</f>
        <v>39</v>
      </c>
      <c r="AF34" s="491">
        <f>ROUND($G$13+$AH$27+$AD33,0)</f>
        <v>11</v>
      </c>
      <c r="AG34" s="492">
        <f>AF34+$Y$26</f>
        <v>22</v>
      </c>
      <c r="AH34" s="405"/>
      <c r="AI34" s="197" t="s">
        <v>138</v>
      </c>
      <c r="AJ34" s="100" t="s">
        <v>152</v>
      </c>
      <c r="AK34" s="101">
        <v>2</v>
      </c>
      <c r="AL34" s="105">
        <v>7</v>
      </c>
    </row>
    <row r="35" spans="1:38" ht="13.5" thickBot="1" x14ac:dyDescent="0.35">
      <c r="A35" s="80" t="s">
        <v>73</v>
      </c>
      <c r="B35" s="159">
        <v>63</v>
      </c>
      <c r="C35" s="188">
        <v>0</v>
      </c>
      <c r="D35" s="92" t="s">
        <v>1264</v>
      </c>
      <c r="E35" s="82"/>
      <c r="F35" s="80" t="s">
        <v>308</v>
      </c>
      <c r="G35" s="233">
        <f>[1]Perso!J35</f>
        <v>20</v>
      </c>
      <c r="H35" s="116">
        <v>0</v>
      </c>
      <c r="I35" s="82"/>
      <c r="L35" s="76" t="s">
        <v>217</v>
      </c>
      <c r="M35" s="77">
        <v>24</v>
      </c>
      <c r="N35" s="499">
        <f>[1]Talents!J35</f>
        <v>8.5</v>
      </c>
      <c r="O35" s="499">
        <f>[1]Talents!K35</f>
        <v>17</v>
      </c>
      <c r="P35" s="235">
        <f>[1]Talents!M35</f>
        <v>60</v>
      </c>
      <c r="Q35" s="78"/>
      <c r="R35" s="76" t="s">
        <v>249</v>
      </c>
      <c r="S35" s="77"/>
      <c r="T35" s="499">
        <f>[1]Talents!Z35</f>
        <v>17.5</v>
      </c>
      <c r="U35" s="499">
        <f>[1]Talents!AA35</f>
        <v>35</v>
      </c>
      <c r="V35" s="235">
        <f>[1]Talents!AC35</f>
        <v>70</v>
      </c>
      <c r="W35" s="78"/>
      <c r="X35" s="198"/>
      <c r="Y35" s="199"/>
      <c r="Z35" s="200" t="s">
        <v>164</v>
      </c>
      <c r="AA35" s="191"/>
      <c r="AB35" s="454">
        <v>10</v>
      </c>
      <c r="AC35" s="412" t="s">
        <v>1087</v>
      </c>
      <c r="AD35" s="452"/>
      <c r="AE35" s="201" t="s">
        <v>139</v>
      </c>
      <c r="AF35" s="202" t="s">
        <v>140</v>
      </c>
      <c r="AG35" s="203" t="s">
        <v>1090</v>
      </c>
      <c r="AH35" s="203"/>
      <c r="AI35" s="413" t="str">
        <f>ROUND($G$27+$AA34+$AI$27+$AD34,0)&amp;"/"&amp;ROUND($AB34+$G$27+$AI$27+$AD34,0)</f>
        <v>11/14</v>
      </c>
      <c r="AJ35" s="100">
        <v>3</v>
      </c>
      <c r="AK35" s="101">
        <v>1</v>
      </c>
      <c r="AL35" s="478"/>
    </row>
    <row r="36" spans="1:38" ht="14" thickTop="1" thickBot="1" x14ac:dyDescent="0.35">
      <c r="A36" s="80" t="s">
        <v>99</v>
      </c>
      <c r="B36" s="159">
        <v>55</v>
      </c>
      <c r="C36" s="188">
        <v>0</v>
      </c>
      <c r="D36" s="92" t="s">
        <v>1265</v>
      </c>
      <c r="E36" s="82"/>
      <c r="F36" s="79" t="s">
        <v>492</v>
      </c>
      <c r="G36" s="233">
        <f>[1]Perso!J36</f>
        <v>8</v>
      </c>
      <c r="H36" s="116">
        <v>0</v>
      </c>
      <c r="I36" s="82"/>
      <c r="L36" s="567" t="s">
        <v>218</v>
      </c>
      <c r="M36" s="644">
        <v>50</v>
      </c>
      <c r="N36" s="499">
        <f>[1]Talents!J36</f>
        <v>13.5</v>
      </c>
      <c r="O36" s="499">
        <f>[1]Talents!K36</f>
        <v>27</v>
      </c>
      <c r="P36" s="235">
        <f>[1]Talents!M36</f>
        <v>80</v>
      </c>
      <c r="Q36" s="78">
        <v>3</v>
      </c>
      <c r="R36" s="112"/>
      <c r="S36" s="77"/>
      <c r="T36" s="499">
        <f>[1]Talents!Z36</f>
        <v>0</v>
      </c>
      <c r="U36" s="499">
        <f>[1]Talents!AA36</f>
        <v>0</v>
      </c>
      <c r="V36" s="235">
        <f>[1]Talents!AC36</f>
        <v>0</v>
      </c>
      <c r="W36" s="78"/>
      <c r="X36" s="181"/>
      <c r="Y36" s="195"/>
      <c r="Z36" s="183"/>
      <c r="AA36" s="183"/>
      <c r="AB36" s="453"/>
      <c r="AC36" s="410" t="s">
        <v>139</v>
      </c>
      <c r="AD36" s="450"/>
      <c r="AE36" s="184"/>
      <c r="AF36" s="185"/>
      <c r="AG36" s="204"/>
      <c r="AH36" s="406"/>
      <c r="AI36" s="197" t="s">
        <v>135</v>
      </c>
      <c r="AJ36" s="108" t="s">
        <v>165</v>
      </c>
      <c r="AK36" s="109">
        <v>1</v>
      </c>
      <c r="AL36" s="479"/>
    </row>
    <row r="37" spans="1:38" ht="13.5" thickBot="1" x14ac:dyDescent="0.35">
      <c r="A37" s="89" t="s">
        <v>74</v>
      </c>
      <c r="B37" s="118">
        <v>60</v>
      </c>
      <c r="C37" s="205">
        <v>0</v>
      </c>
      <c r="D37" s="92"/>
      <c r="E37" s="82"/>
      <c r="F37" s="79" t="s">
        <v>493</v>
      </c>
      <c r="G37" s="233">
        <f>[1]Perso!J37</f>
        <v>12</v>
      </c>
      <c r="H37" s="116">
        <v>0</v>
      </c>
      <c r="I37" s="82"/>
      <c r="L37" s="76" t="s">
        <v>219</v>
      </c>
      <c r="M37" s="77"/>
      <c r="N37" s="499">
        <f>[1]Talents!J37</f>
        <v>17.5</v>
      </c>
      <c r="O37" s="499">
        <f>[1]Talents!K37</f>
        <v>35</v>
      </c>
      <c r="P37" s="235">
        <f>[1]Talents!M37</f>
        <v>80</v>
      </c>
      <c r="Q37" s="78"/>
      <c r="R37" s="206"/>
      <c r="S37" s="207"/>
      <c r="T37" s="500">
        <f>[1]Talents!Z37</f>
        <v>0</v>
      </c>
      <c r="U37" s="500">
        <f>[1]Talents!AA37</f>
        <v>0</v>
      </c>
      <c r="V37" s="498"/>
      <c r="W37" s="208"/>
      <c r="X37" s="189"/>
      <c r="Y37" s="195"/>
      <c r="Z37" s="191" t="s">
        <v>163</v>
      </c>
      <c r="AA37" s="191"/>
      <c r="AB37" s="449"/>
      <c r="AC37" s="411" t="s">
        <v>140</v>
      </c>
      <c r="AD37" s="451"/>
      <c r="AE37" s="192"/>
      <c r="AF37" s="192"/>
      <c r="AG37" s="192"/>
      <c r="AH37" s="192"/>
      <c r="AI37" s="417">
        <f>ROUND(AB39+$AD39+$AI$29,0)</f>
        <v>16</v>
      </c>
      <c r="AJ37" s="94" t="s">
        <v>157</v>
      </c>
      <c r="AK37" s="111" t="s">
        <v>145</v>
      </c>
      <c r="AL37" s="506" t="s">
        <v>143</v>
      </c>
    </row>
    <row r="38" spans="1:38" ht="13" x14ac:dyDescent="0.3">
      <c r="D38" s="501" t="s">
        <v>165</v>
      </c>
      <c r="E38" s="82"/>
      <c r="F38" s="79" t="s">
        <v>108</v>
      </c>
      <c r="G38" s="233">
        <f>[1]Perso!J38</f>
        <v>0</v>
      </c>
      <c r="H38" s="116">
        <v>0</v>
      </c>
      <c r="I38" s="82"/>
      <c r="L38" s="76" t="s">
        <v>1169</v>
      </c>
      <c r="M38" s="77"/>
      <c r="N38" s="499">
        <f>[1]Talents!J38</f>
        <v>12</v>
      </c>
      <c r="O38" s="499">
        <f>[1]Talents!K38</f>
        <v>24</v>
      </c>
      <c r="P38" s="235">
        <f>[1]Talents!M38</f>
        <v>69</v>
      </c>
      <c r="Q38" s="78"/>
      <c r="R38" s="206"/>
      <c r="S38" s="207"/>
      <c r="T38" s="500">
        <f>[1]Talents!Z38</f>
        <v>0</v>
      </c>
      <c r="U38" s="500">
        <f>[1]Talents!AA38</f>
        <v>0</v>
      </c>
      <c r="V38" s="498"/>
      <c r="W38" s="208"/>
      <c r="X38" s="189"/>
      <c r="Y38" s="195"/>
      <c r="Z38" s="196" t="s">
        <v>166</v>
      </c>
      <c r="AA38" s="447"/>
      <c r="AB38" s="448"/>
      <c r="AC38" s="411" t="s">
        <v>1086</v>
      </c>
      <c r="AD38" s="451"/>
      <c r="AE38" s="490">
        <f>ROUND($G$12+S53/5+$AG$27+$AD36,0)</f>
        <v>30</v>
      </c>
      <c r="AF38" s="491">
        <f>ROUND($G$13+$AH$27+$AD37,0)</f>
        <v>11</v>
      </c>
      <c r="AG38" s="492">
        <f>AF38+$Y$26</f>
        <v>22</v>
      </c>
      <c r="AH38" s="405"/>
      <c r="AI38" s="197" t="s">
        <v>138</v>
      </c>
      <c r="AJ38" s="100" t="s">
        <v>152</v>
      </c>
      <c r="AK38" s="101">
        <v>2</v>
      </c>
      <c r="AL38" s="105">
        <v>7</v>
      </c>
    </row>
    <row r="39" spans="1:38" ht="13.5" thickBot="1" x14ac:dyDescent="0.35">
      <c r="B39" s="112" t="s">
        <v>173</v>
      </c>
      <c r="D39" s="501" t="s">
        <v>165</v>
      </c>
      <c r="E39" s="82"/>
      <c r="F39" s="79" t="s">
        <v>494</v>
      </c>
      <c r="G39" s="233" t="str">
        <f>[1]Perso!J39</f>
        <v>6 /+ 0</v>
      </c>
      <c r="H39" s="116">
        <v>0</v>
      </c>
      <c r="I39" s="160">
        <v>0</v>
      </c>
      <c r="L39" s="76" t="s">
        <v>220</v>
      </c>
      <c r="M39" s="77"/>
      <c r="N39" s="499">
        <f>[1]Talents!J39</f>
        <v>8.5</v>
      </c>
      <c r="O39" s="499">
        <f>[1]Talents!K39</f>
        <v>17</v>
      </c>
      <c r="P39" s="235">
        <f>[1]Talents!M39</f>
        <v>51</v>
      </c>
      <c r="Q39" s="78"/>
      <c r="R39" s="206"/>
      <c r="S39" s="207"/>
      <c r="T39" s="500">
        <f>[1]Talents!Z39</f>
        <v>0</v>
      </c>
      <c r="U39" s="500">
        <f>[1]Talents!AA39</f>
        <v>0</v>
      </c>
      <c r="V39" s="498"/>
      <c r="W39" s="208"/>
      <c r="X39" s="198"/>
      <c r="Y39" s="199"/>
      <c r="Z39" s="200" t="s">
        <v>164</v>
      </c>
      <c r="AA39" s="191"/>
      <c r="AB39" s="454"/>
      <c r="AC39" s="412" t="s">
        <v>1087</v>
      </c>
      <c r="AD39" s="452"/>
      <c r="AE39" s="209" t="s">
        <v>139</v>
      </c>
      <c r="AF39" s="210" t="s">
        <v>140</v>
      </c>
      <c r="AG39" s="203" t="s">
        <v>1090</v>
      </c>
      <c r="AH39" s="203"/>
      <c r="AI39" s="413" t="str">
        <f>ROUND($G$27+$AA38+$AI$27+$AD38,0)&amp;"/"&amp;ROUND($AB38+$G$27+$AI$27+$AD38,0)</f>
        <v>8/8</v>
      </c>
      <c r="AJ39" s="100">
        <v>3</v>
      </c>
      <c r="AK39" s="101">
        <v>1</v>
      </c>
      <c r="AL39" s="478"/>
    </row>
    <row r="40" spans="1:38" ht="14" thickTop="1" thickBot="1" x14ac:dyDescent="0.35">
      <c r="A40" s="68" t="s">
        <v>100</v>
      </c>
      <c r="B40" s="103" t="s">
        <v>1266</v>
      </c>
      <c r="C40" s="98" t="s">
        <v>1267</v>
      </c>
      <c r="D40" s="103" t="s">
        <v>1268</v>
      </c>
      <c r="E40" s="70"/>
      <c r="F40" s="211" t="s">
        <v>487</v>
      </c>
      <c r="G40" s="233">
        <f>[1]Perso!J40</f>
        <v>12</v>
      </c>
      <c r="H40" s="212"/>
      <c r="I40" s="82"/>
      <c r="L40" s="76" t="s">
        <v>221</v>
      </c>
      <c r="M40" s="77"/>
      <c r="N40" s="499">
        <f>[1]Talents!J40</f>
        <v>8.5</v>
      </c>
      <c r="O40" s="499">
        <f>[1]Talents!K40</f>
        <v>17</v>
      </c>
      <c r="P40" s="235">
        <f>[1]Talents!M40</f>
        <v>57</v>
      </c>
      <c r="Q40" s="78"/>
      <c r="R40" s="213" t="s">
        <v>125</v>
      </c>
      <c r="S40" s="214"/>
      <c r="T40" s="499" t="str">
        <f>[1]Talents!Z40</f>
        <v>N1</v>
      </c>
      <c r="U40" s="499" t="str">
        <f>[1]Talents!AA40</f>
        <v>N2</v>
      </c>
      <c r="V40" s="235" t="str">
        <f>[1]Talents!AC40</f>
        <v>N3</v>
      </c>
      <c r="W40" s="215"/>
      <c r="X40" s="181" t="s">
        <v>1284</v>
      </c>
      <c r="Y40" s="195"/>
      <c r="Z40" s="183" t="s">
        <v>1285</v>
      </c>
      <c r="AA40" s="183" t="s">
        <v>1026</v>
      </c>
      <c r="AB40" s="453">
        <v>20</v>
      </c>
      <c r="AC40" s="410" t="s">
        <v>139</v>
      </c>
      <c r="AD40" s="450"/>
      <c r="AE40" s="184"/>
      <c r="AF40" s="185" t="s">
        <v>1287</v>
      </c>
      <c r="AG40" s="204"/>
      <c r="AH40" s="406"/>
      <c r="AI40" s="197" t="s">
        <v>135</v>
      </c>
      <c r="AJ40" s="108" t="s">
        <v>165</v>
      </c>
      <c r="AK40" s="109">
        <v>1</v>
      </c>
      <c r="AL40" s="479"/>
    </row>
    <row r="41" spans="1:38" ht="13.5" thickBot="1" x14ac:dyDescent="0.35">
      <c r="A41" s="80" t="s">
        <v>101</v>
      </c>
      <c r="B41" s="74" t="s">
        <v>1269</v>
      </c>
      <c r="C41" s="92"/>
      <c r="D41" s="74" t="s">
        <v>1270</v>
      </c>
      <c r="E41" s="82"/>
      <c r="F41" s="79" t="s">
        <v>18</v>
      </c>
      <c r="G41" s="233">
        <f>[1]Perso!J41</f>
        <v>91</v>
      </c>
      <c r="H41" s="116">
        <v>-2</v>
      </c>
      <c r="I41" s="82"/>
      <c r="L41" s="76" t="s">
        <v>222</v>
      </c>
      <c r="M41" s="77"/>
      <c r="N41" s="499">
        <f>[1]Talents!J41</f>
        <v>9</v>
      </c>
      <c r="O41" s="499">
        <f>[1]Talents!K41</f>
        <v>18</v>
      </c>
      <c r="P41" s="235">
        <f>[1]Talents!M41</f>
        <v>60</v>
      </c>
      <c r="Q41" s="78"/>
      <c r="R41" s="76" t="s">
        <v>250</v>
      </c>
      <c r="S41" s="77">
        <v>23</v>
      </c>
      <c r="T41" s="499">
        <f>[1]Talents!Z41</f>
        <v>19</v>
      </c>
      <c r="U41" s="499">
        <f>[1]Talents!AA41</f>
        <v>38</v>
      </c>
      <c r="V41" s="235">
        <f>[1]Talents!AC41</f>
        <v>70</v>
      </c>
      <c r="W41" s="78"/>
      <c r="X41" s="189" t="s">
        <v>1286</v>
      </c>
      <c r="Y41" s="195"/>
      <c r="Z41" s="191" t="s">
        <v>163</v>
      </c>
      <c r="AA41" s="191"/>
      <c r="AB41" s="449">
        <v>-2</v>
      </c>
      <c r="AC41" s="411" t="s">
        <v>140</v>
      </c>
      <c r="AD41" s="451"/>
      <c r="AE41" s="192" t="s">
        <v>1288</v>
      </c>
      <c r="AF41" s="192" t="s">
        <v>1289</v>
      </c>
      <c r="AG41" s="192" t="s">
        <v>1290</v>
      </c>
      <c r="AH41" s="192"/>
      <c r="AI41" s="417">
        <f>ROUND(AB43+$AD43+$AI$29,0)</f>
        <v>6</v>
      </c>
      <c r="AJ41" s="94" t="s">
        <v>158</v>
      </c>
      <c r="AK41" s="111" t="s">
        <v>145</v>
      </c>
      <c r="AL41" s="506" t="s">
        <v>143</v>
      </c>
    </row>
    <row r="42" spans="1:38" ht="13" x14ac:dyDescent="0.3">
      <c r="A42" s="80" t="s">
        <v>102</v>
      </c>
      <c r="B42" s="74" t="s">
        <v>1271</v>
      </c>
      <c r="C42" s="92" t="s">
        <v>1272</v>
      </c>
      <c r="D42" s="74" t="s">
        <v>1273</v>
      </c>
      <c r="E42" s="82"/>
      <c r="F42" s="83" t="s">
        <v>44</v>
      </c>
      <c r="G42" s="233">
        <f>[1]Perso!J42</f>
        <v>9</v>
      </c>
      <c r="H42" s="116">
        <v>0</v>
      </c>
      <c r="I42" s="82"/>
      <c r="L42" s="76" t="s">
        <v>297</v>
      </c>
      <c r="M42" s="77">
        <v>33</v>
      </c>
      <c r="N42" s="499">
        <f>[1]Talents!J42</f>
        <v>9</v>
      </c>
      <c r="O42" s="499">
        <f>[1]Talents!K42</f>
        <v>18</v>
      </c>
      <c r="P42" s="235">
        <f>[1]Talents!M42</f>
        <v>38</v>
      </c>
      <c r="Q42" s="78">
        <v>1</v>
      </c>
      <c r="R42" s="76" t="s">
        <v>251</v>
      </c>
      <c r="S42" s="77">
        <v>8.5</v>
      </c>
      <c r="T42" s="499">
        <f>[1]Talents!Z42</f>
        <v>13</v>
      </c>
      <c r="U42" s="499">
        <f>[1]Talents!AA42</f>
        <v>26</v>
      </c>
      <c r="V42" s="235">
        <f>[1]Talents!AC42</f>
        <v>70</v>
      </c>
      <c r="W42" s="78"/>
      <c r="X42" s="189"/>
      <c r="Y42" s="195"/>
      <c r="Z42" s="196" t="s">
        <v>166</v>
      </c>
      <c r="AA42" s="447">
        <v>3</v>
      </c>
      <c r="AB42" s="448">
        <v>4</v>
      </c>
      <c r="AC42" s="411" t="s">
        <v>1086</v>
      </c>
      <c r="AD42" s="451"/>
      <c r="AE42" s="490">
        <f>ROUND($G$12+$S49/5+$AG$27+$AD40,0)</f>
        <v>39</v>
      </c>
      <c r="AF42" s="491">
        <f>ROUND($G$13+$AH$27+$AD41,0)</f>
        <v>11</v>
      </c>
      <c r="AG42" s="492">
        <f>AF42+$Y$26</f>
        <v>22</v>
      </c>
      <c r="AH42" s="405"/>
      <c r="AI42" s="197" t="s">
        <v>138</v>
      </c>
      <c r="AJ42" s="100" t="s">
        <v>146</v>
      </c>
      <c r="AK42" s="101">
        <v>2</v>
      </c>
      <c r="AL42" s="105">
        <v>7</v>
      </c>
    </row>
    <row r="43" spans="1:38" ht="13.5" thickBot="1" x14ac:dyDescent="0.35">
      <c r="A43" s="89" t="s">
        <v>103</v>
      </c>
      <c r="B43" s="97" t="s">
        <v>1274</v>
      </c>
      <c r="C43" s="96" t="s">
        <v>165</v>
      </c>
      <c r="D43" s="97"/>
      <c r="E43" s="90"/>
      <c r="F43" s="83" t="s">
        <v>109</v>
      </c>
      <c r="G43" s="233">
        <f>[1]Perso!J43</f>
        <v>46.75</v>
      </c>
      <c r="H43" s="116">
        <v>0</v>
      </c>
      <c r="I43" s="82"/>
      <c r="L43" s="76" t="s">
        <v>223</v>
      </c>
      <c r="M43" s="77"/>
      <c r="N43" s="499">
        <f>[1]Talents!J43</f>
        <v>12</v>
      </c>
      <c r="O43" s="499">
        <f>[1]Talents!K43</f>
        <v>24</v>
      </c>
      <c r="P43" s="235">
        <f>[1]Talents!M43</f>
        <v>56</v>
      </c>
      <c r="Q43" s="78"/>
      <c r="R43" s="76" t="s">
        <v>252</v>
      </c>
      <c r="S43" s="77">
        <v>16.5</v>
      </c>
      <c r="T43" s="499">
        <f>[1]Talents!Z43</f>
        <v>19</v>
      </c>
      <c r="U43" s="499">
        <f>[1]Talents!AA43</f>
        <v>38</v>
      </c>
      <c r="V43" s="235">
        <f>[1]Talents!AC43</f>
        <v>70</v>
      </c>
      <c r="W43" s="78"/>
      <c r="X43" s="198"/>
      <c r="Y43" s="199"/>
      <c r="Z43" s="200" t="s">
        <v>164</v>
      </c>
      <c r="AA43" s="191"/>
      <c r="AB43" s="454">
        <v>-10</v>
      </c>
      <c r="AC43" s="412" t="s">
        <v>1087</v>
      </c>
      <c r="AD43" s="452"/>
      <c r="AE43" s="209" t="s">
        <v>139</v>
      </c>
      <c r="AF43" s="210" t="s">
        <v>140</v>
      </c>
      <c r="AG43" s="203" t="s">
        <v>1090</v>
      </c>
      <c r="AH43" s="203"/>
      <c r="AI43" s="413" t="str">
        <f>ROUND($G$27+$AA42+$AI$27+$AD42,0)&amp;"/"&amp;ROUND($AB42+$G$27+$AI$27+$AD42,0)</f>
        <v>11/12</v>
      </c>
      <c r="AJ43" s="100">
        <v>4</v>
      </c>
      <c r="AK43" s="101">
        <v>1</v>
      </c>
      <c r="AL43" s="478"/>
    </row>
    <row r="44" spans="1:38" ht="13.5" thickBot="1" x14ac:dyDescent="0.35">
      <c r="C44" s="216" t="s">
        <v>311</v>
      </c>
      <c r="D44" s="112"/>
      <c r="F44" s="83" t="s">
        <v>19</v>
      </c>
      <c r="G44" s="233" t="str">
        <f>[1]Perso!J44</f>
        <v>2 PdN/j</v>
      </c>
      <c r="H44" s="116">
        <v>0</v>
      </c>
      <c r="I44" s="82"/>
      <c r="L44" s="76" t="s">
        <v>224</v>
      </c>
      <c r="M44" s="77"/>
      <c r="N44" s="499">
        <f>[1]Talents!J44</f>
        <v>17.5</v>
      </c>
      <c r="O44" s="499">
        <f>[1]Talents!K44</f>
        <v>35</v>
      </c>
      <c r="P44" s="235">
        <f>[1]Talents!M44</f>
        <v>80</v>
      </c>
      <c r="Q44" s="78"/>
      <c r="R44" s="76" t="s">
        <v>253</v>
      </c>
      <c r="S44" s="77">
        <v>61</v>
      </c>
      <c r="T44" s="499">
        <f>[1]Talents!Z44</f>
        <v>13</v>
      </c>
      <c r="U44" s="499">
        <f>[1]Talents!AA44</f>
        <v>26</v>
      </c>
      <c r="V44" s="235">
        <f>[1]Talents!AC44</f>
        <v>70</v>
      </c>
      <c r="W44" s="78"/>
      <c r="X44" s="181"/>
      <c r="Y44" s="195"/>
      <c r="Z44" s="183" t="s">
        <v>165</v>
      </c>
      <c r="AA44" s="183"/>
      <c r="AB44" s="453"/>
      <c r="AC44" s="410" t="s">
        <v>139</v>
      </c>
      <c r="AD44" s="450"/>
      <c r="AE44" s="184"/>
      <c r="AF44" s="185"/>
      <c r="AG44" s="204"/>
      <c r="AH44" s="406"/>
      <c r="AI44" s="197" t="s">
        <v>135</v>
      </c>
      <c r="AJ44" s="108" t="s">
        <v>165</v>
      </c>
      <c r="AK44" s="109">
        <v>1</v>
      </c>
      <c r="AL44" s="479"/>
    </row>
    <row r="45" spans="1:38" ht="13.5" thickBot="1" x14ac:dyDescent="0.35">
      <c r="F45" s="79" t="s">
        <v>110</v>
      </c>
      <c r="G45" s="233" t="str">
        <f>[1]Perso!J45</f>
        <v>3,6 km/h</v>
      </c>
      <c r="H45" s="116">
        <v>0</v>
      </c>
      <c r="I45" s="82"/>
      <c r="L45" s="429" t="s">
        <v>277</v>
      </c>
      <c r="M45" s="77"/>
      <c r="N45" s="513">
        <f>[1]Talents!J45</f>
        <v>9</v>
      </c>
      <c r="O45" s="513">
        <f>[1]Talents!K45</f>
        <v>18</v>
      </c>
      <c r="P45" s="514">
        <f>[1]Talents!M45</f>
        <v>53</v>
      </c>
      <c r="Q45" s="515"/>
      <c r="R45" s="76" t="s">
        <v>254</v>
      </c>
      <c r="S45" s="77">
        <v>11</v>
      </c>
      <c r="T45" s="499">
        <f>[1]Talents!Z45</f>
        <v>13</v>
      </c>
      <c r="U45" s="499">
        <f>[1]Talents!AA45</f>
        <v>26</v>
      </c>
      <c r="V45" s="235">
        <f>[1]Talents!AC45</f>
        <v>70</v>
      </c>
      <c r="W45" s="78"/>
      <c r="X45" s="189"/>
      <c r="Y45" s="195"/>
      <c r="Z45" s="191" t="s">
        <v>163</v>
      </c>
      <c r="AA45" s="191"/>
      <c r="AB45" s="449"/>
      <c r="AC45" s="411" t="s">
        <v>140</v>
      </c>
      <c r="AD45" s="451"/>
      <c r="AE45" s="192"/>
      <c r="AF45" s="192"/>
      <c r="AG45" s="192"/>
      <c r="AH45" s="192"/>
      <c r="AI45" s="417">
        <f>ROUND(AB47+$AD47+$AI$29,0)</f>
        <v>16</v>
      </c>
      <c r="AJ45" s="94" t="s">
        <v>159</v>
      </c>
      <c r="AK45" s="111" t="s">
        <v>145</v>
      </c>
      <c r="AL45" s="480" t="s">
        <v>143</v>
      </c>
    </row>
    <row r="46" spans="1:38" ht="13.5" thickBot="1" x14ac:dyDescent="0.35">
      <c r="F46" s="79" t="s">
        <v>45</v>
      </c>
      <c r="G46" s="233">
        <f>[1]Perso!J46</f>
        <v>11</v>
      </c>
      <c r="H46" s="116">
        <v>0</v>
      </c>
      <c r="I46" s="82"/>
      <c r="L46" s="141" t="s">
        <v>279</v>
      </c>
      <c r="M46" s="77"/>
      <c r="N46" s="509">
        <f>[1]Talents!J46</f>
        <v>9</v>
      </c>
      <c r="O46" s="509">
        <f>[1]Talents!K46</f>
        <v>18</v>
      </c>
      <c r="P46" s="510">
        <f>[1]Talents!M46</f>
        <v>53</v>
      </c>
      <c r="Q46" s="511"/>
      <c r="R46" s="76" t="s">
        <v>41</v>
      </c>
      <c r="S46" s="77">
        <v>8</v>
      </c>
      <c r="T46" s="499">
        <f>[1]Talents!Z46</f>
        <v>9</v>
      </c>
      <c r="U46" s="499">
        <f>[1]Talents!AA46</f>
        <v>18</v>
      </c>
      <c r="V46" s="235">
        <f>[1]Talents!AC46</f>
        <v>66</v>
      </c>
      <c r="W46" s="78"/>
      <c r="X46" s="189"/>
      <c r="Y46" s="195"/>
      <c r="Z46" s="196" t="s">
        <v>166</v>
      </c>
      <c r="AA46" s="447"/>
      <c r="AB46" s="448"/>
      <c r="AC46" s="411" t="s">
        <v>1086</v>
      </c>
      <c r="AD46" s="451"/>
      <c r="AE46" s="490">
        <f>ROUND($G$12+$S65/5+$AG$27+$AD44,0)</f>
        <v>30</v>
      </c>
      <c r="AF46" s="491">
        <f>ROUND($G$13+$AH$27+$AD45,0)</f>
        <v>11</v>
      </c>
      <c r="AG46" s="492">
        <f>AF46+$Y$26</f>
        <v>22</v>
      </c>
      <c r="AH46" s="405"/>
      <c r="AI46" s="197" t="s">
        <v>138</v>
      </c>
      <c r="AJ46" s="100" t="s">
        <v>146</v>
      </c>
      <c r="AK46" s="101">
        <v>2</v>
      </c>
      <c r="AL46" s="105">
        <v>7</v>
      </c>
    </row>
    <row r="47" spans="1:38" ht="13.5" thickBot="1" x14ac:dyDescent="0.35">
      <c r="F47" s="217" t="s">
        <v>486</v>
      </c>
      <c r="G47" s="233" t="str">
        <f>[1]Perso!J47</f>
        <v>4,5m / 1,5m</v>
      </c>
      <c r="I47" s="90"/>
      <c r="L47" s="429" t="s">
        <v>1168</v>
      </c>
      <c r="M47" s="77"/>
      <c r="N47" s="513">
        <f>[1]Talents!J47</f>
        <v>8.5</v>
      </c>
      <c r="O47" s="513">
        <f>[1]Talents!K47</f>
        <v>17</v>
      </c>
      <c r="P47" s="514">
        <f>[1]Talents!M47</f>
        <v>55</v>
      </c>
      <c r="Q47" s="515"/>
      <c r="R47" s="76" t="s">
        <v>255</v>
      </c>
      <c r="S47" s="77">
        <v>16.5</v>
      </c>
      <c r="T47" s="499">
        <f>[1]Talents!Z47</f>
        <v>19</v>
      </c>
      <c r="U47" s="499">
        <f>[1]Talents!AA47</f>
        <v>38</v>
      </c>
      <c r="V47" s="235">
        <f>[1]Talents!AC47</f>
        <v>70</v>
      </c>
      <c r="W47" s="78"/>
      <c r="X47" s="198"/>
      <c r="Y47" s="199"/>
      <c r="Z47" s="200" t="s">
        <v>164</v>
      </c>
      <c r="AA47" s="191"/>
      <c r="AB47" s="454"/>
      <c r="AC47" s="412" t="s">
        <v>1087</v>
      </c>
      <c r="AD47" s="452"/>
      <c r="AE47" s="209" t="s">
        <v>139</v>
      </c>
      <c r="AF47" s="210" t="s">
        <v>140</v>
      </c>
      <c r="AG47" s="203" t="s">
        <v>1092</v>
      </c>
      <c r="AH47" s="203"/>
      <c r="AI47" s="413" t="str">
        <f>ROUND($G$27+$AA46+$AI$27+$AD46,0)&amp;"/"&amp;ROUND($AB46+$G$27+$AI$27+$AD46,0)</f>
        <v>8/8</v>
      </c>
      <c r="AJ47" s="100">
        <v>4</v>
      </c>
      <c r="AK47" s="101">
        <v>1</v>
      </c>
      <c r="AL47" s="478"/>
    </row>
    <row r="48" spans="1:38" ht="13.5" thickBot="1" x14ac:dyDescent="0.35">
      <c r="L48" s="123" t="s">
        <v>279</v>
      </c>
      <c r="M48" s="77"/>
      <c r="N48" s="499">
        <f>[1]Talents!J48</f>
        <v>8.5</v>
      </c>
      <c r="O48" s="499">
        <f>[1]Talents!K48</f>
        <v>17</v>
      </c>
      <c r="P48" s="235">
        <f>[1]Talents!M48</f>
        <v>55</v>
      </c>
      <c r="Q48" s="78"/>
      <c r="R48" s="76" t="s">
        <v>256</v>
      </c>
      <c r="S48" s="77">
        <v>25</v>
      </c>
      <c r="T48" s="499">
        <f>[1]Talents!Z48</f>
        <v>17.5</v>
      </c>
      <c r="U48" s="499">
        <f>[1]Talents!AA48</f>
        <v>35</v>
      </c>
      <c r="V48" s="235">
        <f>[1]Talents!AC48</f>
        <v>70</v>
      </c>
      <c r="W48" s="78"/>
      <c r="X48" s="638" t="s">
        <v>1291</v>
      </c>
      <c r="Y48" s="218" t="s">
        <v>141</v>
      </c>
      <c r="Z48" s="183" t="s">
        <v>1292</v>
      </c>
      <c r="AA48" s="183" t="s">
        <v>22</v>
      </c>
      <c r="AB48" s="453">
        <v>4</v>
      </c>
      <c r="AC48" s="410" t="s">
        <v>139</v>
      </c>
      <c r="AD48" s="450"/>
      <c r="AE48" s="184"/>
      <c r="AF48" s="185" t="s">
        <v>1293</v>
      </c>
      <c r="AG48" s="219"/>
      <c r="AH48" s="407"/>
      <c r="AI48" s="197" t="s">
        <v>135</v>
      </c>
      <c r="AJ48" s="108" t="s">
        <v>165</v>
      </c>
      <c r="AK48" s="109">
        <v>1</v>
      </c>
      <c r="AL48" s="479"/>
    </row>
    <row r="49" spans="12:35" ht="13.5" thickBot="1" x14ac:dyDescent="0.35">
      <c r="L49" s="141" t="s">
        <v>279</v>
      </c>
      <c r="M49" s="77"/>
      <c r="N49" s="509">
        <f>[1]Talents!J49</f>
        <v>8.5</v>
      </c>
      <c r="O49" s="509">
        <f>[1]Talents!K49</f>
        <v>17</v>
      </c>
      <c r="P49" s="510">
        <f>[1]Talents!M49</f>
        <v>55</v>
      </c>
      <c r="Q49" s="511"/>
      <c r="R49" s="76" t="s">
        <v>257</v>
      </c>
      <c r="S49" s="77">
        <v>54</v>
      </c>
      <c r="T49" s="499">
        <f>[1]Talents!Z49</f>
        <v>19</v>
      </c>
      <c r="U49" s="499">
        <f>[1]Talents!AA49</f>
        <v>38</v>
      </c>
      <c r="V49" s="235">
        <f>[1]Talents!AC49</f>
        <v>70</v>
      </c>
      <c r="W49" s="78"/>
      <c r="X49" s="189"/>
      <c r="Y49" s="195"/>
      <c r="Z49" s="191" t="s">
        <v>163</v>
      </c>
      <c r="AA49" s="191"/>
      <c r="AB49" s="449"/>
      <c r="AC49" s="411" t="s">
        <v>140</v>
      </c>
      <c r="AD49" s="451"/>
      <c r="AE49" s="192" t="s">
        <v>1281</v>
      </c>
      <c r="AF49" s="192" t="s">
        <v>1282</v>
      </c>
      <c r="AG49" s="192" t="s">
        <v>1283</v>
      </c>
      <c r="AH49" s="192"/>
      <c r="AI49" s="417">
        <f>ROUND(AB51+$AD51+$AI$29,0)</f>
        <v>21</v>
      </c>
    </row>
    <row r="50" spans="12:35" ht="13.5" thickBot="1" x14ac:dyDescent="0.35">
      <c r="L50" s="76" t="s">
        <v>1167</v>
      </c>
      <c r="M50" s="77"/>
      <c r="N50" s="499">
        <f>[1]Talents!J50</f>
        <v>8.5</v>
      </c>
      <c r="O50" s="499">
        <f>[1]Talents!K50</f>
        <v>17</v>
      </c>
      <c r="P50" s="235">
        <f>[1]Talents!M50</f>
        <v>51</v>
      </c>
      <c r="Q50" s="78"/>
      <c r="R50" s="76" t="s">
        <v>258</v>
      </c>
      <c r="S50" s="77">
        <v>45</v>
      </c>
      <c r="T50" s="499">
        <f>[1]Talents!Z50</f>
        <v>13.5</v>
      </c>
      <c r="U50" s="499">
        <f>[1]Talents!AA50</f>
        <v>27</v>
      </c>
      <c r="V50" s="235">
        <f>[1]Talents!AC50</f>
        <v>70</v>
      </c>
      <c r="W50" s="78"/>
      <c r="X50" s="189"/>
      <c r="Y50" s="195"/>
      <c r="Z50" s="196" t="s">
        <v>166</v>
      </c>
      <c r="AA50" s="196"/>
      <c r="AB50" s="449">
        <v>17</v>
      </c>
      <c r="AC50" s="411" t="s">
        <v>1086</v>
      </c>
      <c r="AD50" s="451"/>
      <c r="AE50" s="490">
        <f>ROUND($G$12+garba/5+$AG$27+$AD48,0)</f>
        <v>32</v>
      </c>
      <c r="AF50" s="491">
        <f>ROUND($G$13+$AH$27+$AD49,0)</f>
        <v>11</v>
      </c>
      <c r="AG50" s="489" t="s">
        <v>477</v>
      </c>
      <c r="AH50" s="405"/>
      <c r="AI50" s="197" t="s">
        <v>138</v>
      </c>
    </row>
    <row r="51" spans="12:35" ht="13.5" thickBot="1" x14ac:dyDescent="0.35">
      <c r="L51" s="429" t="s">
        <v>1166</v>
      </c>
      <c r="M51" s="644">
        <v>47</v>
      </c>
      <c r="N51" s="513">
        <f>[1]Talents!J51</f>
        <v>12</v>
      </c>
      <c r="O51" s="513">
        <f>[1]Talents!K51</f>
        <v>24</v>
      </c>
      <c r="P51" s="514">
        <f>[1]Talents!M51</f>
        <v>61</v>
      </c>
      <c r="Q51" s="515"/>
      <c r="R51" s="76" t="s">
        <v>259</v>
      </c>
      <c r="S51" s="77">
        <v>18</v>
      </c>
      <c r="T51" s="499">
        <f>[1]Talents!Z51</f>
        <v>19</v>
      </c>
      <c r="U51" s="499">
        <f>[1]Talents!AA51</f>
        <v>38</v>
      </c>
      <c r="V51" s="235">
        <f>[1]Talents!AC51</f>
        <v>70</v>
      </c>
      <c r="W51" s="78"/>
      <c r="X51" s="220"/>
      <c r="Y51" s="199"/>
      <c r="Z51" s="200" t="s">
        <v>164</v>
      </c>
      <c r="AA51" s="191"/>
      <c r="AB51" s="454">
        <v>5</v>
      </c>
      <c r="AC51" s="412" t="s">
        <v>1087</v>
      </c>
      <c r="AD51" s="452"/>
      <c r="AE51" s="209" t="s">
        <v>139</v>
      </c>
      <c r="AF51" s="210" t="s">
        <v>140</v>
      </c>
      <c r="AG51" s="203"/>
      <c r="AH51" s="203"/>
      <c r="AI51" s="418">
        <f>ROUND($G$27+$AB50+$AI$27+$AD50,0)</f>
        <v>25</v>
      </c>
    </row>
    <row r="52" spans="12:35" ht="13" x14ac:dyDescent="0.3">
      <c r="L52" s="123" t="s">
        <v>279</v>
      </c>
      <c r="M52" s="77"/>
      <c r="N52" s="499">
        <f>[1]Talents!J52</f>
        <v>12</v>
      </c>
      <c r="O52" s="499">
        <f>[1]Talents!K52</f>
        <v>24</v>
      </c>
      <c r="P52" s="235">
        <f>[1]Talents!M52</f>
        <v>61</v>
      </c>
      <c r="Q52" s="78">
        <v>-1</v>
      </c>
      <c r="R52" s="76" t="s">
        <v>260</v>
      </c>
      <c r="S52" s="77">
        <v>42</v>
      </c>
      <c r="T52" s="499">
        <f>[1]Talents!Z52</f>
        <v>9</v>
      </c>
      <c r="U52" s="499">
        <f>[1]Talents!AA52</f>
        <v>18</v>
      </c>
      <c r="V52" s="235">
        <f>[1]Talents!AC52</f>
        <v>66</v>
      </c>
      <c r="W52" s="78"/>
      <c r="X52" s="181"/>
      <c r="Y52" s="218" t="s">
        <v>141</v>
      </c>
      <c r="Z52" s="183" t="s">
        <v>165</v>
      </c>
      <c r="AA52" s="183"/>
      <c r="AB52" s="453"/>
      <c r="AC52" s="410" t="s">
        <v>139</v>
      </c>
      <c r="AD52" s="450"/>
      <c r="AE52" s="184"/>
      <c r="AF52" s="185"/>
      <c r="AG52" s="219"/>
      <c r="AH52" s="407"/>
      <c r="AI52" s="197" t="s">
        <v>135</v>
      </c>
    </row>
    <row r="53" spans="12:35" ht="13.5" thickBot="1" x14ac:dyDescent="0.35">
      <c r="L53" s="123" t="s">
        <v>279</v>
      </c>
      <c r="M53" s="77"/>
      <c r="N53" s="499">
        <f>[1]Talents!J53</f>
        <v>12</v>
      </c>
      <c r="O53" s="499">
        <f>[1]Talents!K53</f>
        <v>24</v>
      </c>
      <c r="P53" s="235">
        <f>[1]Talents!M53</f>
        <v>61</v>
      </c>
      <c r="Q53" s="78"/>
      <c r="R53" s="76" t="s">
        <v>261</v>
      </c>
      <c r="S53" s="77">
        <v>12</v>
      </c>
      <c r="T53" s="499">
        <f>[1]Talents!Z53</f>
        <v>13</v>
      </c>
      <c r="U53" s="499">
        <f>[1]Talents!AA53</f>
        <v>26</v>
      </c>
      <c r="V53" s="235">
        <f>[1]Talents!AC53</f>
        <v>70</v>
      </c>
      <c r="W53" s="78"/>
      <c r="X53" s="189"/>
      <c r="Y53" s="195"/>
      <c r="Z53" s="191" t="s">
        <v>163</v>
      </c>
      <c r="AA53" s="191"/>
      <c r="AB53" s="449"/>
      <c r="AC53" s="411" t="s">
        <v>140</v>
      </c>
      <c r="AD53" s="451"/>
      <c r="AE53" s="192"/>
      <c r="AF53" s="192"/>
      <c r="AG53" s="192"/>
      <c r="AH53" s="192"/>
      <c r="AI53" s="417">
        <f>ROUND(AB55+$AD55+$AI$29,0)</f>
        <v>16</v>
      </c>
    </row>
    <row r="54" spans="12:35" ht="13" x14ac:dyDescent="0.3">
      <c r="L54" s="123" t="s">
        <v>279</v>
      </c>
      <c r="M54" s="77"/>
      <c r="N54" s="499">
        <f>[1]Talents!J54</f>
        <v>12</v>
      </c>
      <c r="O54" s="499">
        <f>[1]Talents!K54</f>
        <v>24</v>
      </c>
      <c r="P54" s="235">
        <f>[1]Talents!M54</f>
        <v>61</v>
      </c>
      <c r="Q54" s="78"/>
      <c r="R54" s="76" t="s">
        <v>23</v>
      </c>
      <c r="S54" s="77">
        <v>44</v>
      </c>
      <c r="T54" s="499">
        <f>[1]Talents!Z54</f>
        <v>17.5</v>
      </c>
      <c r="U54" s="499">
        <f>[1]Talents!AA54</f>
        <v>35</v>
      </c>
      <c r="V54" s="235">
        <f>[1]Talents!AC54</f>
        <v>70</v>
      </c>
      <c r="W54" s="78"/>
      <c r="X54" s="189"/>
      <c r="Y54" s="195"/>
      <c r="Z54" s="196" t="s">
        <v>166</v>
      </c>
      <c r="AA54" s="196"/>
      <c r="AB54" s="449"/>
      <c r="AC54" s="411" t="s">
        <v>1086</v>
      </c>
      <c r="AD54" s="451"/>
      <c r="AE54" s="490">
        <f>ROUND($G$12+$S73/5+$AG$27+$AD52,0)</f>
        <v>28</v>
      </c>
      <c r="AF54" s="491">
        <f>ROUND($G$13+$AH$27+$AD53,0)</f>
        <v>11</v>
      </c>
      <c r="AG54" s="489" t="s">
        <v>477</v>
      </c>
      <c r="AH54" s="405"/>
      <c r="AI54" s="197" t="s">
        <v>138</v>
      </c>
    </row>
    <row r="55" spans="12:35" ht="13.5" thickBot="1" x14ac:dyDescent="0.35">
      <c r="L55" s="141" t="s">
        <v>279</v>
      </c>
      <c r="M55" s="77"/>
      <c r="N55" s="509">
        <f>[1]Talents!J55</f>
        <v>12</v>
      </c>
      <c r="O55" s="509">
        <f>[1]Talents!K55</f>
        <v>24</v>
      </c>
      <c r="P55" s="510">
        <f>[1]Talents!M55</f>
        <v>61</v>
      </c>
      <c r="Q55" s="511"/>
      <c r="R55" s="76" t="s">
        <v>262</v>
      </c>
      <c r="S55" s="77">
        <v>16.5</v>
      </c>
      <c r="T55" s="499">
        <f>[1]Talents!Z55</f>
        <v>19</v>
      </c>
      <c r="U55" s="499">
        <f>[1]Talents!AA55</f>
        <v>38</v>
      </c>
      <c r="V55" s="235">
        <f>[1]Talents!AC55</f>
        <v>70</v>
      </c>
      <c r="W55" s="78"/>
      <c r="X55" s="220"/>
      <c r="Y55" s="221"/>
      <c r="Z55" s="200" t="s">
        <v>164</v>
      </c>
      <c r="AA55" s="191"/>
      <c r="AB55" s="454"/>
      <c r="AC55" s="412" t="s">
        <v>1087</v>
      </c>
      <c r="AD55" s="452"/>
      <c r="AE55" s="209" t="s">
        <v>139</v>
      </c>
      <c r="AF55" s="210" t="s">
        <v>140</v>
      </c>
      <c r="AG55" s="203"/>
      <c r="AH55" s="405"/>
      <c r="AI55" s="418">
        <f>ROUND($G$27+$AB54+$AI$27+$AD54,0)</f>
        <v>8</v>
      </c>
    </row>
    <row r="56" spans="12:35" ht="13" x14ac:dyDescent="0.3">
      <c r="L56" s="429" t="s">
        <v>1030</v>
      </c>
      <c r="M56" s="77"/>
      <c r="N56" s="513">
        <f>[1]Talents!J56</f>
        <v>8.5</v>
      </c>
      <c r="O56" s="513">
        <f>[1]Talents!K56</f>
        <v>17</v>
      </c>
      <c r="P56" s="514">
        <f>[1]Talents!M56</f>
        <v>62</v>
      </c>
      <c r="Q56" s="515"/>
      <c r="R56" s="76" t="s">
        <v>48</v>
      </c>
      <c r="S56" s="77">
        <v>40</v>
      </c>
      <c r="T56" s="499">
        <f>[1]Talents!Z56</f>
        <v>13.5</v>
      </c>
      <c r="U56" s="499">
        <f>[1]Talents!AA56</f>
        <v>27</v>
      </c>
      <c r="V56" s="235">
        <f>[1]Talents!AC56</f>
        <v>70</v>
      </c>
      <c r="W56" s="78"/>
    </row>
    <row r="57" spans="12:35" ht="13" x14ac:dyDescent="0.3">
      <c r="L57" s="123" t="s">
        <v>279</v>
      </c>
      <c r="M57" s="77"/>
      <c r="N57" s="499">
        <f>[1]Talents!J57</f>
        <v>8.5</v>
      </c>
      <c r="O57" s="499">
        <f>[1]Talents!K57</f>
        <v>17</v>
      </c>
      <c r="P57" s="235">
        <f>[1]Talents!M57</f>
        <v>62</v>
      </c>
      <c r="Q57" s="78"/>
      <c r="R57" s="76" t="s">
        <v>263</v>
      </c>
      <c r="S57" s="77">
        <v>8.5</v>
      </c>
      <c r="T57" s="499">
        <f>[1]Talents!Z57</f>
        <v>13</v>
      </c>
      <c r="U57" s="499">
        <f>[1]Talents!AA57</f>
        <v>26</v>
      </c>
      <c r="V57" s="235">
        <f>[1]Talents!AC57</f>
        <v>70</v>
      </c>
      <c r="W57" s="78"/>
    </row>
    <row r="58" spans="12:35" ht="13" x14ac:dyDescent="0.3">
      <c r="L58" s="123" t="s">
        <v>279</v>
      </c>
      <c r="M58" s="77"/>
      <c r="N58" s="499">
        <f>[1]Talents!J58</f>
        <v>8.5</v>
      </c>
      <c r="O58" s="499">
        <f>[1]Talents!K58</f>
        <v>17</v>
      </c>
      <c r="P58" s="235">
        <f>[1]Talents!M58</f>
        <v>62</v>
      </c>
      <c r="Q58" s="78"/>
      <c r="R58" s="76" t="s">
        <v>264</v>
      </c>
      <c r="S58" s="77">
        <v>8.5</v>
      </c>
      <c r="T58" s="499">
        <f>[1]Talents!Z58</f>
        <v>13</v>
      </c>
      <c r="U58" s="499">
        <f>[1]Talents!AA58</f>
        <v>26</v>
      </c>
      <c r="V58" s="235">
        <f>[1]Talents!AC58</f>
        <v>70</v>
      </c>
      <c r="W58" s="78"/>
    </row>
    <row r="59" spans="12:35" ht="13.5" thickBot="1" x14ac:dyDescent="0.35">
      <c r="L59" s="141" t="s">
        <v>279</v>
      </c>
      <c r="M59" s="77"/>
      <c r="N59" s="509">
        <f>[1]Talents!J59</f>
        <v>8.5</v>
      </c>
      <c r="O59" s="509">
        <f>[1]Talents!K59</f>
        <v>17</v>
      </c>
      <c r="P59" s="510">
        <f>[1]Talents!M59</f>
        <v>62</v>
      </c>
      <c r="Q59" s="511"/>
      <c r="R59" s="76" t="s">
        <v>265</v>
      </c>
      <c r="S59" s="77">
        <v>8.5</v>
      </c>
      <c r="T59" s="499">
        <f>[1]Talents!Z59</f>
        <v>13</v>
      </c>
      <c r="U59" s="499">
        <f>[1]Talents!AA59</f>
        <v>26</v>
      </c>
      <c r="V59" s="235">
        <f>[1]Talents!AC59</f>
        <v>70</v>
      </c>
      <c r="W59" s="78"/>
    </row>
    <row r="60" spans="12:35" ht="13" x14ac:dyDescent="0.3">
      <c r="L60" s="429" t="s">
        <v>1170</v>
      </c>
      <c r="M60" s="77"/>
      <c r="N60" s="513">
        <f>[1]Talents!J60</f>
        <v>9</v>
      </c>
      <c r="O60" s="513">
        <f>[1]Talents!K60</f>
        <v>18</v>
      </c>
      <c r="P60" s="514">
        <f>[1]Talents!M60</f>
        <v>46</v>
      </c>
      <c r="Q60" s="515"/>
      <c r="R60" s="76" t="s">
        <v>266</v>
      </c>
      <c r="S60" s="77">
        <v>18</v>
      </c>
      <c r="T60" s="499">
        <f>[1]Talents!Z60</f>
        <v>13</v>
      </c>
      <c r="U60" s="499">
        <f>[1]Talents!AA60</f>
        <v>26</v>
      </c>
      <c r="V60" s="235">
        <f>[1]Talents!AC60</f>
        <v>70</v>
      </c>
      <c r="W60" s="78"/>
    </row>
    <row r="61" spans="12:35" ht="13" x14ac:dyDescent="0.3">
      <c r="L61" s="123" t="s">
        <v>279</v>
      </c>
      <c r="M61" s="77"/>
      <c r="N61" s="499">
        <f>[1]Talents!J61</f>
        <v>9</v>
      </c>
      <c r="O61" s="499">
        <f>[1]Talents!K61</f>
        <v>18</v>
      </c>
      <c r="P61" s="235">
        <f>[1]Talents!M61</f>
        <v>46</v>
      </c>
      <c r="Q61" s="78"/>
      <c r="R61" s="76" t="s">
        <v>20</v>
      </c>
      <c r="S61" s="77">
        <v>5.5</v>
      </c>
      <c r="T61" s="499">
        <f>[1]Talents!Z61</f>
        <v>5.5</v>
      </c>
      <c r="U61" s="499">
        <f>[1]Talents!AA61</f>
        <v>11</v>
      </c>
      <c r="V61" s="235">
        <f>[1]Talents!AC61</f>
        <v>53</v>
      </c>
      <c r="W61" s="78"/>
    </row>
    <row r="62" spans="12:35" ht="13.5" thickBot="1" x14ac:dyDescent="0.35">
      <c r="L62" s="141" t="s">
        <v>279</v>
      </c>
      <c r="M62" s="77"/>
      <c r="N62" s="509">
        <f>[1]Talents!J62</f>
        <v>9</v>
      </c>
      <c r="O62" s="509">
        <f>[1]Talents!K62</f>
        <v>18</v>
      </c>
      <c r="P62" s="510">
        <f>[1]Talents!M62</f>
        <v>46</v>
      </c>
      <c r="Q62" s="511"/>
      <c r="R62" s="76" t="s">
        <v>267</v>
      </c>
      <c r="S62" s="77">
        <v>8.5</v>
      </c>
      <c r="T62" s="499">
        <f>[1]Talents!Z62</f>
        <v>13</v>
      </c>
      <c r="U62" s="499">
        <f>[1]Talents!AA62</f>
        <v>26</v>
      </c>
      <c r="V62" s="235">
        <f>[1]Talents!AC62</f>
        <v>70</v>
      </c>
      <c r="W62" s="78"/>
    </row>
    <row r="63" spans="12:35" ht="13" x14ac:dyDescent="0.3">
      <c r="L63" s="76" t="s">
        <v>225</v>
      </c>
      <c r="M63" s="77"/>
      <c r="N63" s="499">
        <f>[1]Talents!J63</f>
        <v>17.5</v>
      </c>
      <c r="O63" s="499">
        <f>[1]Talents!K63</f>
        <v>35</v>
      </c>
      <c r="P63" s="235">
        <f>[1]Talents!M63</f>
        <v>80</v>
      </c>
      <c r="Q63" s="78"/>
      <c r="R63" s="76" t="s">
        <v>42</v>
      </c>
      <c r="S63" s="77">
        <v>37</v>
      </c>
      <c r="T63" s="499">
        <f>[1]Talents!Z63</f>
        <v>4</v>
      </c>
      <c r="U63" s="499">
        <f>[1]Talents!AA63</f>
        <v>8</v>
      </c>
      <c r="V63" s="235">
        <f>[1]Talents!AC63</f>
        <v>44</v>
      </c>
      <c r="W63" s="78">
        <v>1</v>
      </c>
    </row>
    <row r="64" spans="12:35" ht="13" x14ac:dyDescent="0.3">
      <c r="L64" s="76" t="s">
        <v>51</v>
      </c>
      <c r="M64" s="77"/>
      <c r="N64" s="499">
        <f>[1]Talents!J64</f>
        <v>8.5</v>
      </c>
      <c r="O64" s="499">
        <f>[1]Talents!K64</f>
        <v>17</v>
      </c>
      <c r="P64" s="235">
        <f>[1]Talents!M64</f>
        <v>51</v>
      </c>
      <c r="Q64" s="78"/>
      <c r="R64" s="76" t="s">
        <v>10</v>
      </c>
      <c r="S64" s="77">
        <v>41</v>
      </c>
      <c r="T64" s="499">
        <f>[1]Talents!Z64</f>
        <v>11</v>
      </c>
      <c r="U64" s="499">
        <f>[1]Talents!AA64</f>
        <v>22</v>
      </c>
      <c r="V64" s="235">
        <f>[1]Talents!AC64</f>
        <v>69</v>
      </c>
      <c r="W64" s="78"/>
    </row>
    <row r="65" spans="12:23" ht="13" x14ac:dyDescent="0.3">
      <c r="L65" s="76" t="s">
        <v>226</v>
      </c>
      <c r="M65" s="77"/>
      <c r="N65" s="499">
        <f>[1]Talents!J65</f>
        <v>17.5</v>
      </c>
      <c r="O65" s="499">
        <f>[1]Talents!K65</f>
        <v>35</v>
      </c>
      <c r="P65" s="235">
        <f>[1]Talents!M65</f>
        <v>80</v>
      </c>
      <c r="Q65" s="78"/>
      <c r="R65" s="76" t="s">
        <v>268</v>
      </c>
      <c r="S65" s="77">
        <v>8.5</v>
      </c>
      <c r="T65" s="499">
        <f>[1]Talents!Z65</f>
        <v>12</v>
      </c>
      <c r="U65" s="499">
        <f>[1]Talents!AA65</f>
        <v>24</v>
      </c>
      <c r="V65" s="235">
        <f>[1]Talents!AC65</f>
        <v>70</v>
      </c>
      <c r="W65" s="78"/>
    </row>
    <row r="66" spans="12:23" ht="13" x14ac:dyDescent="0.3">
      <c r="L66" s="76" t="s">
        <v>227</v>
      </c>
      <c r="M66" s="77"/>
      <c r="N66" s="499">
        <f>[1]Talents!J66</f>
        <v>9</v>
      </c>
      <c r="O66" s="499">
        <f>[1]Talents!K66</f>
        <v>18</v>
      </c>
      <c r="P66" s="235">
        <f>[1]Talents!M66</f>
        <v>62</v>
      </c>
      <c r="Q66" s="78"/>
      <c r="R66" s="76" t="s">
        <v>269</v>
      </c>
      <c r="S66" s="77">
        <v>36</v>
      </c>
      <c r="T66" s="499">
        <f>[1]Talents!Z66</f>
        <v>4</v>
      </c>
      <c r="U66" s="499">
        <f>[1]Talents!AA66</f>
        <v>8</v>
      </c>
      <c r="V66" s="235">
        <f>[1]Talents!AC66</f>
        <v>62</v>
      </c>
      <c r="W66" s="78"/>
    </row>
    <row r="67" spans="12:23" ht="13" x14ac:dyDescent="0.3">
      <c r="L67" s="76" t="s">
        <v>228</v>
      </c>
      <c r="M67" s="77">
        <v>57</v>
      </c>
      <c r="N67" s="499">
        <f>[1]Talents!J67</f>
        <v>12</v>
      </c>
      <c r="O67" s="499">
        <f>[1]Talents!K67</f>
        <v>24</v>
      </c>
      <c r="P67" s="235">
        <f>[1]Talents!M67</f>
        <v>64</v>
      </c>
      <c r="Q67" s="78">
        <v>17</v>
      </c>
      <c r="R67" s="76" t="s">
        <v>312</v>
      </c>
      <c r="S67" s="77">
        <v>1</v>
      </c>
      <c r="T67" s="499">
        <f>[1]Talents!Z67</f>
        <v>0</v>
      </c>
      <c r="U67" s="499">
        <f>[1]Talents!AA67</f>
        <v>0</v>
      </c>
      <c r="V67" s="235">
        <f>[1]Talents!AC67</f>
        <v>0</v>
      </c>
      <c r="W67" s="78"/>
    </row>
    <row r="68" spans="12:23" ht="13" x14ac:dyDescent="0.3">
      <c r="L68" s="76" t="s">
        <v>229</v>
      </c>
      <c r="M68" s="77"/>
      <c r="N68" s="499">
        <f>[1]Talents!J68</f>
        <v>9</v>
      </c>
      <c r="O68" s="499">
        <f>[1]Talents!K68</f>
        <v>18</v>
      </c>
      <c r="P68" s="235">
        <f>[1]Talents!M68</f>
        <v>57</v>
      </c>
      <c r="Q68" s="78"/>
      <c r="R68" s="206" t="s">
        <v>165</v>
      </c>
      <c r="S68" s="207">
        <v>0</v>
      </c>
      <c r="T68" s="207"/>
      <c r="U68" s="207"/>
      <c r="V68" s="207"/>
      <c r="W68" s="208"/>
    </row>
    <row r="69" spans="12:23" ht="13" x14ac:dyDescent="0.3">
      <c r="L69" s="76" t="s">
        <v>230</v>
      </c>
      <c r="M69" s="77"/>
      <c r="N69" s="499">
        <f>[1]Talents!J69</f>
        <v>9</v>
      </c>
      <c r="O69" s="499">
        <f>[1]Talents!K69</f>
        <v>18</v>
      </c>
      <c r="P69" s="235">
        <f>[1]Talents!M69</f>
        <v>64</v>
      </c>
      <c r="Q69" s="78"/>
      <c r="R69" s="206" t="s">
        <v>165</v>
      </c>
      <c r="S69" s="207">
        <v>0</v>
      </c>
      <c r="T69" s="207"/>
      <c r="U69" s="207"/>
      <c r="V69" s="207"/>
      <c r="W69" s="208"/>
    </row>
    <row r="70" spans="12:23" ht="13.5" thickBot="1" x14ac:dyDescent="0.35">
      <c r="L70" s="76" t="s">
        <v>231</v>
      </c>
      <c r="M70" s="77"/>
      <c r="N70" s="499">
        <f>[1]Talents!J70</f>
        <v>17.5</v>
      </c>
      <c r="O70" s="499">
        <f>[1]Talents!K70</f>
        <v>35</v>
      </c>
      <c r="P70" s="235">
        <f>[1]Talents!M70</f>
        <v>78</v>
      </c>
      <c r="Q70" s="78"/>
      <c r="R70" s="206" t="s">
        <v>165</v>
      </c>
      <c r="S70" s="207">
        <v>0</v>
      </c>
      <c r="T70" s="207"/>
      <c r="U70" s="207"/>
      <c r="V70" s="207"/>
      <c r="W70" s="208"/>
    </row>
    <row r="71" spans="12:23" ht="13" x14ac:dyDescent="0.3">
      <c r="L71" s="429" t="s">
        <v>280</v>
      </c>
      <c r="M71" s="77"/>
      <c r="N71" s="513">
        <f>[1]Talents!J71</f>
        <v>12</v>
      </c>
      <c r="O71" s="513">
        <f>[1]Talents!K71</f>
        <v>24</v>
      </c>
      <c r="P71" s="514">
        <f>[1]Talents!M71</f>
        <v>61</v>
      </c>
      <c r="Q71" s="515"/>
      <c r="R71" s="206" t="s">
        <v>165</v>
      </c>
      <c r="S71" s="207">
        <v>0</v>
      </c>
      <c r="T71" s="207"/>
      <c r="U71" s="207"/>
      <c r="V71" s="207"/>
      <c r="W71" s="208"/>
    </row>
    <row r="72" spans="12:23" ht="13.5" thickBot="1" x14ac:dyDescent="0.35">
      <c r="L72" s="141" t="s">
        <v>279</v>
      </c>
      <c r="M72" s="508"/>
      <c r="N72" s="509">
        <f>[1]Talents!J72</f>
        <v>12</v>
      </c>
      <c r="O72" s="509">
        <f>[1]Talents!K72</f>
        <v>24</v>
      </c>
      <c r="P72" s="510">
        <f>[1]Talents!M72</f>
        <v>61</v>
      </c>
      <c r="Q72" s="511"/>
      <c r="R72" s="206" t="s">
        <v>167</v>
      </c>
      <c r="S72" s="207">
        <v>0</v>
      </c>
      <c r="T72" s="207"/>
      <c r="U72" s="207"/>
      <c r="V72" s="207"/>
      <c r="W72" s="208"/>
    </row>
    <row r="73" spans="12:23" ht="13" x14ac:dyDescent="0.3">
      <c r="L73" s="76"/>
      <c r="M73" s="77"/>
      <c r="N73" s="497"/>
      <c r="O73" s="497"/>
      <c r="P73" s="235"/>
      <c r="Q73" s="78"/>
      <c r="R73" s="206" t="s">
        <v>165</v>
      </c>
      <c r="S73" s="207">
        <v>0</v>
      </c>
      <c r="T73" s="207"/>
      <c r="U73" s="207"/>
      <c r="V73" s="207"/>
      <c r="W73" s="208"/>
    </row>
    <row r="74" spans="12:23" ht="13" x14ac:dyDescent="0.3">
      <c r="L74" s="222"/>
      <c r="M74" s="223"/>
      <c r="N74" s="223"/>
      <c r="O74" s="223"/>
      <c r="P74" s="223"/>
      <c r="Q74" s="224"/>
      <c r="R74" s="222"/>
      <c r="S74" s="223"/>
      <c r="T74" s="223"/>
      <c r="U74" s="223"/>
      <c r="V74" s="223"/>
      <c r="W74" s="224"/>
    </row>
    <row r="75" spans="12:23" ht="13" x14ac:dyDescent="0.3">
      <c r="L75" s="222"/>
      <c r="M75" s="223"/>
      <c r="N75" s="223"/>
      <c r="O75" s="223"/>
      <c r="P75" s="223"/>
      <c r="Q75" s="224"/>
      <c r="R75" s="222"/>
      <c r="S75" s="223"/>
      <c r="T75" s="223"/>
      <c r="U75" s="223"/>
      <c r="V75" s="223"/>
      <c r="W75" s="224"/>
    </row>
    <row r="76" spans="12:23" ht="13.5" thickBot="1" x14ac:dyDescent="0.35">
      <c r="L76" s="222"/>
      <c r="M76" s="223"/>
      <c r="N76" s="223"/>
      <c r="O76" s="223"/>
      <c r="P76" s="223"/>
      <c r="Q76" s="224"/>
      <c r="R76" s="222"/>
      <c r="S76" s="223"/>
      <c r="T76" s="223"/>
      <c r="U76" s="223"/>
      <c r="V76" s="223"/>
      <c r="W76" s="224"/>
    </row>
    <row r="77" spans="12:23" ht="13" x14ac:dyDescent="0.3">
      <c r="L77" s="222"/>
      <c r="M77" s="223"/>
      <c r="N77" s="223"/>
      <c r="O77" s="223"/>
      <c r="P77" s="223"/>
      <c r="Q77" s="224"/>
      <c r="R77" s="225"/>
      <c r="S77" s="226"/>
      <c r="T77" s="226"/>
      <c r="U77" s="226"/>
      <c r="V77" s="226"/>
      <c r="W77" s="227"/>
    </row>
    <row r="78" spans="12:23" ht="13.5" thickBot="1" x14ac:dyDescent="0.35">
      <c r="L78" s="228"/>
      <c r="M78" s="229"/>
      <c r="N78" s="229"/>
      <c r="O78" s="229"/>
      <c r="P78" s="229"/>
      <c r="Q78" s="230"/>
      <c r="R78" s="228"/>
      <c r="S78" s="229"/>
      <c r="T78" s="229"/>
      <c r="U78" s="229"/>
      <c r="V78" s="229"/>
      <c r="W78" s="23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115" zoomScaleNormal="115" workbookViewId="0"/>
  </sheetViews>
  <sheetFormatPr baseColWidth="10" defaultColWidth="8.90625" defaultRowHeight="12.5" x14ac:dyDescent="0.25"/>
  <cols>
    <col min="1" max="1" width="10.36328125" style="63" customWidth="1"/>
    <col min="2" max="2" width="9.453125" style="63" bestFit="1" customWidth="1"/>
    <col min="3" max="3" width="7.453125" style="63" bestFit="1" customWidth="1"/>
    <col min="4" max="4" width="16.54296875" style="63" bestFit="1" customWidth="1"/>
    <col min="5" max="5" width="16.54296875" style="63" customWidth="1"/>
    <col min="6" max="6" width="12.6328125" style="63" customWidth="1"/>
    <col min="7" max="7" width="6.90625" style="63" customWidth="1"/>
    <col min="8" max="8" width="7.6328125" style="63" customWidth="1"/>
    <col min="9" max="9" width="7.90625" style="63" bestFit="1" customWidth="1"/>
    <col min="10" max="10" width="6.54296875" style="63" bestFit="1" customWidth="1"/>
    <col min="11" max="11" width="2.08984375" style="63" customWidth="1"/>
    <col min="12" max="12" width="21.54296875" style="63" bestFit="1" customWidth="1"/>
    <col min="13" max="13" width="3" style="231" bestFit="1" customWidth="1"/>
    <col min="14" max="15" width="3" style="231" customWidth="1"/>
    <col min="16" max="16" width="3" style="232" customWidth="1"/>
    <col min="17" max="17" width="4.453125" style="231" bestFit="1" customWidth="1"/>
    <col min="18" max="18" width="18.453125" style="63" bestFit="1" customWidth="1"/>
    <col min="19" max="19" width="3" style="231" bestFit="1" customWidth="1"/>
    <col min="20" max="21" width="3" style="231" customWidth="1"/>
    <col min="22" max="22" width="3" style="232" customWidth="1"/>
    <col min="23" max="23" width="4.453125" style="231" bestFit="1" customWidth="1"/>
    <col min="24" max="24" width="14" style="63" bestFit="1" customWidth="1"/>
    <col min="25" max="25" width="8.54296875" style="63" customWidth="1"/>
    <col min="26" max="26" width="7.90625" style="63" bestFit="1" customWidth="1"/>
    <col min="27" max="27" width="5.36328125" style="63" customWidth="1"/>
    <col min="28" max="28" width="5.453125" style="63" bestFit="1" customWidth="1"/>
    <col min="29" max="29" width="6.54296875" style="63" customWidth="1"/>
    <col min="30" max="30" width="6.6328125" style="63" customWidth="1"/>
    <col min="31" max="31" width="8.453125" style="63" bestFit="1" customWidth="1"/>
    <col min="32" max="32" width="6.54296875" style="63" bestFit="1" customWidth="1"/>
    <col min="33" max="33" width="6.36328125" style="63" customWidth="1"/>
    <col min="34" max="34" width="5" style="63" customWidth="1"/>
    <col min="35" max="35" width="7.6328125" style="63" bestFit="1" customWidth="1"/>
    <col min="36" max="36" width="14.54296875" style="63" bestFit="1" customWidth="1"/>
    <col min="37" max="37" width="6.6328125" style="63" bestFit="1" customWidth="1"/>
    <col min="38" max="38" width="4.54296875" style="63" bestFit="1" customWidth="1"/>
    <col min="39" max="16384" width="8.90625" style="63"/>
  </cols>
  <sheetData>
    <row r="1" spans="1:38" ht="13.5" thickBot="1" x14ac:dyDescent="0.35">
      <c r="A1" s="59" t="s">
        <v>111</v>
      </c>
      <c r="B1" s="59" t="s">
        <v>112</v>
      </c>
      <c r="C1" s="60" t="s">
        <v>70</v>
      </c>
      <c r="D1" s="61" t="s">
        <v>52</v>
      </c>
      <c r="E1" s="62" t="s">
        <v>113</v>
      </c>
      <c r="F1" s="59" t="s">
        <v>114</v>
      </c>
      <c r="G1" s="59" t="s">
        <v>71</v>
      </c>
      <c r="H1" s="62" t="s">
        <v>115</v>
      </c>
      <c r="I1" s="59" t="s">
        <v>116</v>
      </c>
      <c r="J1" s="59" t="s">
        <v>117</v>
      </c>
      <c r="L1" s="64" t="s">
        <v>123</v>
      </c>
      <c r="M1" s="65" t="s">
        <v>124</v>
      </c>
      <c r="N1" s="496" t="s">
        <v>1093</v>
      </c>
      <c r="O1" s="496" t="s">
        <v>1094</v>
      </c>
      <c r="P1" s="234" t="s">
        <v>484</v>
      </c>
      <c r="Q1" s="66" t="s">
        <v>75</v>
      </c>
      <c r="R1" s="64" t="s">
        <v>123</v>
      </c>
      <c r="S1" s="65" t="s">
        <v>124</v>
      </c>
      <c r="T1" s="496" t="s">
        <v>1093</v>
      </c>
      <c r="U1" s="496" t="s">
        <v>1094</v>
      </c>
      <c r="V1" s="234" t="s">
        <v>484</v>
      </c>
      <c r="W1" s="66" t="s">
        <v>75</v>
      </c>
      <c r="AA1" s="216"/>
      <c r="AB1" s="216"/>
      <c r="AC1" s="216"/>
      <c r="AD1" s="216"/>
      <c r="AE1" s="106"/>
      <c r="AF1" s="216"/>
    </row>
    <row r="2" spans="1:38" ht="13.5" thickBot="1" x14ac:dyDescent="0.35">
      <c r="A2" s="267" t="s">
        <v>1338</v>
      </c>
      <c r="B2" s="268" t="s">
        <v>1339</v>
      </c>
      <c r="C2" s="269">
        <v>192</v>
      </c>
      <c r="D2" s="270">
        <v>112</v>
      </c>
      <c r="E2" s="273" t="s">
        <v>1340</v>
      </c>
      <c r="F2" s="271" t="s">
        <v>1153</v>
      </c>
      <c r="G2" s="271" t="s">
        <v>1341</v>
      </c>
      <c r="H2" s="273" t="s">
        <v>1139</v>
      </c>
      <c r="I2" s="267" t="s">
        <v>1140</v>
      </c>
      <c r="J2" s="267" t="s">
        <v>1342</v>
      </c>
      <c r="L2" s="76" t="s">
        <v>188</v>
      </c>
      <c r="M2" s="77"/>
      <c r="N2" s="499">
        <f>[2]Talents!J2</f>
        <v>13</v>
      </c>
      <c r="O2" s="499">
        <f>[2]Talents!K2</f>
        <v>26</v>
      </c>
      <c r="P2" s="235">
        <f>[2]Talents!M2</f>
        <v>80</v>
      </c>
      <c r="Q2" s="78"/>
      <c r="R2" s="567" t="s">
        <v>232</v>
      </c>
      <c r="S2" s="644">
        <v>17</v>
      </c>
      <c r="T2" s="499">
        <f>[2]Talents!Z2</f>
        <v>18</v>
      </c>
      <c r="U2" s="499">
        <f>[2]Talents!AA2</f>
        <v>36</v>
      </c>
      <c r="V2" s="235">
        <f>[2]Talents!AC2</f>
        <v>80</v>
      </c>
      <c r="W2" s="78"/>
      <c r="AA2" s="216"/>
      <c r="AB2" s="216"/>
      <c r="AC2" s="216"/>
      <c r="AD2" s="216"/>
      <c r="AE2" s="106"/>
      <c r="AF2" s="216"/>
    </row>
    <row r="3" spans="1:38" ht="13.5" thickBot="1" x14ac:dyDescent="0.35">
      <c r="A3" s="271" t="s">
        <v>1343</v>
      </c>
      <c r="B3" s="84" t="s">
        <v>168</v>
      </c>
      <c r="C3" s="272"/>
      <c r="D3" s="70"/>
      <c r="E3" s="273" t="s">
        <v>1144</v>
      </c>
      <c r="F3" s="273" t="s">
        <v>1344</v>
      </c>
      <c r="G3" s="502"/>
      <c r="H3" s="273"/>
      <c r="I3" s="271" t="s">
        <v>1345</v>
      </c>
      <c r="J3" s="271" t="s">
        <v>165</v>
      </c>
      <c r="L3" s="76" t="s">
        <v>189</v>
      </c>
      <c r="M3" s="77"/>
      <c r="N3" s="499">
        <f>[2]Talents!J3</f>
        <v>14</v>
      </c>
      <c r="O3" s="499">
        <f>[2]Talents!K3</f>
        <v>28</v>
      </c>
      <c r="P3" s="235">
        <f>[2]Talents!M3</f>
        <v>80</v>
      </c>
      <c r="Q3" s="78"/>
      <c r="R3" s="76" t="s">
        <v>233</v>
      </c>
      <c r="S3" s="77"/>
      <c r="T3" s="499">
        <f>[2]Talents!Z3</f>
        <v>7</v>
      </c>
      <c r="U3" s="499">
        <f>[2]Talents!AA3</f>
        <v>14</v>
      </c>
      <c r="V3" s="235">
        <f>[2]Talents!AC3</f>
        <v>38</v>
      </c>
      <c r="W3" s="85"/>
      <c r="AA3" s="216"/>
      <c r="AB3" s="216"/>
      <c r="AC3" s="216"/>
      <c r="AD3" s="216"/>
      <c r="AE3" s="106"/>
      <c r="AF3" s="216"/>
    </row>
    <row r="4" spans="1:38" ht="13.5" thickBot="1" x14ac:dyDescent="0.35">
      <c r="A4" s="59" t="s">
        <v>9</v>
      </c>
      <c r="B4" s="86" t="s">
        <v>118</v>
      </c>
      <c r="C4" s="87"/>
      <c r="D4" s="86" t="s">
        <v>119</v>
      </c>
      <c r="E4" s="87"/>
      <c r="F4" s="59" t="s">
        <v>120</v>
      </c>
      <c r="G4" s="86" t="s">
        <v>76</v>
      </c>
      <c r="H4" s="59" t="s">
        <v>121</v>
      </c>
      <c r="I4" s="86" t="s">
        <v>122</v>
      </c>
      <c r="J4" s="88" t="s">
        <v>68</v>
      </c>
      <c r="L4" s="76" t="s">
        <v>190</v>
      </c>
      <c r="M4" s="77"/>
      <c r="N4" s="499">
        <f>[2]Talents!J4</f>
        <v>7</v>
      </c>
      <c r="O4" s="499">
        <f>[2]Talents!K4</f>
        <v>14</v>
      </c>
      <c r="P4" s="235">
        <f>[2]Talents!M4</f>
        <v>35</v>
      </c>
      <c r="Q4" s="78"/>
      <c r="R4" s="76" t="s">
        <v>234</v>
      </c>
      <c r="S4" s="77"/>
      <c r="T4" s="499">
        <f>[2]Talents!Z4</f>
        <v>7</v>
      </c>
      <c r="U4" s="499">
        <f>[2]Talents!AA4</f>
        <v>14</v>
      </c>
      <c r="V4" s="235">
        <f>[2]Talents!AC4</f>
        <v>39</v>
      </c>
      <c r="W4" s="78"/>
      <c r="AA4" s="216"/>
      <c r="AB4" s="216"/>
      <c r="AC4" s="216"/>
      <c r="AD4" s="216"/>
      <c r="AE4" s="106"/>
      <c r="AF4" s="216"/>
    </row>
    <row r="5" spans="1:38" ht="13.5" thickBot="1" x14ac:dyDescent="0.35">
      <c r="A5" s="267" t="s">
        <v>1346</v>
      </c>
      <c r="B5" s="92" t="s">
        <v>1347</v>
      </c>
      <c r="C5" s="82"/>
      <c r="D5" s="274"/>
      <c r="E5" s="82"/>
      <c r="F5" s="267" t="s">
        <v>1348</v>
      </c>
      <c r="G5" s="274" t="s">
        <v>1253</v>
      </c>
      <c r="H5" s="75"/>
      <c r="I5" s="92">
        <v>3</v>
      </c>
      <c r="J5" s="93">
        <v>200</v>
      </c>
      <c r="L5" s="76" t="s">
        <v>191</v>
      </c>
      <c r="M5" s="77">
        <v>15</v>
      </c>
      <c r="N5" s="499">
        <f>[2]Talents!J5</f>
        <v>11.5</v>
      </c>
      <c r="O5" s="499">
        <f>[2]Talents!K5</f>
        <v>23</v>
      </c>
      <c r="P5" s="235">
        <f>[2]Talents!M5</f>
        <v>67</v>
      </c>
      <c r="Q5" s="78"/>
      <c r="R5" s="76" t="s">
        <v>235</v>
      </c>
      <c r="S5" s="77">
        <v>20</v>
      </c>
      <c r="T5" s="499">
        <f>[2]Talents!Z5</f>
        <v>11.5</v>
      </c>
      <c r="U5" s="499">
        <f>[2]Talents!AA5</f>
        <v>23</v>
      </c>
      <c r="V5" s="235">
        <f>[2]Talents!AC5</f>
        <v>51</v>
      </c>
      <c r="W5" s="78">
        <v>-1</v>
      </c>
      <c r="AA5" s="216"/>
      <c r="AB5" s="216"/>
      <c r="AC5" s="216"/>
      <c r="AD5" s="216"/>
      <c r="AE5" s="216"/>
      <c r="AF5" s="216"/>
      <c r="AJ5" s="94" t="s">
        <v>144</v>
      </c>
      <c r="AK5" s="95" t="s">
        <v>145</v>
      </c>
      <c r="AL5" s="506" t="s">
        <v>143</v>
      </c>
    </row>
    <row r="6" spans="1:38" ht="13.5" thickBot="1" x14ac:dyDescent="0.35">
      <c r="A6" s="75"/>
      <c r="B6" s="505" t="s">
        <v>1349</v>
      </c>
      <c r="C6" s="90"/>
      <c r="D6" s="275"/>
      <c r="E6" s="90"/>
      <c r="F6" s="271">
        <v>5</v>
      </c>
      <c r="G6" s="275">
        <v>29</v>
      </c>
      <c r="H6" s="97" t="s">
        <v>1350</v>
      </c>
      <c r="I6" s="98" t="s">
        <v>1351</v>
      </c>
      <c r="J6" s="99" t="s">
        <v>1352</v>
      </c>
      <c r="L6" s="76" t="s">
        <v>192</v>
      </c>
      <c r="M6" s="77"/>
      <c r="N6" s="499">
        <f>[2]Talents!J6</f>
        <v>18</v>
      </c>
      <c r="O6" s="499">
        <f>[2]Talents!K6</f>
        <v>36</v>
      </c>
      <c r="P6" s="235">
        <f>[2]Talents!M6</f>
        <v>68</v>
      </c>
      <c r="Q6" s="78"/>
      <c r="R6" s="76" t="s">
        <v>236</v>
      </c>
      <c r="S6" s="77">
        <v>57</v>
      </c>
      <c r="T6" s="499">
        <f>[2]Talents!Z6</f>
        <v>23</v>
      </c>
      <c r="U6" s="499">
        <f>[2]Talents!AA6</f>
        <v>46</v>
      </c>
      <c r="V6" s="235">
        <f>[2]Talents!AC6</f>
        <v>80</v>
      </c>
      <c r="W6" s="78">
        <v>1</v>
      </c>
      <c r="AA6" s="216"/>
      <c r="AB6" s="216"/>
      <c r="AC6" s="216"/>
      <c r="AD6" s="216"/>
      <c r="AE6" s="216"/>
      <c r="AF6" s="216"/>
      <c r="AJ6" s="100" t="s">
        <v>146</v>
      </c>
      <c r="AK6" s="101">
        <v>1</v>
      </c>
      <c r="AL6" s="105">
        <v>3</v>
      </c>
    </row>
    <row r="7" spans="1:38" ht="13.5" thickBot="1" x14ac:dyDescent="0.35">
      <c r="A7" s="68" t="s">
        <v>69</v>
      </c>
      <c r="B7" s="102" t="s">
        <v>161</v>
      </c>
      <c r="C7" s="276" t="s">
        <v>1353</v>
      </c>
      <c r="D7" s="71"/>
      <c r="E7" s="102" t="s">
        <v>160</v>
      </c>
      <c r="F7" s="103"/>
      <c r="G7" s="71"/>
      <c r="H7" s="71"/>
      <c r="I7" s="104"/>
      <c r="J7" s="72" t="s">
        <v>1354</v>
      </c>
      <c r="L7" s="76" t="s">
        <v>193</v>
      </c>
      <c r="M7" s="77"/>
      <c r="N7" s="499">
        <f>[2]Talents!J7</f>
        <v>18</v>
      </c>
      <c r="O7" s="499">
        <f>[2]Talents!K7</f>
        <v>36</v>
      </c>
      <c r="P7" s="235">
        <f>[2]Talents!M7</f>
        <v>75</v>
      </c>
      <c r="Q7" s="78"/>
      <c r="R7" s="76" t="s">
        <v>237</v>
      </c>
      <c r="S7" s="77">
        <v>36</v>
      </c>
      <c r="T7" s="499">
        <f>[2]Talents!Z7</f>
        <v>7</v>
      </c>
      <c r="U7" s="499">
        <f>[2]Talents!AA7</f>
        <v>14</v>
      </c>
      <c r="V7" s="235">
        <f>[2]Talents!AC7</f>
        <v>39</v>
      </c>
      <c r="W7" s="78"/>
      <c r="AA7" s="216"/>
      <c r="AB7" s="216"/>
      <c r="AC7" s="216"/>
      <c r="AD7" s="216"/>
      <c r="AE7" s="216"/>
      <c r="AF7" s="216"/>
      <c r="AJ7" s="100">
        <v>3</v>
      </c>
      <c r="AK7" s="101">
        <v>1</v>
      </c>
      <c r="AL7" s="478"/>
    </row>
    <row r="8" spans="1:38" ht="13.5" thickBot="1" x14ac:dyDescent="0.35">
      <c r="A8" s="274" t="s">
        <v>1355</v>
      </c>
      <c r="B8" s="106" t="s">
        <v>162</v>
      </c>
      <c r="C8" s="273" t="s">
        <v>1356</v>
      </c>
      <c r="D8" s="83"/>
      <c r="E8" s="74" t="s">
        <v>1357</v>
      </c>
      <c r="G8" s="74"/>
      <c r="H8" s="83"/>
      <c r="I8" s="503" t="s">
        <v>1037</v>
      </c>
      <c r="J8" s="105"/>
      <c r="L8" s="76" t="s">
        <v>194</v>
      </c>
      <c r="M8" s="77"/>
      <c r="N8" s="499">
        <f>[2]Talents!J8</f>
        <v>3.5</v>
      </c>
      <c r="O8" s="499">
        <f>[2]Talents!K8</f>
        <v>7</v>
      </c>
      <c r="P8" s="235">
        <f>[2]Talents!M8</f>
        <v>32</v>
      </c>
      <c r="Q8" s="78"/>
      <c r="R8" s="76" t="s">
        <v>238</v>
      </c>
      <c r="S8" s="77"/>
      <c r="T8" s="499">
        <f>[2]Talents!Z8</f>
        <v>13</v>
      </c>
      <c r="U8" s="499">
        <f>[2]Talents!AA8</f>
        <v>26</v>
      </c>
      <c r="V8" s="235">
        <f>[2]Talents!AC8</f>
        <v>53</v>
      </c>
      <c r="W8" s="78"/>
      <c r="AI8" s="107" t="s">
        <v>135</v>
      </c>
      <c r="AJ8" s="108" t="s">
        <v>165</v>
      </c>
      <c r="AK8" s="109">
        <v>1</v>
      </c>
      <c r="AL8" s="479"/>
    </row>
    <row r="9" spans="1:38" ht="13.5" thickBot="1" x14ac:dyDescent="0.35">
      <c r="A9" s="110" t="s">
        <v>168</v>
      </c>
      <c r="B9" s="92" t="s">
        <v>1358</v>
      </c>
      <c r="C9" s="83"/>
      <c r="D9" s="83"/>
      <c r="E9" s="74" t="s">
        <v>1756</v>
      </c>
      <c r="F9" s="83"/>
      <c r="G9" s="74"/>
      <c r="H9" s="83"/>
      <c r="I9" s="83"/>
      <c r="J9" s="73" t="s">
        <v>165</v>
      </c>
      <c r="L9" s="76" t="s">
        <v>1172</v>
      </c>
      <c r="M9" s="77">
        <v>6</v>
      </c>
      <c r="N9" s="499">
        <f>[2]Talents!J9</f>
        <v>4</v>
      </c>
      <c r="O9" s="499">
        <f>[2]Talents!K9</f>
        <v>8</v>
      </c>
      <c r="P9" s="235">
        <f>[2]Talents!M9</f>
        <v>24</v>
      </c>
      <c r="Q9" s="78"/>
      <c r="R9" s="76" t="s">
        <v>239</v>
      </c>
      <c r="S9" s="77"/>
      <c r="T9" s="499">
        <f>[2]Talents!Z9</f>
        <v>11.5</v>
      </c>
      <c r="U9" s="499">
        <f>[2]Talents!AA9</f>
        <v>23</v>
      </c>
      <c r="V9" s="235">
        <f>[2]Talents!AC9</f>
        <v>46</v>
      </c>
      <c r="W9" s="78"/>
      <c r="AJ9" s="94" t="s">
        <v>147</v>
      </c>
      <c r="AK9" s="111" t="s">
        <v>145</v>
      </c>
      <c r="AL9" s="506" t="s">
        <v>143</v>
      </c>
    </row>
    <row r="10" spans="1:38" ht="13.5" thickBot="1" x14ac:dyDescent="0.35">
      <c r="A10" s="110" t="s">
        <v>169</v>
      </c>
      <c r="B10" s="275" t="s">
        <v>1261</v>
      </c>
      <c r="C10" s="91"/>
      <c r="D10" s="91"/>
      <c r="E10" s="97"/>
      <c r="F10" s="91"/>
      <c r="G10" s="97"/>
      <c r="H10" s="91"/>
      <c r="I10" s="91"/>
      <c r="J10" s="504" t="s">
        <v>1095</v>
      </c>
      <c r="L10" s="76" t="s">
        <v>195</v>
      </c>
      <c r="M10" s="77"/>
      <c r="N10" s="499">
        <f>[2]Talents!J10</f>
        <v>12</v>
      </c>
      <c r="O10" s="499">
        <f>[2]Talents!K10</f>
        <v>24</v>
      </c>
      <c r="P10" s="235">
        <f>[2]Talents!M10</f>
        <v>50</v>
      </c>
      <c r="Q10" s="78"/>
      <c r="R10" s="76" t="s">
        <v>1174</v>
      </c>
      <c r="S10" s="77"/>
      <c r="T10" s="499">
        <f>[2]Talents!Z10</f>
        <v>7</v>
      </c>
      <c r="U10" s="499">
        <f>[2]Talents!AA10</f>
        <v>14</v>
      </c>
      <c r="V10" s="235">
        <f>[2]Talents!AC10</f>
        <v>35</v>
      </c>
      <c r="W10" s="78"/>
      <c r="AJ10" s="100" t="s">
        <v>148</v>
      </c>
      <c r="AK10" s="101">
        <v>2</v>
      </c>
      <c r="AL10" s="105">
        <v>4</v>
      </c>
    </row>
    <row r="11" spans="1:38" ht="13.5" thickBot="1" x14ac:dyDescent="0.35">
      <c r="B11" s="106" t="s">
        <v>170</v>
      </c>
      <c r="C11" s="112" t="s">
        <v>171</v>
      </c>
      <c r="D11" s="112" t="s">
        <v>172</v>
      </c>
      <c r="E11" s="112" t="s">
        <v>97</v>
      </c>
      <c r="F11" s="67" t="s">
        <v>40</v>
      </c>
      <c r="G11" s="71"/>
      <c r="H11" s="69">
        <v>9</v>
      </c>
      <c r="I11" s="70"/>
      <c r="L11" s="76" t="s">
        <v>1173</v>
      </c>
      <c r="M11" s="77"/>
      <c r="N11" s="499">
        <f>[2]Talents!J11</f>
        <v>3.5</v>
      </c>
      <c r="O11" s="499">
        <f>[2]Talents!K11</f>
        <v>7</v>
      </c>
      <c r="P11" s="235">
        <f>[2]Talents!M11</f>
        <v>36</v>
      </c>
      <c r="Q11" s="78"/>
      <c r="R11" s="76" t="s">
        <v>240</v>
      </c>
      <c r="S11" s="77"/>
      <c r="T11" s="499">
        <f>[2]Talents!Z11</f>
        <v>7.5</v>
      </c>
      <c r="U11" s="499">
        <f>[2]Talents!AA11</f>
        <v>15</v>
      </c>
      <c r="V11" s="235">
        <f>[2]Talents!AC11</f>
        <v>43</v>
      </c>
      <c r="W11" s="78"/>
      <c r="AJ11" s="100">
        <v>2</v>
      </c>
      <c r="AK11" s="101">
        <v>1</v>
      </c>
      <c r="AL11" s="478"/>
    </row>
    <row r="12" spans="1:38" ht="13.5" thickBot="1" x14ac:dyDescent="0.35">
      <c r="A12" s="113" t="s">
        <v>77</v>
      </c>
      <c r="B12" s="114">
        <v>25</v>
      </c>
      <c r="C12" s="114">
        <v>91</v>
      </c>
      <c r="D12" s="114">
        <v>102</v>
      </c>
      <c r="E12" s="115">
        <v>0</v>
      </c>
      <c r="F12" s="80" t="s">
        <v>270</v>
      </c>
      <c r="G12" s="233">
        <f>[2]Perso!J12</f>
        <v>41.95</v>
      </c>
      <c r="H12" s="116">
        <v>3</v>
      </c>
      <c r="I12" s="82"/>
      <c r="L12" s="76" t="s">
        <v>196</v>
      </c>
      <c r="M12" s="77"/>
      <c r="N12" s="499">
        <f>[2]Talents!J12</f>
        <v>7</v>
      </c>
      <c r="O12" s="499">
        <f>[2]Talents!K12</f>
        <v>14</v>
      </c>
      <c r="P12" s="235">
        <f>[2]Talents!M12</f>
        <v>38</v>
      </c>
      <c r="Q12" s="78"/>
      <c r="R12" s="76" t="s">
        <v>241</v>
      </c>
      <c r="S12" s="77">
        <v>17</v>
      </c>
      <c r="T12" s="499">
        <f>[2]Talents!Z12</f>
        <v>18</v>
      </c>
      <c r="U12" s="499">
        <f>[2]Talents!AA12</f>
        <v>36</v>
      </c>
      <c r="V12" s="235">
        <f>[2]Talents!AC12</f>
        <v>80</v>
      </c>
      <c r="W12" s="78"/>
      <c r="AJ12" s="108" t="s">
        <v>165</v>
      </c>
      <c r="AK12" s="109">
        <v>1</v>
      </c>
      <c r="AL12" s="479"/>
    </row>
    <row r="13" spans="1:38" ht="13.5" thickBot="1" x14ac:dyDescent="0.35">
      <c r="A13" s="117" t="s">
        <v>78</v>
      </c>
      <c r="B13" s="118">
        <v>21</v>
      </c>
      <c r="C13" s="118">
        <v>83</v>
      </c>
      <c r="D13" s="118">
        <v>86</v>
      </c>
      <c r="E13" s="119">
        <v>0</v>
      </c>
      <c r="F13" s="120" t="s">
        <v>271</v>
      </c>
      <c r="G13" s="233">
        <f>[2]Perso!J13</f>
        <v>39.375000000000007</v>
      </c>
      <c r="H13" s="116">
        <v>5</v>
      </c>
      <c r="I13" s="82"/>
      <c r="L13" s="76" t="s">
        <v>197</v>
      </c>
      <c r="M13" s="77">
        <v>60</v>
      </c>
      <c r="N13" s="499">
        <f>[2]Talents!J13</f>
        <v>18</v>
      </c>
      <c r="O13" s="499">
        <f>[2]Talents!K13</f>
        <v>36</v>
      </c>
      <c r="P13" s="235">
        <f>[2]Talents!M13</f>
        <v>80</v>
      </c>
      <c r="Q13" s="78">
        <v>2</v>
      </c>
      <c r="R13" s="76" t="s">
        <v>1175</v>
      </c>
      <c r="S13" s="77"/>
      <c r="T13" s="499">
        <f>[2]Talents!Z13</f>
        <v>3</v>
      </c>
      <c r="U13" s="499">
        <f>[2]Talents!AA13</f>
        <v>6</v>
      </c>
      <c r="V13" s="235">
        <f>[2]Talents!AC13</f>
        <v>30</v>
      </c>
      <c r="W13" s="78"/>
      <c r="AJ13" s="94" t="s">
        <v>149</v>
      </c>
      <c r="AK13" s="111" t="s">
        <v>145</v>
      </c>
      <c r="AL13" s="506" t="s">
        <v>143</v>
      </c>
    </row>
    <row r="14" spans="1:38" ht="13" x14ac:dyDescent="0.3">
      <c r="A14" s="113" t="s">
        <v>79</v>
      </c>
      <c r="B14" s="114">
        <v>13</v>
      </c>
      <c r="C14" s="114">
        <v>55</v>
      </c>
      <c r="D14" s="114">
        <v>55</v>
      </c>
      <c r="E14" s="115">
        <v>0</v>
      </c>
      <c r="F14" s="120" t="s">
        <v>272</v>
      </c>
      <c r="G14" s="233">
        <f>[2]Perso!J14</f>
        <v>49</v>
      </c>
      <c r="H14" s="116">
        <v>0</v>
      </c>
      <c r="I14" s="82"/>
      <c r="L14" s="76" t="s">
        <v>198</v>
      </c>
      <c r="M14" s="77"/>
      <c r="N14" s="499">
        <f>[2]Talents!J14</f>
        <v>3</v>
      </c>
      <c r="O14" s="499">
        <f>[2]Talents!K14</f>
        <v>6</v>
      </c>
      <c r="P14" s="235">
        <f>[2]Talents!M14</f>
        <v>25</v>
      </c>
      <c r="Q14" s="78"/>
      <c r="R14" s="76" t="s">
        <v>242</v>
      </c>
      <c r="S14" s="77"/>
      <c r="T14" s="499">
        <f>[2]Talents!Z14</f>
        <v>11.5</v>
      </c>
      <c r="U14" s="499">
        <f>[2]Talents!AA14</f>
        <v>23</v>
      </c>
      <c r="V14" s="235">
        <f>[2]Talents!AC14</f>
        <v>57</v>
      </c>
      <c r="W14" s="78"/>
      <c r="AJ14" s="100" t="s">
        <v>150</v>
      </c>
      <c r="AK14" s="101">
        <v>2</v>
      </c>
      <c r="AL14" s="105">
        <v>5</v>
      </c>
    </row>
    <row r="15" spans="1:38" ht="13.5" thickBot="1" x14ac:dyDescent="0.35">
      <c r="A15" s="117" t="s">
        <v>80</v>
      </c>
      <c r="B15" s="118">
        <v>13</v>
      </c>
      <c r="C15" s="118">
        <v>56</v>
      </c>
      <c r="D15" s="118">
        <v>56</v>
      </c>
      <c r="E15" s="119">
        <v>0</v>
      </c>
      <c r="F15" s="120" t="s">
        <v>273</v>
      </c>
      <c r="G15" s="233">
        <f>[2]Perso!J15</f>
        <v>8</v>
      </c>
      <c r="H15" s="116">
        <v>0</v>
      </c>
      <c r="I15" s="82"/>
      <c r="L15" s="76" t="s">
        <v>199</v>
      </c>
      <c r="M15" s="77"/>
      <c r="N15" s="499">
        <f>[2]Talents!J15</f>
        <v>21</v>
      </c>
      <c r="O15" s="499">
        <f>[2]Talents!K15</f>
        <v>42</v>
      </c>
      <c r="P15" s="235">
        <f>[2]Talents!M15</f>
        <v>80</v>
      </c>
      <c r="Q15" s="78"/>
      <c r="R15" s="76" t="s">
        <v>294</v>
      </c>
      <c r="S15" s="77"/>
      <c r="T15" s="499">
        <f>[2]Talents!Z15</f>
        <v>14</v>
      </c>
      <c r="U15" s="499">
        <f>[2]Talents!AA15</f>
        <v>28</v>
      </c>
      <c r="V15" s="235">
        <f>[2]Talents!AC15</f>
        <v>72</v>
      </c>
      <c r="W15" s="78"/>
      <c r="AJ15" s="100">
        <v>3</v>
      </c>
      <c r="AK15" s="101">
        <v>1</v>
      </c>
      <c r="AL15" s="478"/>
    </row>
    <row r="16" spans="1:38" ht="13.5" thickBot="1" x14ac:dyDescent="0.35">
      <c r="A16" s="113" t="s">
        <v>81</v>
      </c>
      <c r="B16" s="114">
        <v>17</v>
      </c>
      <c r="C16" s="114">
        <v>71</v>
      </c>
      <c r="D16" s="114">
        <v>71</v>
      </c>
      <c r="E16" s="115">
        <v>0</v>
      </c>
      <c r="F16" s="121" t="s">
        <v>299</v>
      </c>
      <c r="G16" s="233">
        <f>[2]Perso!J16</f>
        <v>84</v>
      </c>
      <c r="H16" s="116">
        <v>0</v>
      </c>
      <c r="I16" s="82"/>
      <c r="L16" s="76" t="s">
        <v>200</v>
      </c>
      <c r="M16" s="77">
        <v>73</v>
      </c>
      <c r="N16" s="499">
        <f>[2]Talents!J16</f>
        <v>14</v>
      </c>
      <c r="O16" s="499">
        <f>[2]Talents!K16</f>
        <v>28</v>
      </c>
      <c r="P16" s="235">
        <f>[2]Talents!M16</f>
        <v>80</v>
      </c>
      <c r="Q16" s="78">
        <v>2</v>
      </c>
      <c r="R16" s="76" t="s">
        <v>243</v>
      </c>
      <c r="S16" s="77"/>
      <c r="T16" s="499">
        <f>[2]Talents!Z16</f>
        <v>4.5</v>
      </c>
      <c r="U16" s="499">
        <f>[2]Talents!AA16</f>
        <v>9</v>
      </c>
      <c r="V16" s="235">
        <f>[2]Talents!AC16</f>
        <v>33</v>
      </c>
      <c r="W16" s="78"/>
      <c r="AJ16" s="108" t="s">
        <v>165</v>
      </c>
      <c r="AK16" s="109">
        <v>1</v>
      </c>
      <c r="AL16" s="479"/>
    </row>
    <row r="17" spans="1:38" ht="13.5" thickBot="1" x14ac:dyDescent="0.35">
      <c r="A17" s="117" t="s">
        <v>82</v>
      </c>
      <c r="B17" s="118">
        <v>15</v>
      </c>
      <c r="C17" s="118">
        <v>45</v>
      </c>
      <c r="D17" s="118">
        <v>62</v>
      </c>
      <c r="E17" s="119">
        <v>0</v>
      </c>
      <c r="F17" s="120" t="s">
        <v>300</v>
      </c>
      <c r="G17" s="233">
        <f>[2]Perso!J17</f>
        <v>84.35</v>
      </c>
      <c r="H17" s="122">
        <v>0</v>
      </c>
      <c r="I17" s="82"/>
      <c r="L17" s="76" t="s">
        <v>201</v>
      </c>
      <c r="M17" s="77"/>
      <c r="N17" s="499">
        <f>[2]Talents!J17</f>
        <v>7.5</v>
      </c>
      <c r="O17" s="499">
        <f>[2]Talents!K17</f>
        <v>15</v>
      </c>
      <c r="P17" s="235">
        <f>[2]Talents!M17</f>
        <v>39</v>
      </c>
      <c r="Q17" s="78"/>
      <c r="R17" s="180" t="s">
        <v>244</v>
      </c>
      <c r="S17" s="508"/>
      <c r="T17" s="509">
        <f>[2]Talents!Z17</f>
        <v>7</v>
      </c>
      <c r="U17" s="509">
        <f>[2]Talents!AA17</f>
        <v>14</v>
      </c>
      <c r="V17" s="510">
        <f>[2]Talents!AC17</f>
        <v>34</v>
      </c>
      <c r="W17" s="511"/>
      <c r="AJ17" s="94" t="s">
        <v>151</v>
      </c>
      <c r="AK17" s="111" t="s">
        <v>145</v>
      </c>
      <c r="AL17" s="506" t="s">
        <v>143</v>
      </c>
    </row>
    <row r="18" spans="1:38" ht="13" x14ac:dyDescent="0.3">
      <c r="A18" s="113" t="s">
        <v>83</v>
      </c>
      <c r="B18" s="114">
        <v>20</v>
      </c>
      <c r="C18" s="114">
        <v>71</v>
      </c>
      <c r="D18" s="114">
        <v>82</v>
      </c>
      <c r="E18" s="115">
        <v>0</v>
      </c>
      <c r="F18" s="120" t="s">
        <v>301</v>
      </c>
      <c r="G18" s="233">
        <f>[2]Perso!J18</f>
        <v>65</v>
      </c>
      <c r="H18" s="122">
        <v>0</v>
      </c>
      <c r="I18" s="82"/>
      <c r="L18" s="76" t="s">
        <v>202</v>
      </c>
      <c r="M18" s="77"/>
      <c r="N18" s="499">
        <f>[2]Talents!J18</f>
        <v>7.5</v>
      </c>
      <c r="O18" s="499">
        <f>[2]Talents!K18</f>
        <v>15</v>
      </c>
      <c r="P18" s="235">
        <f>[2]Talents!M18</f>
        <v>42</v>
      </c>
      <c r="Q18" s="78"/>
      <c r="R18" s="568" t="s">
        <v>281</v>
      </c>
      <c r="S18" s="512">
        <v>50</v>
      </c>
      <c r="T18" s="513">
        <f>[2]Talents!Z18</f>
        <v>14</v>
      </c>
      <c r="U18" s="513">
        <f>[2]Talents!AA18</f>
        <v>28</v>
      </c>
      <c r="V18" s="514">
        <f>[2]Talents!AC18</f>
        <v>73</v>
      </c>
      <c r="W18" s="515"/>
      <c r="AJ18" s="100" t="s">
        <v>152</v>
      </c>
      <c r="AK18" s="101">
        <v>2</v>
      </c>
      <c r="AL18" s="105">
        <v>5</v>
      </c>
    </row>
    <row r="19" spans="1:38" ht="13.5" thickBot="1" x14ac:dyDescent="0.35">
      <c r="A19" s="117" t="s">
        <v>84</v>
      </c>
      <c r="B19" s="118">
        <v>16</v>
      </c>
      <c r="C19" s="118">
        <v>51</v>
      </c>
      <c r="D19" s="118">
        <v>66</v>
      </c>
      <c r="E19" s="119">
        <v>0</v>
      </c>
      <c r="F19" s="121" t="s">
        <v>105</v>
      </c>
      <c r="G19" s="233">
        <f>[2]Perso!J19</f>
        <v>47.3</v>
      </c>
      <c r="H19" s="116">
        <v>0</v>
      </c>
      <c r="I19" s="82"/>
      <c r="L19" s="76" t="s">
        <v>203</v>
      </c>
      <c r="M19" s="77"/>
      <c r="N19" s="499">
        <f>[2]Talents!J19</f>
        <v>21</v>
      </c>
      <c r="O19" s="499">
        <f>[2]Talents!K19</f>
        <v>42</v>
      </c>
      <c r="P19" s="235">
        <f>[2]Talents!M19</f>
        <v>80</v>
      </c>
      <c r="Q19" s="78"/>
      <c r="R19" s="569" t="s">
        <v>282</v>
      </c>
      <c r="S19" s="77">
        <v>11</v>
      </c>
      <c r="T19" s="499">
        <f>[2]Talents!Z19</f>
        <v>14</v>
      </c>
      <c r="U19" s="499">
        <f>[2]Talents!AA19</f>
        <v>28</v>
      </c>
      <c r="V19" s="235">
        <f>[2]Talents!AC19</f>
        <v>73</v>
      </c>
      <c r="W19" s="78"/>
      <c r="AJ19" s="100">
        <v>3</v>
      </c>
      <c r="AK19" s="101">
        <v>1</v>
      </c>
      <c r="AL19" s="478"/>
    </row>
    <row r="20" spans="1:38" ht="13.5" thickBot="1" x14ac:dyDescent="0.35">
      <c r="A20" s="113" t="s">
        <v>85</v>
      </c>
      <c r="B20" s="114">
        <v>9</v>
      </c>
      <c r="C20" s="114">
        <v>28</v>
      </c>
      <c r="D20" s="114">
        <v>28</v>
      </c>
      <c r="E20" s="115">
        <v>0</v>
      </c>
      <c r="F20" s="121" t="s">
        <v>302</v>
      </c>
      <c r="G20" s="233">
        <f>[2]Perso!J20</f>
        <v>66.099999999999994</v>
      </c>
      <c r="H20" s="116">
        <v>0</v>
      </c>
      <c r="I20" s="82"/>
      <c r="L20" s="76" t="s">
        <v>204</v>
      </c>
      <c r="M20" s="77"/>
      <c r="N20" s="499">
        <f>[2]Talents!J20</f>
        <v>7</v>
      </c>
      <c r="O20" s="499">
        <f>[2]Talents!K20</f>
        <v>14</v>
      </c>
      <c r="P20" s="235">
        <f>[2]Talents!M20</f>
        <v>46</v>
      </c>
      <c r="Q20" s="78"/>
      <c r="R20" s="569" t="s">
        <v>283</v>
      </c>
      <c r="S20" s="77">
        <v>9</v>
      </c>
      <c r="T20" s="499">
        <f>[2]Talents!Z20</f>
        <v>14</v>
      </c>
      <c r="U20" s="499">
        <f>[2]Talents!AA20</f>
        <v>28</v>
      </c>
      <c r="V20" s="235">
        <f>[2]Talents!AC20</f>
        <v>73</v>
      </c>
      <c r="W20" s="78"/>
      <c r="Y20" s="516" t="s">
        <v>128</v>
      </c>
      <c r="Z20" s="517"/>
      <c r="AJ20" s="108" t="s">
        <v>165</v>
      </c>
      <c r="AK20" s="109">
        <v>1</v>
      </c>
      <c r="AL20" s="479"/>
    </row>
    <row r="21" spans="1:38" ht="13.5" thickBot="1" x14ac:dyDescent="0.35">
      <c r="A21" s="117" t="s">
        <v>86</v>
      </c>
      <c r="B21" s="118">
        <v>9</v>
      </c>
      <c r="C21" s="118">
        <v>28</v>
      </c>
      <c r="D21" s="118">
        <v>28</v>
      </c>
      <c r="E21" s="119">
        <v>0</v>
      </c>
      <c r="F21" s="120" t="s">
        <v>303</v>
      </c>
      <c r="G21" s="233">
        <f>[2]Perso!J21</f>
        <v>17.399999999999999</v>
      </c>
      <c r="H21" s="122">
        <v>0</v>
      </c>
      <c r="I21" s="82"/>
      <c r="L21" s="76" t="s">
        <v>205</v>
      </c>
      <c r="M21" s="77"/>
      <c r="N21" s="499">
        <f>[2]Talents!J21</f>
        <v>7.5</v>
      </c>
      <c r="O21" s="499">
        <f>[2]Talents!K21</f>
        <v>15</v>
      </c>
      <c r="P21" s="235">
        <f>[2]Talents!M21</f>
        <v>61</v>
      </c>
      <c r="Q21" s="78"/>
      <c r="R21" s="569" t="s">
        <v>284</v>
      </c>
      <c r="S21" s="77">
        <v>59</v>
      </c>
      <c r="T21" s="499">
        <f>[2]Talents!Z21</f>
        <v>14</v>
      </c>
      <c r="U21" s="499">
        <f>[2]Talents!AA21</f>
        <v>28</v>
      </c>
      <c r="V21" s="235">
        <f>[2]Talents!AC21</f>
        <v>73</v>
      </c>
      <c r="W21" s="78">
        <v>4</v>
      </c>
      <c r="X21" s="124" t="s">
        <v>126</v>
      </c>
      <c r="Y21" s="125" t="s">
        <v>127</v>
      </c>
      <c r="Z21" s="126" t="s">
        <v>310</v>
      </c>
      <c r="AA21" s="127" t="s">
        <v>309</v>
      </c>
      <c r="AB21" s="128" t="s">
        <v>991</v>
      </c>
      <c r="AC21" s="129" t="s">
        <v>992</v>
      </c>
      <c r="AD21" s="130" t="s">
        <v>993</v>
      </c>
      <c r="AE21" s="131" t="s">
        <v>994</v>
      </c>
      <c r="AF21" s="132" t="s">
        <v>995</v>
      </c>
      <c r="AG21" s="129" t="s">
        <v>139</v>
      </c>
      <c r="AH21" s="402" t="s">
        <v>140</v>
      </c>
      <c r="AI21" s="130" t="s">
        <v>996</v>
      </c>
      <c r="AJ21" s="94" t="s">
        <v>153</v>
      </c>
      <c r="AK21" s="111" t="s">
        <v>145</v>
      </c>
      <c r="AL21" s="506" t="s">
        <v>143</v>
      </c>
    </row>
    <row r="22" spans="1:38" ht="13" x14ac:dyDescent="0.3">
      <c r="A22" s="113" t="s">
        <v>87</v>
      </c>
      <c r="B22" s="114">
        <v>9</v>
      </c>
      <c r="C22" s="114">
        <v>30</v>
      </c>
      <c r="D22" s="114">
        <v>44</v>
      </c>
      <c r="E22" s="115">
        <v>0</v>
      </c>
      <c r="F22" s="120" t="s">
        <v>304</v>
      </c>
      <c r="G22" s="233">
        <f>[2]Perso!J22</f>
        <v>24</v>
      </c>
      <c r="H22" s="122">
        <v>0</v>
      </c>
      <c r="I22" s="82"/>
      <c r="L22" s="76" t="s">
        <v>206</v>
      </c>
      <c r="M22" s="77"/>
      <c r="N22" s="499">
        <f>[2]Talents!J22</f>
        <v>3</v>
      </c>
      <c r="O22" s="499">
        <f>[2]Talents!K22</f>
        <v>6</v>
      </c>
      <c r="P22" s="235">
        <f>[2]Talents!M22</f>
        <v>30</v>
      </c>
      <c r="Q22" s="78"/>
      <c r="R22" s="569" t="s">
        <v>285</v>
      </c>
      <c r="S22" s="77">
        <v>11</v>
      </c>
      <c r="T22" s="499">
        <f>[2]Talents!Z22</f>
        <v>14</v>
      </c>
      <c r="U22" s="499">
        <f>[2]Talents!AA22</f>
        <v>28</v>
      </c>
      <c r="V22" s="235">
        <f>[2]Talents!AC22</f>
        <v>73</v>
      </c>
      <c r="W22" s="78"/>
      <c r="X22" s="133" t="s">
        <v>1222</v>
      </c>
      <c r="Y22" s="134" t="s">
        <v>1369</v>
      </c>
      <c r="Z22" s="135"/>
      <c r="AA22" s="444">
        <v>7</v>
      </c>
      <c r="AB22" s="136" t="s">
        <v>1225</v>
      </c>
      <c r="AC22" s="137" t="s">
        <v>1226</v>
      </c>
      <c r="AD22" s="138" t="s">
        <v>1226</v>
      </c>
      <c r="AE22" s="139" t="s">
        <v>1289</v>
      </c>
      <c r="AF22" s="137"/>
      <c r="AG22" s="439">
        <v>-1</v>
      </c>
      <c r="AH22" s="440">
        <v>-2</v>
      </c>
      <c r="AI22" s="140"/>
      <c r="AJ22" s="100" t="s">
        <v>152</v>
      </c>
      <c r="AK22" s="101">
        <v>2</v>
      </c>
      <c r="AL22" s="105">
        <v>5</v>
      </c>
    </row>
    <row r="23" spans="1:38" ht="13.5" thickBot="1" x14ac:dyDescent="0.35">
      <c r="A23" s="117" t="s">
        <v>88</v>
      </c>
      <c r="B23" s="118">
        <v>11</v>
      </c>
      <c r="C23" s="118">
        <v>52</v>
      </c>
      <c r="D23" s="118">
        <v>52</v>
      </c>
      <c r="E23" s="119">
        <v>0</v>
      </c>
      <c r="F23" s="120" t="s">
        <v>305</v>
      </c>
      <c r="G23" s="233">
        <f>[2]Perso!J23</f>
        <v>16</v>
      </c>
      <c r="H23" s="122">
        <v>0</v>
      </c>
      <c r="I23" s="82"/>
      <c r="L23" s="76" t="s">
        <v>207</v>
      </c>
      <c r="M23" s="77"/>
      <c r="N23" s="499">
        <f>[2]Talents!J23</f>
        <v>14</v>
      </c>
      <c r="O23" s="499">
        <f>[2]Talents!K23</f>
        <v>28</v>
      </c>
      <c r="P23" s="235">
        <f>[2]Talents!M23</f>
        <v>80</v>
      </c>
      <c r="Q23" s="78"/>
      <c r="R23" s="569" t="s">
        <v>286</v>
      </c>
      <c r="S23" s="77">
        <v>15</v>
      </c>
      <c r="T23" s="499">
        <f>[2]Talents!Z23</f>
        <v>14</v>
      </c>
      <c r="U23" s="499">
        <f>[2]Talents!AA23</f>
        <v>28</v>
      </c>
      <c r="V23" s="235">
        <f>[2]Talents!AC23</f>
        <v>73</v>
      </c>
      <c r="W23" s="78"/>
      <c r="X23" s="133" t="s">
        <v>1370</v>
      </c>
      <c r="Y23" s="134" t="s">
        <v>1371</v>
      </c>
      <c r="Z23" s="135"/>
      <c r="AA23" s="444">
        <v>2</v>
      </c>
      <c r="AB23" s="136" t="s">
        <v>1226</v>
      </c>
      <c r="AC23" s="137" t="s">
        <v>1226</v>
      </c>
      <c r="AD23" s="138" t="s">
        <v>1226</v>
      </c>
      <c r="AE23" s="139" t="s">
        <v>1281</v>
      </c>
      <c r="AF23" s="137"/>
      <c r="AG23" s="439"/>
      <c r="AH23" s="440"/>
      <c r="AI23" s="140"/>
      <c r="AJ23" s="100">
        <v>3</v>
      </c>
      <c r="AK23" s="101">
        <v>1</v>
      </c>
      <c r="AL23" s="478"/>
    </row>
    <row r="24" spans="1:38" ht="13.5" thickBot="1" x14ac:dyDescent="0.35">
      <c r="A24" s="113" t="s">
        <v>89</v>
      </c>
      <c r="B24" s="114">
        <v>9</v>
      </c>
      <c r="C24" s="114">
        <v>11</v>
      </c>
      <c r="D24" s="114">
        <v>19</v>
      </c>
      <c r="E24" s="115">
        <v>0</v>
      </c>
      <c r="F24" s="121" t="s">
        <v>306</v>
      </c>
      <c r="G24" s="233">
        <f>[2]Perso!J24</f>
        <v>24.625</v>
      </c>
      <c r="H24" s="116">
        <v>0</v>
      </c>
      <c r="I24" s="82"/>
      <c r="L24" s="76" t="s">
        <v>208</v>
      </c>
      <c r="M24" s="77"/>
      <c r="N24" s="499">
        <f>[2]Talents!J24</f>
        <v>11.5</v>
      </c>
      <c r="O24" s="499">
        <f>[2]Talents!K24</f>
        <v>23</v>
      </c>
      <c r="P24" s="235">
        <f>[2]Talents!M24</f>
        <v>55</v>
      </c>
      <c r="Q24" s="78"/>
      <c r="R24" s="569" t="s">
        <v>287</v>
      </c>
      <c r="S24" s="77">
        <v>9</v>
      </c>
      <c r="T24" s="499">
        <f>[2]Talents!Z24</f>
        <v>14</v>
      </c>
      <c r="U24" s="499">
        <f>[2]Talents!AA24</f>
        <v>28</v>
      </c>
      <c r="V24" s="235">
        <f>[2]Talents!AC24</f>
        <v>73</v>
      </c>
      <c r="W24" s="78"/>
      <c r="X24" s="133" t="s">
        <v>1372</v>
      </c>
      <c r="Y24" s="134" t="s">
        <v>1373</v>
      </c>
      <c r="Z24" s="135"/>
      <c r="AA24" s="444">
        <v>0.6</v>
      </c>
      <c r="AB24" s="136" t="s">
        <v>1226</v>
      </c>
      <c r="AC24" s="137" t="s">
        <v>1226</v>
      </c>
      <c r="AD24" s="138" t="s">
        <v>1226</v>
      </c>
      <c r="AE24" s="139" t="s">
        <v>1281</v>
      </c>
      <c r="AF24" s="137"/>
      <c r="AG24" s="439"/>
      <c r="AH24" s="440"/>
      <c r="AI24" s="140"/>
      <c r="AJ24" s="108" t="s">
        <v>165</v>
      </c>
      <c r="AK24" s="109">
        <v>1</v>
      </c>
      <c r="AL24" s="479"/>
    </row>
    <row r="25" spans="1:38" ht="13.5" thickBot="1" x14ac:dyDescent="0.35">
      <c r="A25" s="117" t="s">
        <v>90</v>
      </c>
      <c r="B25" s="118">
        <v>11</v>
      </c>
      <c r="C25" s="118">
        <v>15</v>
      </c>
      <c r="D25" s="118">
        <v>23</v>
      </c>
      <c r="E25" s="119">
        <v>0</v>
      </c>
      <c r="F25" s="121" t="s">
        <v>307</v>
      </c>
      <c r="G25" s="233">
        <f>[2]Perso!J25</f>
        <v>63.7</v>
      </c>
      <c r="H25" s="116">
        <v>0</v>
      </c>
      <c r="I25" s="82"/>
      <c r="L25" s="76" t="s">
        <v>209</v>
      </c>
      <c r="M25" s="77"/>
      <c r="N25" s="499">
        <f>[2]Talents!J25</f>
        <v>1.5</v>
      </c>
      <c r="O25" s="499">
        <f>[2]Talents!K25</f>
        <v>3</v>
      </c>
      <c r="P25" s="235">
        <f>[2]Talents!M25</f>
        <v>21</v>
      </c>
      <c r="Q25" s="78"/>
      <c r="R25" s="569" t="s">
        <v>288</v>
      </c>
      <c r="S25" s="77">
        <v>9</v>
      </c>
      <c r="T25" s="499">
        <f>[2]Talents!Z25</f>
        <v>14</v>
      </c>
      <c r="U25" s="499">
        <f>[2]Talents!AA25</f>
        <v>28</v>
      </c>
      <c r="V25" s="235">
        <f>[2]Talents!AC25</f>
        <v>73</v>
      </c>
      <c r="W25" s="78"/>
      <c r="X25" s="142" t="s">
        <v>1374</v>
      </c>
      <c r="Y25" s="143" t="s">
        <v>1375</v>
      </c>
      <c r="Z25" s="135" t="s">
        <v>165</v>
      </c>
      <c r="AA25" s="445">
        <v>1.2</v>
      </c>
      <c r="AB25" s="144" t="s">
        <v>1226</v>
      </c>
      <c r="AC25" s="145" t="s">
        <v>1226</v>
      </c>
      <c r="AD25" s="146" t="s">
        <v>1226</v>
      </c>
      <c r="AE25" s="147" t="s">
        <v>1281</v>
      </c>
      <c r="AF25" s="145"/>
      <c r="AG25" s="439"/>
      <c r="AH25" s="441"/>
      <c r="AI25" s="148"/>
      <c r="AJ25" s="94" t="s">
        <v>154</v>
      </c>
      <c r="AK25" s="111" t="s">
        <v>145</v>
      </c>
      <c r="AL25" s="506" t="s">
        <v>143</v>
      </c>
    </row>
    <row r="26" spans="1:38" ht="13.5" thickBot="1" x14ac:dyDescent="0.35">
      <c r="A26" s="113" t="s">
        <v>91</v>
      </c>
      <c r="B26" s="114">
        <v>8</v>
      </c>
      <c r="C26" s="114">
        <v>14</v>
      </c>
      <c r="D26" s="114">
        <v>22</v>
      </c>
      <c r="E26" s="115">
        <v>0</v>
      </c>
      <c r="F26" s="79" t="s">
        <v>166</v>
      </c>
      <c r="G26" s="233">
        <f>[2]Perso!J26</f>
        <v>52.25</v>
      </c>
      <c r="H26" s="116">
        <v>0</v>
      </c>
      <c r="I26" s="82"/>
      <c r="L26" s="76" t="s">
        <v>210</v>
      </c>
      <c r="M26" s="77"/>
      <c r="N26" s="499">
        <f>[2]Talents!J26</f>
        <v>11.5</v>
      </c>
      <c r="O26" s="499">
        <f>[2]Talents!K26</f>
        <v>23</v>
      </c>
      <c r="P26" s="235">
        <f>[2]Talents!M26</f>
        <v>67</v>
      </c>
      <c r="Q26" s="78"/>
      <c r="R26" s="569" t="s">
        <v>289</v>
      </c>
      <c r="S26" s="77">
        <v>9</v>
      </c>
      <c r="T26" s="499">
        <f>[2]Talents!Z26</f>
        <v>14</v>
      </c>
      <c r="U26" s="499">
        <f>[2]Talents!AA26</f>
        <v>28</v>
      </c>
      <c r="V26" s="235">
        <f>[2]Talents!AC26</f>
        <v>73</v>
      </c>
      <c r="W26" s="78"/>
      <c r="X26" s="149" t="s">
        <v>1376</v>
      </c>
      <c r="Y26" s="416">
        <f>IF(X26&lt;&gt;"Bouclier",ROUND(S45/5,0),0)</f>
        <v>11</v>
      </c>
      <c r="Z26" s="150"/>
      <c r="AA26" s="446">
        <v>3</v>
      </c>
      <c r="AB26" s="151"/>
      <c r="AC26" s="152"/>
      <c r="AD26" s="153"/>
      <c r="AE26" s="154" t="s">
        <v>1290</v>
      </c>
      <c r="AF26" s="152"/>
      <c r="AG26" s="442"/>
      <c r="AH26" s="443">
        <v>4</v>
      </c>
      <c r="AI26" s="155">
        <v>-2</v>
      </c>
      <c r="AJ26" s="100" t="s">
        <v>146</v>
      </c>
      <c r="AK26" s="101">
        <v>2</v>
      </c>
      <c r="AL26" s="105">
        <v>6</v>
      </c>
    </row>
    <row r="27" spans="1:38" ht="13.5" thickBot="1" x14ac:dyDescent="0.35">
      <c r="A27" s="117" t="s">
        <v>92</v>
      </c>
      <c r="B27" s="118">
        <v>8</v>
      </c>
      <c r="C27" s="118">
        <v>11</v>
      </c>
      <c r="D27" s="118">
        <v>22</v>
      </c>
      <c r="E27" s="119">
        <v>0</v>
      </c>
      <c r="F27" s="121" t="s">
        <v>485</v>
      </c>
      <c r="G27" s="233">
        <f>[2]Perso!J27</f>
        <v>12</v>
      </c>
      <c r="H27" s="156">
        <v>0</v>
      </c>
      <c r="L27" s="76" t="s">
        <v>211</v>
      </c>
      <c r="M27" s="77">
        <v>14</v>
      </c>
      <c r="N27" s="499">
        <f>[2]Talents!J27</f>
        <v>14</v>
      </c>
      <c r="O27" s="499">
        <f>[2]Talents!K27</f>
        <v>28</v>
      </c>
      <c r="P27" s="235">
        <f>[2]Talents!M27</f>
        <v>60</v>
      </c>
      <c r="Q27" s="78"/>
      <c r="R27" s="569" t="s">
        <v>290</v>
      </c>
      <c r="S27" s="77">
        <v>56</v>
      </c>
      <c r="T27" s="499">
        <f>[2]Talents!Z27</f>
        <v>14</v>
      </c>
      <c r="U27" s="499">
        <f>[2]Talents!AA27</f>
        <v>28</v>
      </c>
      <c r="V27" s="235">
        <f>[2]Talents!AC27</f>
        <v>73</v>
      </c>
      <c r="W27" s="78">
        <v>1</v>
      </c>
      <c r="X27" s="157"/>
      <c r="Z27" s="408" t="s">
        <v>1096</v>
      </c>
      <c r="AA27" s="455">
        <f>SUM(AA22:AA26)</f>
        <v>13.799999999999999</v>
      </c>
      <c r="AB27" s="112"/>
      <c r="AC27" s="158"/>
      <c r="AD27" s="158"/>
      <c r="AE27" s="158"/>
      <c r="AF27" s="409"/>
      <c r="AG27" s="488">
        <f>SUM(AG22:AG26)</f>
        <v>-1</v>
      </c>
      <c r="AH27" s="488">
        <f>SUM(AH22:AH26)</f>
        <v>2</v>
      </c>
      <c r="AI27" s="415">
        <f>SUM(AI22:AI26)</f>
        <v>-2</v>
      </c>
      <c r="AJ27" s="100">
        <v>4</v>
      </c>
      <c r="AK27" s="101">
        <v>1</v>
      </c>
      <c r="AL27" s="478"/>
    </row>
    <row r="28" spans="1:38" ht="13.5" thickBot="1" x14ac:dyDescent="0.35">
      <c r="A28" s="113" t="s">
        <v>93</v>
      </c>
      <c r="B28" s="114">
        <v>12</v>
      </c>
      <c r="C28" s="114">
        <v>50</v>
      </c>
      <c r="D28" s="114">
        <v>50</v>
      </c>
      <c r="E28" s="115">
        <v>0</v>
      </c>
      <c r="F28" s="79" t="s">
        <v>106</v>
      </c>
      <c r="G28" s="233">
        <f>[2]Perso!J28</f>
        <v>15</v>
      </c>
      <c r="H28" s="116">
        <v>1</v>
      </c>
      <c r="I28" s="82"/>
      <c r="L28" s="76" t="s">
        <v>212</v>
      </c>
      <c r="M28" s="77"/>
      <c r="N28" s="499">
        <f>[2]Talents!J28</f>
        <v>11.5</v>
      </c>
      <c r="O28" s="499">
        <f>[2]Talents!K28</f>
        <v>23</v>
      </c>
      <c r="P28" s="235">
        <f>[2]Talents!M28</f>
        <v>80</v>
      </c>
      <c r="Q28" s="78"/>
      <c r="R28" s="569" t="s">
        <v>291</v>
      </c>
      <c r="S28" s="77">
        <v>14</v>
      </c>
      <c r="T28" s="499">
        <f>[2]Talents!Z28</f>
        <v>14</v>
      </c>
      <c r="U28" s="499">
        <f>[2]Talents!AA28</f>
        <v>28</v>
      </c>
      <c r="V28" s="235">
        <f>[2]Talents!AC28</f>
        <v>73</v>
      </c>
      <c r="W28" s="78"/>
      <c r="X28" s="112"/>
      <c r="Y28" s="112"/>
      <c r="Z28" s="112"/>
      <c r="AA28" s="112"/>
      <c r="AB28" s="112"/>
      <c r="AC28" s="112"/>
      <c r="AD28" s="112"/>
      <c r="AE28" s="112"/>
      <c r="AF28" s="112" t="s">
        <v>1097</v>
      </c>
      <c r="AG28" s="507" t="s">
        <v>139</v>
      </c>
      <c r="AH28" s="507" t="s">
        <v>140</v>
      </c>
      <c r="AI28" s="507" t="s">
        <v>1086</v>
      </c>
      <c r="AJ28" s="108" t="s">
        <v>165</v>
      </c>
      <c r="AK28" s="109">
        <v>1</v>
      </c>
      <c r="AL28" s="479"/>
    </row>
    <row r="29" spans="1:38" ht="13.5" thickBot="1" x14ac:dyDescent="0.35">
      <c r="A29" s="117" t="s">
        <v>94</v>
      </c>
      <c r="B29" s="118">
        <v>14</v>
      </c>
      <c r="C29" s="118">
        <v>58</v>
      </c>
      <c r="D29" s="118">
        <v>58</v>
      </c>
      <c r="E29" s="119">
        <v>0</v>
      </c>
      <c r="F29" s="79" t="s">
        <v>49</v>
      </c>
      <c r="G29" s="233">
        <f>[2]Perso!J29</f>
        <v>49</v>
      </c>
      <c r="H29" s="116">
        <v>0</v>
      </c>
      <c r="I29" s="82"/>
      <c r="L29" s="76" t="s">
        <v>213</v>
      </c>
      <c r="M29" s="77"/>
      <c r="N29" s="499">
        <f>[2]Talents!J29</f>
        <v>7</v>
      </c>
      <c r="O29" s="499">
        <f>[2]Talents!K29</f>
        <v>14</v>
      </c>
      <c r="P29" s="235">
        <f>[2]Talents!M29</f>
        <v>47</v>
      </c>
      <c r="Q29" s="78"/>
      <c r="R29" s="569" t="s">
        <v>292</v>
      </c>
      <c r="S29" s="77">
        <v>9</v>
      </c>
      <c r="T29" s="499">
        <f>[2]Talents!Z29</f>
        <v>14</v>
      </c>
      <c r="U29" s="499">
        <f>[2]Talents!AA29</f>
        <v>28</v>
      </c>
      <c r="V29" s="235">
        <f>[2]Talents!AC29</f>
        <v>73</v>
      </c>
      <c r="W29" s="78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07" t="s">
        <v>1087</v>
      </c>
      <c r="AI29" s="414">
        <f>M7/5+M67/10</f>
        <v>0</v>
      </c>
      <c r="AJ29" s="94" t="s">
        <v>155</v>
      </c>
      <c r="AK29" s="111" t="s">
        <v>145</v>
      </c>
      <c r="AL29" s="506" t="s">
        <v>143</v>
      </c>
    </row>
    <row r="30" spans="1:38" ht="13.5" thickBot="1" x14ac:dyDescent="0.35">
      <c r="A30" s="110" t="s">
        <v>95</v>
      </c>
      <c r="B30" s="159">
        <v>9</v>
      </c>
      <c r="C30" s="159">
        <v>17</v>
      </c>
      <c r="D30" s="159">
        <v>21</v>
      </c>
      <c r="E30" s="160">
        <v>0</v>
      </c>
      <c r="F30" s="79" t="s">
        <v>24</v>
      </c>
      <c r="G30" s="233">
        <f>[2]Perso!J30</f>
        <v>80</v>
      </c>
      <c r="H30" s="116">
        <v>0</v>
      </c>
      <c r="I30" s="82"/>
      <c r="L30" s="76" t="s">
        <v>214</v>
      </c>
      <c r="M30" s="77"/>
      <c r="N30" s="499">
        <f>[2]Talents!J30</f>
        <v>18</v>
      </c>
      <c r="O30" s="499">
        <f>[2]Talents!K30</f>
        <v>36</v>
      </c>
      <c r="P30" s="235">
        <f>[2]Talents!M30</f>
        <v>75</v>
      </c>
      <c r="Q30" s="78"/>
      <c r="R30" s="570" t="s">
        <v>293</v>
      </c>
      <c r="S30" s="508">
        <v>26</v>
      </c>
      <c r="T30" s="509">
        <f>[2]Talents!Z30</f>
        <v>14</v>
      </c>
      <c r="U30" s="509">
        <f>[2]Talents!AA30</f>
        <v>28</v>
      </c>
      <c r="V30" s="510">
        <f>[2]Talents!AC30</f>
        <v>73</v>
      </c>
      <c r="W30" s="511">
        <v>-10</v>
      </c>
      <c r="X30" s="161" t="s">
        <v>129</v>
      </c>
      <c r="Y30" s="162"/>
      <c r="Z30" s="163" t="s">
        <v>130</v>
      </c>
      <c r="AA30" s="163"/>
      <c r="AB30" s="164" t="s">
        <v>143</v>
      </c>
      <c r="AC30" s="165" t="s">
        <v>131</v>
      </c>
      <c r="AD30" s="166"/>
      <c r="AE30" s="163" t="s">
        <v>132</v>
      </c>
      <c r="AF30" s="167" t="s">
        <v>133</v>
      </c>
      <c r="AG30" s="168" t="s">
        <v>134</v>
      </c>
      <c r="AH30" s="403"/>
      <c r="AI30" s="169" t="s">
        <v>135</v>
      </c>
      <c r="AJ30" s="100" t="s">
        <v>146</v>
      </c>
      <c r="AK30" s="101">
        <v>2</v>
      </c>
      <c r="AL30" s="105">
        <v>6</v>
      </c>
    </row>
    <row r="31" spans="1:38" ht="13.5" thickBot="1" x14ac:dyDescent="0.35">
      <c r="A31" s="117" t="s">
        <v>96</v>
      </c>
      <c r="B31" s="118">
        <v>11</v>
      </c>
      <c r="C31" s="118">
        <v>25</v>
      </c>
      <c r="D31" s="118">
        <v>25</v>
      </c>
      <c r="E31" s="119"/>
      <c r="F31" s="79" t="s">
        <v>25</v>
      </c>
      <c r="G31" s="233">
        <f>[2]Perso!J31</f>
        <v>160</v>
      </c>
      <c r="H31" s="116">
        <v>0</v>
      </c>
      <c r="I31" s="82"/>
      <c r="L31" s="76" t="s">
        <v>1171</v>
      </c>
      <c r="M31" s="77"/>
      <c r="N31" s="499">
        <f>[2]Talents!J31</f>
        <v>7</v>
      </c>
      <c r="O31" s="499">
        <f>[2]Talents!K31</f>
        <v>14</v>
      </c>
      <c r="P31" s="235">
        <f>[2]Talents!M31</f>
        <v>39</v>
      </c>
      <c r="Q31" s="78"/>
      <c r="R31" s="76" t="s">
        <v>245</v>
      </c>
      <c r="S31" s="77"/>
      <c r="T31" s="499">
        <f>[2]Talents!Z31</f>
        <v>7.5</v>
      </c>
      <c r="U31" s="499">
        <f>[2]Talents!AA31</f>
        <v>15</v>
      </c>
      <c r="V31" s="235">
        <f>[2]Talents!AC31</f>
        <v>66</v>
      </c>
      <c r="W31" s="78"/>
      <c r="X31" s="170" t="s">
        <v>136</v>
      </c>
      <c r="Y31" s="171"/>
      <c r="Z31" s="172" t="s">
        <v>137</v>
      </c>
      <c r="AA31" s="172"/>
      <c r="AB31" s="173" t="s">
        <v>142</v>
      </c>
      <c r="AC31" s="174"/>
      <c r="AD31" s="175"/>
      <c r="AE31" s="176"/>
      <c r="AF31" s="177"/>
      <c r="AG31" s="178"/>
      <c r="AH31" s="78"/>
      <c r="AI31" s="179" t="s">
        <v>138</v>
      </c>
      <c r="AJ31" s="100">
        <v>4</v>
      </c>
      <c r="AK31" s="101">
        <v>1</v>
      </c>
      <c r="AL31" s="478"/>
    </row>
    <row r="32" spans="1:38" ht="13.5" thickBot="1" x14ac:dyDescent="0.35">
      <c r="A32" s="67"/>
      <c r="B32" s="71"/>
      <c r="C32" s="102" t="s">
        <v>97</v>
      </c>
      <c r="D32" s="68" t="s">
        <v>104</v>
      </c>
      <c r="E32" s="70"/>
      <c r="F32" s="79" t="s">
        <v>26</v>
      </c>
      <c r="G32" s="233">
        <f>[2]Perso!J32</f>
        <v>240</v>
      </c>
      <c r="H32" s="116">
        <v>0</v>
      </c>
      <c r="I32" s="82"/>
      <c r="L32" s="567" t="s">
        <v>215</v>
      </c>
      <c r="M32" s="644">
        <v>57</v>
      </c>
      <c r="N32" s="499">
        <f>[2]Talents!J32</f>
        <v>18</v>
      </c>
      <c r="O32" s="499">
        <f>[2]Talents!K32</f>
        <v>36</v>
      </c>
      <c r="P32" s="235">
        <f>[2]Talents!M32</f>
        <v>66</v>
      </c>
      <c r="Q32" s="78">
        <v>1</v>
      </c>
      <c r="R32" s="567" t="s">
        <v>246</v>
      </c>
      <c r="S32" s="644">
        <v>53</v>
      </c>
      <c r="T32" s="499">
        <f>[2]Talents!Z32</f>
        <v>23</v>
      </c>
      <c r="U32" s="499">
        <f>[2]Talents!AA32</f>
        <v>46</v>
      </c>
      <c r="V32" s="235">
        <f>[2]Talents!AC32</f>
        <v>80</v>
      </c>
      <c r="W32" s="78"/>
      <c r="X32" s="181" t="s">
        <v>1546</v>
      </c>
      <c r="Y32" s="182"/>
      <c r="Z32" s="183" t="s">
        <v>1377</v>
      </c>
      <c r="AA32" s="183" t="s">
        <v>1026</v>
      </c>
      <c r="AB32" s="453">
        <v>20</v>
      </c>
      <c r="AC32" s="410" t="s">
        <v>139</v>
      </c>
      <c r="AD32" s="450"/>
      <c r="AE32" s="184"/>
      <c r="AF32" s="185" t="s">
        <v>1287</v>
      </c>
      <c r="AG32" s="186"/>
      <c r="AH32" s="404"/>
      <c r="AI32" s="187" t="s">
        <v>135</v>
      </c>
      <c r="AJ32" s="108" t="s">
        <v>165</v>
      </c>
      <c r="AK32" s="109">
        <v>1</v>
      </c>
      <c r="AL32" s="479"/>
    </row>
    <row r="33" spans="1:38" ht="13.5" thickBot="1" x14ac:dyDescent="0.35">
      <c r="A33" s="80" t="s">
        <v>72</v>
      </c>
      <c r="B33" s="159">
        <v>65</v>
      </c>
      <c r="C33" s="188">
        <v>5</v>
      </c>
      <c r="D33" s="501" t="s">
        <v>1359</v>
      </c>
      <c r="E33" s="82"/>
      <c r="F33" s="79" t="s">
        <v>107</v>
      </c>
      <c r="G33" s="233">
        <f>[2]Perso!J33</f>
        <v>27038</v>
      </c>
      <c r="H33" s="116">
        <v>0</v>
      </c>
      <c r="I33" s="82"/>
      <c r="L33" s="76" t="s">
        <v>216</v>
      </c>
      <c r="M33" s="77"/>
      <c r="N33" s="499">
        <f>[2]Talents!J33</f>
        <v>18</v>
      </c>
      <c r="O33" s="499">
        <f>[2]Talents!K33</f>
        <v>36</v>
      </c>
      <c r="P33" s="235">
        <f>[2]Talents!M33</f>
        <v>80</v>
      </c>
      <c r="Q33" s="78"/>
      <c r="R33" s="76" t="s">
        <v>247</v>
      </c>
      <c r="S33" s="77"/>
      <c r="T33" s="499">
        <f>[2]Talents!Z33</f>
        <v>3</v>
      </c>
      <c r="U33" s="499">
        <f>[2]Talents!AA33</f>
        <v>6</v>
      </c>
      <c r="V33" s="235">
        <f>[2]Talents!AC33</f>
        <v>34</v>
      </c>
      <c r="W33" s="78"/>
      <c r="X33" s="189" t="s">
        <v>1378</v>
      </c>
      <c r="Y33" s="190"/>
      <c r="Z33" s="191" t="s">
        <v>163</v>
      </c>
      <c r="AA33" s="191"/>
      <c r="AB33" s="449">
        <v>0</v>
      </c>
      <c r="AC33" s="411" t="s">
        <v>140</v>
      </c>
      <c r="AD33" s="451"/>
      <c r="AE33" s="192" t="s">
        <v>1281</v>
      </c>
      <c r="AF33" s="192" t="s">
        <v>1282</v>
      </c>
      <c r="AG33" s="192" t="s">
        <v>1283</v>
      </c>
      <c r="AH33" s="192"/>
      <c r="AI33" s="417">
        <f>ROUND($AB$35+$AD35+$AI$29,0)</f>
        <v>0</v>
      </c>
      <c r="AJ33" s="193" t="s">
        <v>156</v>
      </c>
      <c r="AK33" s="194" t="s">
        <v>145</v>
      </c>
      <c r="AL33" s="506" t="s">
        <v>143</v>
      </c>
    </row>
    <row r="34" spans="1:38" ht="13" x14ac:dyDescent="0.3">
      <c r="A34" s="80" t="s">
        <v>98</v>
      </c>
      <c r="B34" s="159">
        <v>53</v>
      </c>
      <c r="C34" s="188">
        <v>0</v>
      </c>
      <c r="D34" s="501" t="s">
        <v>1360</v>
      </c>
      <c r="E34" s="82"/>
      <c r="F34" s="79" t="s">
        <v>43</v>
      </c>
      <c r="G34" s="233"/>
      <c r="H34" s="81">
        <v>0</v>
      </c>
      <c r="I34" s="82"/>
      <c r="L34" s="76" t="s">
        <v>1124</v>
      </c>
      <c r="M34" s="77"/>
      <c r="N34" s="499">
        <f>[2]Talents!J34</f>
        <v>7.5</v>
      </c>
      <c r="O34" s="499">
        <f>[2]Talents!K34</f>
        <v>15</v>
      </c>
      <c r="P34" s="235">
        <f>[2]Talents!M34</f>
        <v>31</v>
      </c>
      <c r="Q34" s="78">
        <v>-10</v>
      </c>
      <c r="R34" s="76" t="s">
        <v>248</v>
      </c>
      <c r="S34" s="77"/>
      <c r="T34" s="499">
        <f>[2]Talents!Z34</f>
        <v>7</v>
      </c>
      <c r="U34" s="499">
        <f>[2]Talents!AA34</f>
        <v>14</v>
      </c>
      <c r="V34" s="235">
        <f>[2]Talents!AC34</f>
        <v>43</v>
      </c>
      <c r="W34" s="78"/>
      <c r="X34" s="189"/>
      <c r="Y34" s="195"/>
      <c r="Z34" s="196" t="s">
        <v>1088</v>
      </c>
      <c r="AA34" s="447">
        <v>8</v>
      </c>
      <c r="AB34" s="449">
        <v>5</v>
      </c>
      <c r="AC34" s="411" t="s">
        <v>1086</v>
      </c>
      <c r="AD34" s="451"/>
      <c r="AE34" s="490">
        <f>ROUND($G$12+S53/5+$AG$27+$AD32,0)</f>
        <v>50</v>
      </c>
      <c r="AF34" s="491">
        <f>ROUND($G$13+$AH$27+$AD33,0)</f>
        <v>41</v>
      </c>
      <c r="AG34" s="492">
        <f>AF34+$Y$26</f>
        <v>52</v>
      </c>
      <c r="AH34" s="405"/>
      <c r="AI34" s="197" t="s">
        <v>138</v>
      </c>
      <c r="AJ34" s="100" t="s">
        <v>152</v>
      </c>
      <c r="AK34" s="101">
        <v>1</v>
      </c>
      <c r="AL34" s="105">
        <v>4</v>
      </c>
    </row>
    <row r="35" spans="1:38" ht="13.5" thickBot="1" x14ac:dyDescent="0.35">
      <c r="A35" s="80" t="s">
        <v>73</v>
      </c>
      <c r="B35" s="159">
        <v>46</v>
      </c>
      <c r="C35" s="188">
        <v>0</v>
      </c>
      <c r="D35" s="501" t="s">
        <v>1361</v>
      </c>
      <c r="E35" s="82"/>
      <c r="F35" s="80" t="s">
        <v>308</v>
      </c>
      <c r="G35" s="233">
        <f>[2]Perso!J35</f>
        <v>20</v>
      </c>
      <c r="H35" s="116">
        <v>0</v>
      </c>
      <c r="I35" s="82"/>
      <c r="L35" s="76" t="s">
        <v>217</v>
      </c>
      <c r="M35" s="77">
        <v>4</v>
      </c>
      <c r="N35" s="499">
        <f>[2]Talents!J35</f>
        <v>7</v>
      </c>
      <c r="O35" s="499">
        <f>[2]Talents!K35</f>
        <v>14</v>
      </c>
      <c r="P35" s="235">
        <f>[2]Talents!M35</f>
        <v>38</v>
      </c>
      <c r="Q35" s="78"/>
      <c r="R35" s="76" t="s">
        <v>249</v>
      </c>
      <c r="S35" s="77"/>
      <c r="T35" s="499">
        <f>[2]Talents!Z35</f>
        <v>11.5</v>
      </c>
      <c r="U35" s="499">
        <f>[2]Talents!AA35</f>
        <v>23</v>
      </c>
      <c r="V35" s="235">
        <f>[2]Talents!AC35</f>
        <v>77</v>
      </c>
      <c r="W35" s="78"/>
      <c r="X35" s="198"/>
      <c r="Y35" s="199"/>
      <c r="Z35" s="200" t="s">
        <v>164</v>
      </c>
      <c r="AA35" s="191"/>
      <c r="AB35" s="454">
        <v>0</v>
      </c>
      <c r="AC35" s="412" t="s">
        <v>1087</v>
      </c>
      <c r="AD35" s="452"/>
      <c r="AE35" s="201" t="s">
        <v>139</v>
      </c>
      <c r="AF35" s="202" t="s">
        <v>140</v>
      </c>
      <c r="AG35" s="203" t="s">
        <v>1090</v>
      </c>
      <c r="AH35" s="203"/>
      <c r="AI35" s="413" t="str">
        <f>ROUND($G$27+$AA34+$AI$27+$AD34,0)&amp;"/"&amp;ROUND($AB34+$G$27+$AI$27+$AD34,0)</f>
        <v>18/15</v>
      </c>
      <c r="AJ35" s="100">
        <v>3</v>
      </c>
      <c r="AK35" s="101">
        <v>1</v>
      </c>
      <c r="AL35" s="478"/>
    </row>
    <row r="36" spans="1:38" ht="14" thickTop="1" thickBot="1" x14ac:dyDescent="0.35">
      <c r="A36" s="80" t="s">
        <v>99</v>
      </c>
      <c r="B36" s="159">
        <v>48</v>
      </c>
      <c r="C36" s="188">
        <v>0</v>
      </c>
      <c r="D36" s="501" t="s">
        <v>1362</v>
      </c>
      <c r="E36" s="82"/>
      <c r="F36" s="79" t="s">
        <v>492</v>
      </c>
      <c r="G36" s="233">
        <f>[2]Perso!J36</f>
        <v>9</v>
      </c>
      <c r="H36" s="116">
        <v>1</v>
      </c>
      <c r="I36" s="82"/>
      <c r="L36" s="567" t="s">
        <v>218</v>
      </c>
      <c r="M36" s="644">
        <v>73</v>
      </c>
      <c r="N36" s="499">
        <f>[2]Talents!J36</f>
        <v>18</v>
      </c>
      <c r="O36" s="499">
        <f>[2]Talents!K36</f>
        <v>36</v>
      </c>
      <c r="P36" s="235">
        <f>[2]Talents!M36</f>
        <v>80</v>
      </c>
      <c r="Q36" s="78"/>
      <c r="R36" s="112"/>
      <c r="S36" s="77">
        <v>0</v>
      </c>
      <c r="T36" s="499">
        <f>[2]Talents!Z36</f>
        <v>0</v>
      </c>
      <c r="U36" s="499">
        <f>[2]Talents!AA36</f>
        <v>0</v>
      </c>
      <c r="V36" s="235">
        <f>[2]Talents!AC36</f>
        <v>0</v>
      </c>
      <c r="W36" s="78"/>
      <c r="X36" s="181" t="s">
        <v>1379</v>
      </c>
      <c r="Y36" s="195"/>
      <c r="Z36" s="183" t="s">
        <v>1380</v>
      </c>
      <c r="AA36" s="183" t="s">
        <v>29</v>
      </c>
      <c r="AB36" s="453">
        <v>10</v>
      </c>
      <c r="AC36" s="410" t="s">
        <v>139</v>
      </c>
      <c r="AD36" s="450"/>
      <c r="AE36" s="184"/>
      <c r="AF36" s="185" t="s">
        <v>1384</v>
      </c>
      <c r="AG36" s="204"/>
      <c r="AH36" s="406"/>
      <c r="AI36" s="197" t="s">
        <v>135</v>
      </c>
      <c r="AJ36" s="108" t="s">
        <v>165</v>
      </c>
      <c r="AK36" s="109">
        <v>1</v>
      </c>
      <c r="AL36" s="479"/>
    </row>
    <row r="37" spans="1:38" ht="13.5" thickBot="1" x14ac:dyDescent="0.35">
      <c r="A37" s="89" t="s">
        <v>74</v>
      </c>
      <c r="B37" s="118">
        <v>70</v>
      </c>
      <c r="C37" s="205">
        <v>0</v>
      </c>
      <c r="D37" s="501"/>
      <c r="E37" s="82"/>
      <c r="F37" s="79" t="s">
        <v>493</v>
      </c>
      <c r="G37" s="233">
        <f>[2]Perso!J37</f>
        <v>10</v>
      </c>
      <c r="H37" s="116">
        <v>0</v>
      </c>
      <c r="I37" s="82"/>
      <c r="L37" s="76" t="s">
        <v>219</v>
      </c>
      <c r="M37" s="77"/>
      <c r="N37" s="499">
        <f>[2]Talents!J37</f>
        <v>11.5</v>
      </c>
      <c r="O37" s="499">
        <f>[2]Talents!K37</f>
        <v>23</v>
      </c>
      <c r="P37" s="235">
        <f>[2]Talents!M37</f>
        <v>65</v>
      </c>
      <c r="Q37" s="78"/>
      <c r="R37" s="206"/>
      <c r="S37" s="207"/>
      <c r="T37" s="500">
        <f>[2]Talents!Z37</f>
        <v>0</v>
      </c>
      <c r="U37" s="500">
        <f>[2]Talents!AA37</f>
        <v>0</v>
      </c>
      <c r="V37" s="498"/>
      <c r="W37" s="208"/>
      <c r="X37" s="189"/>
      <c r="Y37" s="195"/>
      <c r="Z37" s="191" t="s">
        <v>163</v>
      </c>
      <c r="AA37" s="191"/>
      <c r="AB37" s="449">
        <v>2</v>
      </c>
      <c r="AC37" s="411" t="s">
        <v>140</v>
      </c>
      <c r="AD37" s="451"/>
      <c r="AE37" s="192" t="s">
        <v>1227</v>
      </c>
      <c r="AF37" s="192" t="s">
        <v>1385</v>
      </c>
      <c r="AG37" s="192" t="s">
        <v>1386</v>
      </c>
      <c r="AH37" s="192"/>
      <c r="AI37" s="417">
        <f>ROUND(AB39+$AD39+$AI$29,0)</f>
        <v>10</v>
      </c>
      <c r="AJ37" s="94" t="s">
        <v>157</v>
      </c>
      <c r="AK37" s="111" t="s">
        <v>145</v>
      </c>
      <c r="AL37" s="506" t="s">
        <v>143</v>
      </c>
    </row>
    <row r="38" spans="1:38" ht="13" x14ac:dyDescent="0.3">
      <c r="D38" s="501"/>
      <c r="E38" s="82"/>
      <c r="F38" s="79" t="s">
        <v>108</v>
      </c>
      <c r="G38" s="233">
        <f>[2]Perso!J38</f>
        <v>0</v>
      </c>
      <c r="H38" s="116">
        <v>0</v>
      </c>
      <c r="I38" s="82"/>
      <c r="L38" s="76" t="s">
        <v>1169</v>
      </c>
      <c r="M38" s="77"/>
      <c r="N38" s="499">
        <f>[2]Talents!J38</f>
        <v>7</v>
      </c>
      <c r="O38" s="499">
        <f>[2]Talents!K38</f>
        <v>14</v>
      </c>
      <c r="P38" s="235">
        <f>[2]Talents!M38</f>
        <v>40</v>
      </c>
      <c r="Q38" s="78"/>
      <c r="R38" s="206"/>
      <c r="S38" s="207"/>
      <c r="T38" s="500">
        <f>[2]Talents!Z38</f>
        <v>0</v>
      </c>
      <c r="U38" s="500">
        <f>[2]Talents!AA38</f>
        <v>0</v>
      </c>
      <c r="V38" s="498"/>
      <c r="W38" s="208"/>
      <c r="X38" s="189"/>
      <c r="Y38" s="195"/>
      <c r="Z38" s="196" t="s">
        <v>166</v>
      </c>
      <c r="AA38" s="447">
        <v>25</v>
      </c>
      <c r="AB38" s="448">
        <v>7</v>
      </c>
      <c r="AC38" s="411" t="s">
        <v>1086</v>
      </c>
      <c r="AD38" s="451"/>
      <c r="AE38" s="490">
        <f>ROUND($G$12+S58/5+$AG$27+$AD36,0)</f>
        <v>53</v>
      </c>
      <c r="AF38" s="491">
        <f>ROUND($G$13+$AH$27+$AD37,0)</f>
        <v>41</v>
      </c>
      <c r="AG38" s="492">
        <f>AF38+$Y$26</f>
        <v>52</v>
      </c>
      <c r="AH38" s="405"/>
      <c r="AI38" s="197" t="s">
        <v>138</v>
      </c>
      <c r="AJ38" s="100" t="s">
        <v>152</v>
      </c>
      <c r="AK38" s="101">
        <v>1</v>
      </c>
      <c r="AL38" s="105">
        <v>5</v>
      </c>
    </row>
    <row r="39" spans="1:38" ht="13.5" thickBot="1" x14ac:dyDescent="0.35">
      <c r="B39" s="112" t="s">
        <v>173</v>
      </c>
      <c r="D39" s="501"/>
      <c r="E39" s="82"/>
      <c r="F39" s="79" t="s">
        <v>494</v>
      </c>
      <c r="G39" s="233" t="str">
        <f>[2]Perso!J39</f>
        <v>4 /+ 0</v>
      </c>
      <c r="H39" s="116">
        <v>0</v>
      </c>
      <c r="I39" s="160">
        <v>0</v>
      </c>
      <c r="L39" s="76" t="s">
        <v>220</v>
      </c>
      <c r="M39" s="77"/>
      <c r="N39" s="499">
        <f>[2]Talents!J39</f>
        <v>7</v>
      </c>
      <c r="O39" s="499">
        <f>[2]Talents!K39</f>
        <v>14</v>
      </c>
      <c r="P39" s="235">
        <f>[2]Talents!M39</f>
        <v>35</v>
      </c>
      <c r="Q39" s="78"/>
      <c r="R39" s="206"/>
      <c r="S39" s="207"/>
      <c r="T39" s="500">
        <f>[2]Talents!Z39</f>
        <v>0</v>
      </c>
      <c r="U39" s="500">
        <f>[2]Talents!AA39</f>
        <v>0</v>
      </c>
      <c r="V39" s="498"/>
      <c r="W39" s="208"/>
      <c r="X39" s="198"/>
      <c r="Y39" s="199"/>
      <c r="Z39" s="200" t="s">
        <v>164</v>
      </c>
      <c r="AA39" s="191"/>
      <c r="AB39" s="454">
        <v>10</v>
      </c>
      <c r="AC39" s="412" t="s">
        <v>1087</v>
      </c>
      <c r="AD39" s="452"/>
      <c r="AE39" s="209" t="s">
        <v>139</v>
      </c>
      <c r="AF39" s="210" t="s">
        <v>140</v>
      </c>
      <c r="AG39" s="203" t="s">
        <v>1090</v>
      </c>
      <c r="AH39" s="203"/>
      <c r="AI39" s="413" t="str">
        <f>ROUND($G$27+$AA38+$AI$27+$AD38,0)&amp;"/"&amp;ROUND($AB38+$G$27+$AI$27+$AD38,0)</f>
        <v>35/17</v>
      </c>
      <c r="AJ39" s="100">
        <v>3</v>
      </c>
      <c r="AK39" s="101">
        <v>1</v>
      </c>
      <c r="AL39" s="478"/>
    </row>
    <row r="40" spans="1:38" ht="14" thickTop="1" thickBot="1" x14ac:dyDescent="0.35">
      <c r="A40" s="68" t="s">
        <v>100</v>
      </c>
      <c r="B40" s="103" t="s">
        <v>1363</v>
      </c>
      <c r="C40" s="98" t="s">
        <v>1364</v>
      </c>
      <c r="D40" s="103" t="s">
        <v>1365</v>
      </c>
      <c r="E40" s="70"/>
      <c r="F40" s="211" t="s">
        <v>487</v>
      </c>
      <c r="G40" s="233">
        <f>[2]Perso!J40</f>
        <v>4</v>
      </c>
      <c r="H40" s="212"/>
      <c r="I40" s="82"/>
      <c r="L40" s="76" t="s">
        <v>221</v>
      </c>
      <c r="M40" s="77"/>
      <c r="N40" s="499">
        <f>[2]Talents!J40</f>
        <v>7</v>
      </c>
      <c r="O40" s="499">
        <f>[2]Talents!K40</f>
        <v>14</v>
      </c>
      <c r="P40" s="235">
        <f>[2]Talents!M40</f>
        <v>38</v>
      </c>
      <c r="Q40" s="78"/>
      <c r="R40" s="213" t="s">
        <v>125</v>
      </c>
      <c r="S40" s="214" t="s">
        <v>124</v>
      </c>
      <c r="T40" s="499" t="str">
        <f>[2]Talents!Z40</f>
        <v>N1</v>
      </c>
      <c r="U40" s="499" t="str">
        <f>[2]Talents!AA40</f>
        <v>N2</v>
      </c>
      <c r="V40" s="235" t="str">
        <f>[2]Talents!AC40</f>
        <v>N3</v>
      </c>
      <c r="W40" s="215" t="s">
        <v>75</v>
      </c>
      <c r="X40" s="181" t="s">
        <v>1381</v>
      </c>
      <c r="Y40" s="195"/>
      <c r="Z40" s="183" t="s">
        <v>1382</v>
      </c>
      <c r="AA40" s="183" t="s">
        <v>1026</v>
      </c>
      <c r="AB40" s="453">
        <v>20</v>
      </c>
      <c r="AC40" s="410" t="s">
        <v>139</v>
      </c>
      <c r="AD40" s="450"/>
      <c r="AE40" s="184"/>
      <c r="AF40" s="185" t="s">
        <v>1387</v>
      </c>
      <c r="AG40" s="204"/>
      <c r="AH40" s="406"/>
      <c r="AI40" s="197" t="s">
        <v>135</v>
      </c>
      <c r="AJ40" s="108" t="s">
        <v>165</v>
      </c>
      <c r="AK40" s="109">
        <v>1</v>
      </c>
      <c r="AL40" s="479"/>
    </row>
    <row r="41" spans="1:38" ht="13.5" thickBot="1" x14ac:dyDescent="0.35">
      <c r="A41" s="80" t="s">
        <v>101</v>
      </c>
      <c r="B41" s="74" t="s">
        <v>974</v>
      </c>
      <c r="C41" s="92" t="s">
        <v>1364</v>
      </c>
      <c r="D41" s="74" t="s">
        <v>1366</v>
      </c>
      <c r="E41" s="82"/>
      <c r="F41" s="79" t="s">
        <v>18</v>
      </c>
      <c r="G41" s="233">
        <f>[2]Perso!J41</f>
        <v>88</v>
      </c>
      <c r="H41" s="116">
        <v>-1</v>
      </c>
      <c r="I41" s="82"/>
      <c r="L41" s="76" t="s">
        <v>222</v>
      </c>
      <c r="M41" s="77"/>
      <c r="N41" s="499">
        <f>[2]Talents!J41</f>
        <v>3.5</v>
      </c>
      <c r="O41" s="499">
        <f>[2]Talents!K41</f>
        <v>7</v>
      </c>
      <c r="P41" s="235">
        <f>[2]Talents!M41</f>
        <v>27</v>
      </c>
      <c r="Q41" s="78"/>
      <c r="R41" s="76" t="s">
        <v>250</v>
      </c>
      <c r="S41" s="77">
        <v>12.5</v>
      </c>
      <c r="T41" s="499">
        <f>[2]Talents!Z41</f>
        <v>18</v>
      </c>
      <c r="U41" s="499">
        <f>[2]Talents!AA41</f>
        <v>36</v>
      </c>
      <c r="V41" s="235">
        <f>[2]Talents!AC41</f>
        <v>80</v>
      </c>
      <c r="W41" s="78"/>
      <c r="X41" s="189" t="s">
        <v>1383</v>
      </c>
      <c r="Y41" s="195"/>
      <c r="Z41" s="191" t="s">
        <v>163</v>
      </c>
      <c r="AA41" s="191"/>
      <c r="AB41" s="449">
        <v>1</v>
      </c>
      <c r="AC41" s="411" t="s">
        <v>140</v>
      </c>
      <c r="AD41" s="451"/>
      <c r="AE41" s="192" t="s">
        <v>1281</v>
      </c>
      <c r="AF41" s="192" t="s">
        <v>1282</v>
      </c>
      <c r="AG41" s="192" t="s">
        <v>1283</v>
      </c>
      <c r="AH41" s="192"/>
      <c r="AI41" s="417">
        <f>ROUND($AB$35+$AD43+$AI$29,0)</f>
        <v>0</v>
      </c>
      <c r="AJ41" s="94" t="s">
        <v>158</v>
      </c>
      <c r="AK41" s="111" t="s">
        <v>145</v>
      </c>
      <c r="AL41" s="506" t="s">
        <v>143</v>
      </c>
    </row>
    <row r="42" spans="1:38" ht="13" x14ac:dyDescent="0.3">
      <c r="A42" s="80" t="s">
        <v>102</v>
      </c>
      <c r="B42" s="74" t="s">
        <v>1216</v>
      </c>
      <c r="C42" s="92" t="s">
        <v>1354</v>
      </c>
      <c r="D42" s="74" t="s">
        <v>1367</v>
      </c>
      <c r="E42" s="82"/>
      <c r="F42" s="83" t="s">
        <v>44</v>
      </c>
      <c r="G42" s="233">
        <f>[2]Perso!J42</f>
        <v>6</v>
      </c>
      <c r="H42" s="116">
        <v>0</v>
      </c>
      <c r="I42" s="82"/>
      <c r="L42" s="76" t="s">
        <v>297</v>
      </c>
      <c r="M42" s="77"/>
      <c r="N42" s="499">
        <f>[2]Talents!J42</f>
        <v>3.5</v>
      </c>
      <c r="O42" s="499">
        <f>[2]Talents!K42</f>
        <v>7</v>
      </c>
      <c r="P42" s="235">
        <f>[2]Talents!M42</f>
        <v>21</v>
      </c>
      <c r="Q42" s="78"/>
      <c r="R42" s="76" t="s">
        <v>251</v>
      </c>
      <c r="S42" s="77">
        <v>58</v>
      </c>
      <c r="T42" s="499">
        <f>[2]Talents!Z42</f>
        <v>23</v>
      </c>
      <c r="U42" s="499">
        <f>[2]Talents!AA42</f>
        <v>46</v>
      </c>
      <c r="V42" s="235">
        <f>[2]Talents!AC42</f>
        <v>80</v>
      </c>
      <c r="W42" s="78"/>
      <c r="X42" s="189"/>
      <c r="Y42" s="195"/>
      <c r="Z42" s="196" t="s">
        <v>166</v>
      </c>
      <c r="AA42" s="447">
        <v>8</v>
      </c>
      <c r="AB42" s="448">
        <v>6</v>
      </c>
      <c r="AC42" s="411" t="s">
        <v>1086</v>
      </c>
      <c r="AD42" s="451"/>
      <c r="AE42" s="490">
        <f>ROUND($G$12+S53/5+$AG$27+$AD40,0)</f>
        <v>50</v>
      </c>
      <c r="AF42" s="491">
        <f>ROUND($G$13+$AH$27+$AD41,0)</f>
        <v>41</v>
      </c>
      <c r="AG42" s="492">
        <f>AF42+$Y$26</f>
        <v>52</v>
      </c>
      <c r="AH42" s="405"/>
      <c r="AI42" s="197" t="s">
        <v>138</v>
      </c>
      <c r="AJ42" s="100" t="s">
        <v>146</v>
      </c>
      <c r="AK42" s="101">
        <v>1</v>
      </c>
      <c r="AL42" s="105">
        <v>5</v>
      </c>
    </row>
    <row r="43" spans="1:38" ht="13.5" thickBot="1" x14ac:dyDescent="0.35">
      <c r="A43" s="89" t="s">
        <v>103</v>
      </c>
      <c r="B43" s="97" t="s">
        <v>1368</v>
      </c>
      <c r="C43" s="96"/>
      <c r="D43" s="97"/>
      <c r="E43" s="90"/>
      <c r="F43" s="83" t="s">
        <v>109</v>
      </c>
      <c r="G43" s="233">
        <f>[2]Perso!J43</f>
        <v>33.6</v>
      </c>
      <c r="H43" s="116">
        <v>0</v>
      </c>
      <c r="I43" s="82"/>
      <c r="L43" s="76" t="s">
        <v>223</v>
      </c>
      <c r="M43" s="77"/>
      <c r="N43" s="499">
        <f>[2]Talents!J43</f>
        <v>7</v>
      </c>
      <c r="O43" s="499">
        <f>[2]Talents!K43</f>
        <v>14</v>
      </c>
      <c r="P43" s="235">
        <f>[2]Talents!M43</f>
        <v>39</v>
      </c>
      <c r="Q43" s="78"/>
      <c r="R43" s="76" t="s">
        <v>252</v>
      </c>
      <c r="S43" s="77">
        <v>12.5</v>
      </c>
      <c r="T43" s="499">
        <f>[2]Talents!Z43</f>
        <v>18</v>
      </c>
      <c r="U43" s="499">
        <f>[2]Talents!AA43</f>
        <v>36</v>
      </c>
      <c r="V43" s="235">
        <f>[2]Talents!AC43</f>
        <v>80</v>
      </c>
      <c r="W43" s="78"/>
      <c r="X43" s="198"/>
      <c r="Y43" s="199"/>
      <c r="Z43" s="200" t="s">
        <v>164</v>
      </c>
      <c r="AA43" s="191"/>
      <c r="AB43" s="454"/>
      <c r="AC43" s="412" t="s">
        <v>1087</v>
      </c>
      <c r="AD43" s="452"/>
      <c r="AE43" s="209" t="s">
        <v>139</v>
      </c>
      <c r="AF43" s="210" t="s">
        <v>140</v>
      </c>
      <c r="AG43" s="203" t="s">
        <v>1090</v>
      </c>
      <c r="AH43" s="203"/>
      <c r="AI43" s="413" t="str">
        <f>ROUND($G$27+$AA42+$AI$27+$AD42,0)&amp;"/"&amp;ROUND($AB42+$G$27+$AI$27+$AD42,0)</f>
        <v>18/16</v>
      </c>
      <c r="AJ43" s="100">
        <v>4</v>
      </c>
      <c r="AK43" s="101">
        <v>1</v>
      </c>
      <c r="AL43" s="478"/>
    </row>
    <row r="44" spans="1:38" ht="13.5" thickBot="1" x14ac:dyDescent="0.35">
      <c r="C44" s="216" t="s">
        <v>311</v>
      </c>
      <c r="D44" s="112"/>
      <c r="F44" s="83" t="s">
        <v>19</v>
      </c>
      <c r="G44" s="233" t="str">
        <f>[2]Perso!J44</f>
        <v>5 PdN/j</v>
      </c>
      <c r="H44" s="116">
        <v>0</v>
      </c>
      <c r="I44" s="82"/>
      <c r="L44" s="76" t="s">
        <v>224</v>
      </c>
      <c r="M44" s="77"/>
      <c r="N44" s="499">
        <f>[2]Talents!J44</f>
        <v>11.5</v>
      </c>
      <c r="O44" s="499">
        <f>[2]Talents!K44</f>
        <v>23</v>
      </c>
      <c r="P44" s="235">
        <f>[2]Talents!M44</f>
        <v>56</v>
      </c>
      <c r="Q44" s="78"/>
      <c r="R44" s="76" t="s">
        <v>253</v>
      </c>
      <c r="S44" s="77">
        <v>78</v>
      </c>
      <c r="T44" s="499">
        <f>[2]Talents!Z44</f>
        <v>21</v>
      </c>
      <c r="U44" s="499">
        <f>[2]Talents!AA44</f>
        <v>42</v>
      </c>
      <c r="V44" s="235">
        <f>[2]Talents!AC44</f>
        <v>80</v>
      </c>
      <c r="W44" s="78"/>
      <c r="X44" s="181"/>
      <c r="Y44" s="195"/>
      <c r="Z44" s="183" t="s">
        <v>165</v>
      </c>
      <c r="AA44" s="183"/>
      <c r="AB44" s="453"/>
      <c r="AC44" s="410" t="s">
        <v>139</v>
      </c>
      <c r="AD44" s="450"/>
      <c r="AE44" s="184"/>
      <c r="AF44" s="185"/>
      <c r="AG44" s="204"/>
      <c r="AH44" s="406"/>
      <c r="AI44" s="197" t="s">
        <v>135</v>
      </c>
      <c r="AJ44" s="108" t="s">
        <v>165</v>
      </c>
      <c r="AK44" s="109">
        <v>1</v>
      </c>
      <c r="AL44" s="479"/>
    </row>
    <row r="45" spans="1:38" ht="13.5" thickBot="1" x14ac:dyDescent="0.35">
      <c r="F45" s="79" t="s">
        <v>110</v>
      </c>
      <c r="G45" s="233" t="str">
        <f>[2]Perso!J45</f>
        <v>4,3 km/h</v>
      </c>
      <c r="H45" s="116">
        <v>0</v>
      </c>
      <c r="I45" s="82"/>
      <c r="L45" s="429" t="s">
        <v>277</v>
      </c>
      <c r="M45" s="512"/>
      <c r="N45" s="513">
        <f>[2]Talents!J45</f>
        <v>3</v>
      </c>
      <c r="O45" s="513">
        <f>[2]Talents!K45</f>
        <v>6</v>
      </c>
      <c r="P45" s="514">
        <f>[2]Talents!M45</f>
        <v>22</v>
      </c>
      <c r="Q45" s="515"/>
      <c r="R45" s="76" t="s">
        <v>254</v>
      </c>
      <c r="S45" s="77">
        <v>55</v>
      </c>
      <c r="T45" s="499">
        <f>[2]Talents!Z45</f>
        <v>23</v>
      </c>
      <c r="U45" s="499">
        <f>[2]Talents!AA45</f>
        <v>46</v>
      </c>
      <c r="V45" s="235">
        <f>[2]Talents!AC45</f>
        <v>80</v>
      </c>
      <c r="W45" s="78"/>
      <c r="X45" s="189"/>
      <c r="Y45" s="195"/>
      <c r="Z45" s="191" t="s">
        <v>163</v>
      </c>
      <c r="AA45" s="191"/>
      <c r="AB45" s="449"/>
      <c r="AC45" s="411" t="s">
        <v>140</v>
      </c>
      <c r="AD45" s="451"/>
      <c r="AE45" s="192"/>
      <c r="AF45" s="192"/>
      <c r="AG45" s="192"/>
      <c r="AH45" s="192"/>
      <c r="AI45" s="417">
        <f>ROUND($AB$35+$AD47+$AI$29,0)</f>
        <v>0</v>
      </c>
      <c r="AJ45" s="94" t="s">
        <v>159</v>
      </c>
      <c r="AK45" s="111" t="s">
        <v>145</v>
      </c>
      <c r="AL45" s="480" t="s">
        <v>143</v>
      </c>
    </row>
    <row r="46" spans="1:38" ht="13.5" thickBot="1" x14ac:dyDescent="0.35">
      <c r="F46" s="79" t="s">
        <v>45</v>
      </c>
      <c r="G46" s="233">
        <f>[2]Perso!J46</f>
        <v>15</v>
      </c>
      <c r="H46" s="116">
        <v>0</v>
      </c>
      <c r="I46" s="82"/>
      <c r="L46" s="141" t="s">
        <v>279</v>
      </c>
      <c r="M46" s="508"/>
      <c r="N46" s="509">
        <f>[2]Talents!J46</f>
        <v>3</v>
      </c>
      <c r="O46" s="509">
        <f>[2]Talents!K46</f>
        <v>6</v>
      </c>
      <c r="P46" s="510">
        <f>[2]Talents!M46</f>
        <v>22</v>
      </c>
      <c r="Q46" s="511"/>
      <c r="R46" s="76" t="s">
        <v>41</v>
      </c>
      <c r="S46" s="77">
        <v>64</v>
      </c>
      <c r="T46" s="499">
        <f>[2]Talents!Z46</f>
        <v>14</v>
      </c>
      <c r="U46" s="499">
        <f>[2]Talents!AA46</f>
        <v>28</v>
      </c>
      <c r="V46" s="235">
        <f>[2]Talents!AC46</f>
        <v>80</v>
      </c>
      <c r="W46" s="78"/>
      <c r="X46" s="189"/>
      <c r="Y46" s="195"/>
      <c r="Z46" s="196" t="s">
        <v>166</v>
      </c>
      <c r="AA46" s="447"/>
      <c r="AB46" s="448"/>
      <c r="AC46" s="411" t="s">
        <v>1086</v>
      </c>
      <c r="AD46" s="451"/>
      <c r="AE46" s="490">
        <f>ROUND($G$12+$S65/5+$AG$27+$AD44,0)</f>
        <v>42</v>
      </c>
      <c r="AF46" s="491">
        <f>ROUND($G$13+$AH$27+$AD45,0)</f>
        <v>41</v>
      </c>
      <c r="AG46" s="492">
        <f>AF46+$Y$26</f>
        <v>52</v>
      </c>
      <c r="AH46" s="405"/>
      <c r="AI46" s="197" t="s">
        <v>138</v>
      </c>
      <c r="AJ46" s="100" t="s">
        <v>146</v>
      </c>
      <c r="AK46" s="101">
        <v>1</v>
      </c>
      <c r="AL46" s="105">
        <v>5</v>
      </c>
    </row>
    <row r="47" spans="1:38" ht="13.5" thickBot="1" x14ac:dyDescent="0.35">
      <c r="F47" s="217" t="s">
        <v>486</v>
      </c>
      <c r="G47" s="233" t="str">
        <f>[2]Perso!J47</f>
        <v>7,2m / 2,4m</v>
      </c>
      <c r="I47" s="90"/>
      <c r="L47" s="429" t="s">
        <v>1168</v>
      </c>
      <c r="M47" s="512"/>
      <c r="N47" s="513">
        <f>[2]Talents!J47</f>
        <v>7</v>
      </c>
      <c r="O47" s="513">
        <f>[2]Talents!K47</f>
        <v>14</v>
      </c>
      <c r="P47" s="514">
        <f>[2]Talents!M47</f>
        <v>34</v>
      </c>
      <c r="Q47" s="515"/>
      <c r="R47" s="76" t="s">
        <v>255</v>
      </c>
      <c r="S47" s="77">
        <v>55</v>
      </c>
      <c r="T47" s="499">
        <f>[2]Talents!Z47</f>
        <v>18</v>
      </c>
      <c r="U47" s="499">
        <f>[2]Talents!AA47</f>
        <v>36</v>
      </c>
      <c r="V47" s="235">
        <f>[2]Talents!AC47</f>
        <v>80</v>
      </c>
      <c r="W47" s="78"/>
      <c r="X47" s="198"/>
      <c r="Y47" s="199"/>
      <c r="Z47" s="200" t="s">
        <v>164</v>
      </c>
      <c r="AA47" s="191"/>
      <c r="AB47" s="454"/>
      <c r="AC47" s="412" t="s">
        <v>1087</v>
      </c>
      <c r="AD47" s="452"/>
      <c r="AE47" s="209" t="s">
        <v>139</v>
      </c>
      <c r="AF47" s="210" t="s">
        <v>140</v>
      </c>
      <c r="AG47" s="203" t="s">
        <v>1092</v>
      </c>
      <c r="AH47" s="203"/>
      <c r="AI47" s="413" t="str">
        <f>ROUND($G$27+$AA46+$AI$27+$AD46,0)&amp;"/"&amp;ROUND($AB46+$G$27+$AI$27+$AD46,0)</f>
        <v>10/10</v>
      </c>
      <c r="AJ47" s="100">
        <v>4</v>
      </c>
      <c r="AK47" s="101">
        <v>1</v>
      </c>
      <c r="AL47" s="478"/>
    </row>
    <row r="48" spans="1:38" ht="13.5" thickBot="1" x14ac:dyDescent="0.35">
      <c r="L48" s="123" t="s">
        <v>279</v>
      </c>
      <c r="M48" s="77"/>
      <c r="N48" s="499">
        <f>[2]Talents!J48</f>
        <v>7</v>
      </c>
      <c r="O48" s="499">
        <f>[2]Talents!K48</f>
        <v>14</v>
      </c>
      <c r="P48" s="235">
        <f>[2]Talents!M48</f>
        <v>34</v>
      </c>
      <c r="Q48" s="78"/>
      <c r="R48" s="76" t="s">
        <v>256</v>
      </c>
      <c r="S48" s="77">
        <v>12</v>
      </c>
      <c r="T48" s="499">
        <f>[2]Talents!Z48</f>
        <v>11.5</v>
      </c>
      <c r="U48" s="499">
        <f>[2]Talents!AA48</f>
        <v>23</v>
      </c>
      <c r="V48" s="235">
        <f>[2]Talents!AC48</f>
        <v>80</v>
      </c>
      <c r="W48" s="78"/>
      <c r="X48" s="277" t="s">
        <v>1388</v>
      </c>
      <c r="Y48" s="218" t="s">
        <v>141</v>
      </c>
      <c r="Z48" s="183" t="s">
        <v>1389</v>
      </c>
      <c r="AA48" s="183" t="s">
        <v>22</v>
      </c>
      <c r="AB48" s="453">
        <v>5</v>
      </c>
      <c r="AC48" s="410" t="s">
        <v>139</v>
      </c>
      <c r="AD48" s="450"/>
      <c r="AE48" s="184"/>
      <c r="AF48" s="185" t="s">
        <v>1390</v>
      </c>
      <c r="AG48" s="219"/>
      <c r="AH48" s="407"/>
      <c r="AI48" s="197" t="s">
        <v>135</v>
      </c>
      <c r="AJ48" s="108" t="s">
        <v>165</v>
      </c>
      <c r="AK48" s="109">
        <v>1</v>
      </c>
      <c r="AL48" s="479"/>
    </row>
    <row r="49" spans="12:35" ht="13.5" thickBot="1" x14ac:dyDescent="0.35">
      <c r="L49" s="141" t="s">
        <v>279</v>
      </c>
      <c r="M49" s="508"/>
      <c r="N49" s="509">
        <f>[2]Talents!J49</f>
        <v>7</v>
      </c>
      <c r="O49" s="509">
        <f>[2]Talents!K49</f>
        <v>14</v>
      </c>
      <c r="P49" s="510">
        <f>[2]Talents!M49</f>
        <v>34</v>
      </c>
      <c r="Q49" s="511"/>
      <c r="R49" s="76" t="s">
        <v>257</v>
      </c>
      <c r="S49" s="77">
        <v>12.5</v>
      </c>
      <c r="T49" s="499">
        <f>[2]Talents!Z49</f>
        <v>18</v>
      </c>
      <c r="U49" s="499">
        <f>[2]Talents!AA49</f>
        <v>36</v>
      </c>
      <c r="V49" s="235">
        <f>[2]Talents!AC49</f>
        <v>80</v>
      </c>
      <c r="W49" s="78"/>
      <c r="X49" s="189"/>
      <c r="Y49" s="195"/>
      <c r="Z49" s="191" t="s">
        <v>163</v>
      </c>
      <c r="AA49" s="191"/>
      <c r="AB49" s="449"/>
      <c r="AC49" s="411" t="s">
        <v>140</v>
      </c>
      <c r="AD49" s="451"/>
      <c r="AE49" s="192" t="s">
        <v>1230</v>
      </c>
      <c r="AF49" s="192" t="s">
        <v>1391</v>
      </c>
      <c r="AG49" s="192" t="s">
        <v>1392</v>
      </c>
      <c r="AH49" s="192"/>
      <c r="AI49" s="417">
        <f>ROUND(AB51+$AD51+$AI$29,0)</f>
        <v>5</v>
      </c>
    </row>
    <row r="50" spans="12:35" ht="13.5" thickBot="1" x14ac:dyDescent="0.35">
      <c r="L50" s="76" t="s">
        <v>1167</v>
      </c>
      <c r="M50" s="77">
        <v>28</v>
      </c>
      <c r="N50" s="499">
        <f>[2]Talents!J50</f>
        <v>7</v>
      </c>
      <c r="O50" s="499">
        <f>[2]Talents!K50</f>
        <v>14</v>
      </c>
      <c r="P50" s="235">
        <f>[2]Talents!M50</f>
        <v>46</v>
      </c>
      <c r="Q50" s="78"/>
      <c r="R50" s="76" t="s">
        <v>258</v>
      </c>
      <c r="S50" s="77">
        <v>65</v>
      </c>
      <c r="T50" s="499">
        <f>[2]Talents!Z50</f>
        <v>18</v>
      </c>
      <c r="U50" s="499">
        <f>[2]Talents!AA50</f>
        <v>36</v>
      </c>
      <c r="V50" s="235">
        <f>[2]Talents!AC50</f>
        <v>80</v>
      </c>
      <c r="W50" s="78"/>
      <c r="X50" s="189"/>
      <c r="Y50" s="195"/>
      <c r="Z50" s="196" t="s">
        <v>166</v>
      </c>
      <c r="AA50" s="196"/>
      <c r="AB50" s="449">
        <v>17</v>
      </c>
      <c r="AC50" s="411" t="s">
        <v>1086</v>
      </c>
      <c r="AD50" s="451"/>
      <c r="AE50" s="490">
        <f>ROUND($G$12+garc/5+$AG$27+$AD48,0)</f>
        <v>53</v>
      </c>
      <c r="AF50" s="491">
        <f>ROUND($G$13+$AH$27+$AD49,0)</f>
        <v>41</v>
      </c>
      <c r="AG50" s="489" t="s">
        <v>477</v>
      </c>
      <c r="AH50" s="405"/>
      <c r="AI50" s="197" t="s">
        <v>138</v>
      </c>
    </row>
    <row r="51" spans="12:35" ht="13.5" thickBot="1" x14ac:dyDescent="0.35">
      <c r="L51" s="429" t="s">
        <v>1166</v>
      </c>
      <c r="M51" s="644">
        <v>26</v>
      </c>
      <c r="N51" s="513">
        <f>[2]Talents!J51</f>
        <v>7</v>
      </c>
      <c r="O51" s="513">
        <f>[2]Talents!K51</f>
        <v>14</v>
      </c>
      <c r="P51" s="514">
        <f>[2]Talents!M51</f>
        <v>39</v>
      </c>
      <c r="Q51" s="515"/>
      <c r="R51" s="76" t="s">
        <v>259</v>
      </c>
      <c r="S51" s="77">
        <v>12.5</v>
      </c>
      <c r="T51" s="499">
        <f>[2]Talents!Z51</f>
        <v>18</v>
      </c>
      <c r="U51" s="499">
        <f>[2]Talents!AA51</f>
        <v>36</v>
      </c>
      <c r="V51" s="235">
        <f>[2]Talents!AC51</f>
        <v>80</v>
      </c>
      <c r="W51" s="78"/>
      <c r="X51" s="220"/>
      <c r="Y51" s="199"/>
      <c r="Z51" s="200" t="s">
        <v>164</v>
      </c>
      <c r="AA51" s="191"/>
      <c r="AB51" s="454">
        <v>5</v>
      </c>
      <c r="AC51" s="412" t="s">
        <v>1087</v>
      </c>
      <c r="AD51" s="452"/>
      <c r="AE51" s="209" t="s">
        <v>139</v>
      </c>
      <c r="AF51" s="210" t="s">
        <v>140</v>
      </c>
      <c r="AG51" s="203"/>
      <c r="AH51" s="203"/>
      <c r="AI51" s="418">
        <f>ROUND($G$27+$AB50+$AI$27+$AD50,0)</f>
        <v>27</v>
      </c>
    </row>
    <row r="52" spans="12:35" ht="13" x14ac:dyDescent="0.3">
      <c r="L52" s="123" t="s">
        <v>279</v>
      </c>
      <c r="M52" s="77"/>
      <c r="N52" s="499">
        <f>[2]Talents!J52</f>
        <v>7</v>
      </c>
      <c r="O52" s="499">
        <f>[2]Talents!K52</f>
        <v>14</v>
      </c>
      <c r="P52" s="235">
        <f>[2]Talents!M52</f>
        <v>39</v>
      </c>
      <c r="Q52" s="78"/>
      <c r="R52" s="76" t="s">
        <v>260</v>
      </c>
      <c r="S52" s="77">
        <v>42</v>
      </c>
      <c r="T52" s="499">
        <f>[2]Talents!Z52</f>
        <v>3</v>
      </c>
      <c r="U52" s="499">
        <f>[2]Talents!AA52</f>
        <v>6</v>
      </c>
      <c r="V52" s="235">
        <f>[2]Talents!AC52</f>
        <v>51</v>
      </c>
      <c r="W52" s="78"/>
      <c r="X52" s="181"/>
      <c r="Y52" s="218" t="s">
        <v>141</v>
      </c>
      <c r="Z52" s="183" t="s">
        <v>165</v>
      </c>
      <c r="AA52" s="183"/>
      <c r="AB52" s="453"/>
      <c r="AC52" s="410" t="s">
        <v>139</v>
      </c>
      <c r="AD52" s="450"/>
      <c r="AE52" s="184"/>
      <c r="AF52" s="185"/>
      <c r="AG52" s="219"/>
      <c r="AH52" s="407"/>
      <c r="AI52" s="197" t="s">
        <v>135</v>
      </c>
    </row>
    <row r="53" spans="12:35" ht="13.5" thickBot="1" x14ac:dyDescent="0.35">
      <c r="L53" s="123" t="s">
        <v>279</v>
      </c>
      <c r="M53" s="77"/>
      <c r="N53" s="499">
        <f>[2]Talents!J53</f>
        <v>7</v>
      </c>
      <c r="O53" s="499">
        <f>[2]Talents!K53</f>
        <v>14</v>
      </c>
      <c r="P53" s="235">
        <f>[2]Talents!M53</f>
        <v>39</v>
      </c>
      <c r="Q53" s="78"/>
      <c r="R53" s="76" t="s">
        <v>261</v>
      </c>
      <c r="S53" s="77">
        <v>44</v>
      </c>
      <c r="T53" s="499">
        <f>[2]Talents!Z53</f>
        <v>23</v>
      </c>
      <c r="U53" s="499">
        <f>[2]Talents!AA53</f>
        <v>46</v>
      </c>
      <c r="V53" s="235">
        <f>[2]Talents!AC53</f>
        <v>80</v>
      </c>
      <c r="W53" s="78"/>
      <c r="X53" s="189"/>
      <c r="Y53" s="195"/>
      <c r="Z53" s="191" t="s">
        <v>163</v>
      </c>
      <c r="AA53" s="191"/>
      <c r="AB53" s="449"/>
      <c r="AC53" s="411" t="s">
        <v>140</v>
      </c>
      <c r="AD53" s="451"/>
      <c r="AE53" s="192"/>
      <c r="AF53" s="192"/>
      <c r="AG53" s="192"/>
      <c r="AH53" s="192"/>
      <c r="AI53" s="417">
        <f>ROUND($AB$35+$AD55+$AI$29,0)</f>
        <v>0</v>
      </c>
    </row>
    <row r="54" spans="12:35" ht="13" x14ac:dyDescent="0.3">
      <c r="L54" s="123" t="s">
        <v>279</v>
      </c>
      <c r="M54" s="77"/>
      <c r="N54" s="499">
        <f>[2]Talents!J54</f>
        <v>7</v>
      </c>
      <c r="O54" s="499">
        <f>[2]Talents!K54</f>
        <v>14</v>
      </c>
      <c r="P54" s="235">
        <f>[2]Talents!M54</f>
        <v>39</v>
      </c>
      <c r="Q54" s="78"/>
      <c r="R54" s="76" t="s">
        <v>23</v>
      </c>
      <c r="S54" s="77">
        <v>60</v>
      </c>
      <c r="T54" s="499">
        <f>[2]Talents!Z54</f>
        <v>11.5</v>
      </c>
      <c r="U54" s="499">
        <f>[2]Talents!AA54</f>
        <v>23</v>
      </c>
      <c r="V54" s="235">
        <f>[2]Talents!AC54</f>
        <v>80</v>
      </c>
      <c r="W54" s="78"/>
      <c r="X54" s="189"/>
      <c r="Y54" s="195"/>
      <c r="Z54" s="196" t="s">
        <v>166</v>
      </c>
      <c r="AA54" s="196"/>
      <c r="AB54" s="449"/>
      <c r="AC54" s="411" t="s">
        <v>1086</v>
      </c>
      <c r="AD54" s="451"/>
      <c r="AE54" s="490">
        <f>ROUND($G$12+$S73/5+$AG$27+$AD52,0)</f>
        <v>41</v>
      </c>
      <c r="AF54" s="491">
        <f>ROUND($G$13+$AH$27+$AD53,0)</f>
        <v>41</v>
      </c>
      <c r="AG54" s="489" t="s">
        <v>477</v>
      </c>
      <c r="AH54" s="405"/>
      <c r="AI54" s="197" t="s">
        <v>138</v>
      </c>
    </row>
    <row r="55" spans="12:35" ht="13.5" thickBot="1" x14ac:dyDescent="0.35">
      <c r="L55" s="141" t="s">
        <v>279</v>
      </c>
      <c r="M55" s="508"/>
      <c r="N55" s="509">
        <f>[2]Talents!J55</f>
        <v>7</v>
      </c>
      <c r="O55" s="509">
        <f>[2]Talents!K55</f>
        <v>14</v>
      </c>
      <c r="P55" s="510">
        <f>[2]Talents!M55</f>
        <v>39</v>
      </c>
      <c r="Q55" s="511"/>
      <c r="R55" s="76" t="s">
        <v>262</v>
      </c>
      <c r="S55" s="77">
        <v>12.5</v>
      </c>
      <c r="T55" s="499">
        <f>[2]Talents!Z55</f>
        <v>18</v>
      </c>
      <c r="U55" s="499">
        <f>[2]Talents!AA55</f>
        <v>36</v>
      </c>
      <c r="V55" s="235">
        <f>[2]Talents!AC55</f>
        <v>80</v>
      </c>
      <c r="W55" s="78"/>
      <c r="X55" s="220"/>
      <c r="Y55" s="221"/>
      <c r="Z55" s="200" t="s">
        <v>164</v>
      </c>
      <c r="AA55" s="191"/>
      <c r="AB55" s="454"/>
      <c r="AC55" s="412" t="s">
        <v>1087</v>
      </c>
      <c r="AD55" s="452"/>
      <c r="AE55" s="209" t="s">
        <v>139</v>
      </c>
      <c r="AF55" s="210" t="s">
        <v>140</v>
      </c>
      <c r="AG55" s="203"/>
      <c r="AH55" s="405"/>
      <c r="AI55" s="418">
        <f>ROUND($G$27+$AB54+$AI$27+$AD54,0)</f>
        <v>10</v>
      </c>
    </row>
    <row r="56" spans="12:35" ht="13" x14ac:dyDescent="0.3">
      <c r="L56" s="429" t="s">
        <v>1030</v>
      </c>
      <c r="M56" s="512"/>
      <c r="N56" s="513">
        <f>[2]Talents!J56</f>
        <v>7</v>
      </c>
      <c r="O56" s="513">
        <f>[2]Talents!K56</f>
        <v>14</v>
      </c>
      <c r="P56" s="514">
        <f>[2]Talents!M56</f>
        <v>46</v>
      </c>
      <c r="Q56" s="515"/>
      <c r="R56" s="76" t="s">
        <v>48</v>
      </c>
      <c r="S56" s="77">
        <v>16.5</v>
      </c>
      <c r="T56" s="499">
        <f>[2]Talents!Z56</f>
        <v>18</v>
      </c>
      <c r="U56" s="499">
        <f>[2]Talents!AA56</f>
        <v>36</v>
      </c>
      <c r="V56" s="235">
        <f>[2]Talents!AC56</f>
        <v>80</v>
      </c>
      <c r="W56" s="78"/>
    </row>
    <row r="57" spans="12:35" ht="13" x14ac:dyDescent="0.3">
      <c r="L57" s="123" t="s">
        <v>279</v>
      </c>
      <c r="M57" s="77"/>
      <c r="N57" s="499">
        <f>[2]Talents!J57</f>
        <v>7</v>
      </c>
      <c r="O57" s="499">
        <f>[2]Talents!K57</f>
        <v>14</v>
      </c>
      <c r="P57" s="235">
        <f>[2]Talents!M57</f>
        <v>46</v>
      </c>
      <c r="Q57" s="78"/>
      <c r="R57" s="76" t="s">
        <v>263</v>
      </c>
      <c r="S57" s="77">
        <v>18</v>
      </c>
      <c r="T57" s="499">
        <f>[2]Talents!Z57</f>
        <v>23</v>
      </c>
      <c r="U57" s="499">
        <f>[2]Talents!AA57</f>
        <v>46</v>
      </c>
      <c r="V57" s="235">
        <f>[2]Talents!AC57</f>
        <v>80</v>
      </c>
      <c r="W57" s="78"/>
    </row>
    <row r="58" spans="12:35" ht="13" x14ac:dyDescent="0.3">
      <c r="L58" s="123" t="s">
        <v>279</v>
      </c>
      <c r="M58" s="77"/>
      <c r="N58" s="499">
        <f>[2]Talents!J58</f>
        <v>7</v>
      </c>
      <c r="O58" s="499">
        <f>[2]Talents!K58</f>
        <v>14</v>
      </c>
      <c r="P58" s="235">
        <f>[2]Talents!M58</f>
        <v>46</v>
      </c>
      <c r="Q58" s="78"/>
      <c r="R58" s="76" t="s">
        <v>264</v>
      </c>
      <c r="S58" s="77">
        <v>60</v>
      </c>
      <c r="T58" s="499">
        <f>[2]Talents!Z58</f>
        <v>23</v>
      </c>
      <c r="U58" s="499">
        <f>[2]Talents!AA58</f>
        <v>46</v>
      </c>
      <c r="V58" s="235">
        <f>[2]Talents!AC58</f>
        <v>80</v>
      </c>
      <c r="W58" s="78"/>
    </row>
    <row r="59" spans="12:35" ht="13.5" thickBot="1" x14ac:dyDescent="0.35">
      <c r="L59" s="141" t="s">
        <v>279</v>
      </c>
      <c r="M59" s="508"/>
      <c r="N59" s="509">
        <f>[2]Talents!J59</f>
        <v>7</v>
      </c>
      <c r="O59" s="509">
        <f>[2]Talents!K59</f>
        <v>14</v>
      </c>
      <c r="P59" s="510">
        <f>[2]Talents!M59</f>
        <v>46</v>
      </c>
      <c r="Q59" s="511"/>
      <c r="R59" s="76" t="s">
        <v>265</v>
      </c>
      <c r="S59" s="77">
        <v>17</v>
      </c>
      <c r="T59" s="499">
        <f>[2]Talents!Z59</f>
        <v>21</v>
      </c>
      <c r="U59" s="499">
        <f>[2]Talents!AA59</f>
        <v>42</v>
      </c>
      <c r="V59" s="235">
        <f>[2]Talents!AC59</f>
        <v>80</v>
      </c>
      <c r="W59" s="78"/>
    </row>
    <row r="60" spans="12:35" ht="13" x14ac:dyDescent="0.3">
      <c r="L60" s="429" t="s">
        <v>1170</v>
      </c>
      <c r="M60" s="512"/>
      <c r="N60" s="513">
        <f>[2]Talents!J60</f>
        <v>3.5</v>
      </c>
      <c r="O60" s="513">
        <f>[2]Talents!K60</f>
        <v>7</v>
      </c>
      <c r="P60" s="514">
        <f>[2]Talents!M60</f>
        <v>25</v>
      </c>
      <c r="Q60" s="515"/>
      <c r="R60" s="76" t="s">
        <v>266</v>
      </c>
      <c r="S60" s="77">
        <v>23</v>
      </c>
      <c r="T60" s="499">
        <f>[2]Talents!Z60</f>
        <v>23</v>
      </c>
      <c r="U60" s="499">
        <f>[2]Talents!AA60</f>
        <v>46</v>
      </c>
      <c r="V60" s="235">
        <f>[2]Talents!AC60</f>
        <v>80</v>
      </c>
      <c r="W60" s="78">
        <v>1</v>
      </c>
    </row>
    <row r="61" spans="12:35" ht="13" x14ac:dyDescent="0.3">
      <c r="L61" s="123" t="s">
        <v>279</v>
      </c>
      <c r="M61" s="77"/>
      <c r="N61" s="499">
        <f>[2]Talents!J61</f>
        <v>3.5</v>
      </c>
      <c r="O61" s="499">
        <f>[2]Talents!K61</f>
        <v>7</v>
      </c>
      <c r="P61" s="235">
        <f>[2]Talents!M61</f>
        <v>25</v>
      </c>
      <c r="Q61" s="78"/>
      <c r="R61" s="76" t="s">
        <v>20</v>
      </c>
      <c r="S61" s="77">
        <v>16</v>
      </c>
      <c r="T61" s="499">
        <f>[2]Talents!Z61</f>
        <v>6.5</v>
      </c>
      <c r="U61" s="499">
        <f>[2]Talents!AA61</f>
        <v>13</v>
      </c>
      <c r="V61" s="235">
        <f>[2]Talents!AC61</f>
        <v>41</v>
      </c>
      <c r="W61" s="78"/>
    </row>
    <row r="62" spans="12:35" ht="13.5" thickBot="1" x14ac:dyDescent="0.35">
      <c r="L62" s="141" t="s">
        <v>279</v>
      </c>
      <c r="M62" s="508"/>
      <c r="N62" s="509">
        <f>[2]Talents!J62</f>
        <v>3.5</v>
      </c>
      <c r="O62" s="509">
        <f>[2]Talents!K62</f>
        <v>7</v>
      </c>
      <c r="P62" s="510">
        <f>[2]Talents!M62</f>
        <v>25</v>
      </c>
      <c r="Q62" s="511"/>
      <c r="R62" s="76" t="s">
        <v>267</v>
      </c>
      <c r="S62" s="77">
        <v>18</v>
      </c>
      <c r="T62" s="499">
        <f>[2]Talents!Z62</f>
        <v>23</v>
      </c>
      <c r="U62" s="499">
        <f>[2]Talents!AA62</f>
        <v>46</v>
      </c>
      <c r="V62" s="235">
        <f>[2]Talents!AC62</f>
        <v>80</v>
      </c>
      <c r="W62" s="78"/>
    </row>
    <row r="63" spans="12:35" ht="13" x14ac:dyDescent="0.3">
      <c r="L63" s="76" t="s">
        <v>225</v>
      </c>
      <c r="M63" s="77"/>
      <c r="N63" s="499">
        <f>[2]Talents!J63</f>
        <v>11.5</v>
      </c>
      <c r="O63" s="499">
        <f>[2]Talents!K63</f>
        <v>23</v>
      </c>
      <c r="P63" s="235">
        <f>[2]Talents!M63</f>
        <v>80</v>
      </c>
      <c r="Q63" s="78"/>
      <c r="R63" s="76" t="s">
        <v>42</v>
      </c>
      <c r="S63" s="77">
        <v>20</v>
      </c>
      <c r="T63" s="499">
        <f>[2]Talents!Z63</f>
        <v>4</v>
      </c>
      <c r="U63" s="499">
        <f>[2]Talents!AA63</f>
        <v>8</v>
      </c>
      <c r="V63" s="235">
        <f>[2]Talents!AC63</f>
        <v>29</v>
      </c>
      <c r="W63" s="78"/>
    </row>
    <row r="64" spans="12:35" ht="13" x14ac:dyDescent="0.3">
      <c r="L64" s="76" t="s">
        <v>51</v>
      </c>
      <c r="M64" s="77"/>
      <c r="N64" s="499">
        <f>[2]Talents!J64</f>
        <v>5.5</v>
      </c>
      <c r="O64" s="499">
        <f>[2]Talents!K64</f>
        <v>11</v>
      </c>
      <c r="P64" s="235">
        <f>[2]Talents!M64</f>
        <v>33</v>
      </c>
      <c r="Q64" s="78"/>
      <c r="R64" s="76" t="s">
        <v>10</v>
      </c>
      <c r="S64" s="77">
        <v>58</v>
      </c>
      <c r="T64" s="499">
        <f>[2]Talents!Z64</f>
        <v>14.5</v>
      </c>
      <c r="U64" s="499">
        <f>[2]Talents!AA64</f>
        <v>29</v>
      </c>
      <c r="V64" s="235">
        <f>[2]Talents!AC64</f>
        <v>71</v>
      </c>
      <c r="W64" s="78"/>
    </row>
    <row r="65" spans="12:23" ht="13" x14ac:dyDescent="0.3">
      <c r="L65" s="76" t="s">
        <v>226</v>
      </c>
      <c r="M65" s="77"/>
      <c r="N65" s="499">
        <f>[2]Talents!J65</f>
        <v>11.5</v>
      </c>
      <c r="O65" s="499">
        <f>[2]Talents!K65</f>
        <v>23</v>
      </c>
      <c r="P65" s="235">
        <f>[2]Talents!M65</f>
        <v>39</v>
      </c>
      <c r="Q65" s="78"/>
      <c r="R65" s="76" t="s">
        <v>268</v>
      </c>
      <c r="S65" s="77">
        <v>3.5</v>
      </c>
      <c r="T65" s="499">
        <f>[2]Talents!Z65</f>
        <v>7</v>
      </c>
      <c r="U65" s="499">
        <f>[2]Talents!AA65</f>
        <v>14</v>
      </c>
      <c r="V65" s="235">
        <f>[2]Talents!AC65</f>
        <v>68</v>
      </c>
      <c r="W65" s="78"/>
    </row>
    <row r="66" spans="12:23" ht="13" x14ac:dyDescent="0.3">
      <c r="L66" s="76" t="s">
        <v>227</v>
      </c>
      <c r="M66" s="77"/>
      <c r="N66" s="499">
        <f>[2]Talents!J66</f>
        <v>14</v>
      </c>
      <c r="O66" s="499">
        <f>[2]Talents!K66</f>
        <v>28</v>
      </c>
      <c r="P66" s="235">
        <f>[2]Talents!M66</f>
        <v>80</v>
      </c>
      <c r="Q66" s="78"/>
      <c r="R66" s="76" t="s">
        <v>269</v>
      </c>
      <c r="S66" s="77">
        <v>51</v>
      </c>
      <c r="T66" s="499">
        <f>[2]Talents!Z66</f>
        <v>4</v>
      </c>
      <c r="U66" s="499">
        <f>[2]Talents!AA66</f>
        <v>8</v>
      </c>
      <c r="V66" s="235">
        <f>[2]Talents!AC66</f>
        <v>68</v>
      </c>
      <c r="W66" s="78"/>
    </row>
    <row r="67" spans="12:23" ht="13" x14ac:dyDescent="0.3">
      <c r="L67" s="76" t="s">
        <v>228</v>
      </c>
      <c r="M67" s="77"/>
      <c r="N67" s="499">
        <f>[2]Talents!J67</f>
        <v>7</v>
      </c>
      <c r="O67" s="499">
        <f>[2]Talents!K67</f>
        <v>14</v>
      </c>
      <c r="P67" s="235">
        <f>[2]Talents!M67</f>
        <v>39</v>
      </c>
      <c r="Q67" s="78"/>
      <c r="R67" s="76" t="s">
        <v>312</v>
      </c>
      <c r="S67" s="77">
        <v>1</v>
      </c>
      <c r="T67" s="499">
        <f>[2]Talents!Z67</f>
        <v>0</v>
      </c>
      <c r="U67" s="499">
        <f>[2]Talents!AA67</f>
        <v>0</v>
      </c>
      <c r="V67" s="235">
        <f>[2]Talents!AC67</f>
        <v>0</v>
      </c>
      <c r="W67" s="78"/>
    </row>
    <row r="68" spans="12:23" ht="13" x14ac:dyDescent="0.3">
      <c r="L68" s="76" t="s">
        <v>229</v>
      </c>
      <c r="M68" s="77"/>
      <c r="N68" s="499">
        <f>[2]Talents!J68</f>
        <v>14</v>
      </c>
      <c r="O68" s="499">
        <f>[2]Talents!K68</f>
        <v>28</v>
      </c>
      <c r="P68" s="235">
        <f>[2]Talents!M68</f>
        <v>63</v>
      </c>
      <c r="Q68" s="78"/>
      <c r="R68" s="206" t="s">
        <v>165</v>
      </c>
      <c r="S68" s="207">
        <v>0</v>
      </c>
      <c r="T68" s="207"/>
      <c r="U68" s="207"/>
      <c r="V68" s="207"/>
      <c r="W68" s="208"/>
    </row>
    <row r="69" spans="12:23" ht="13" x14ac:dyDescent="0.3">
      <c r="L69" s="76" t="s">
        <v>230</v>
      </c>
      <c r="M69" s="77"/>
      <c r="N69" s="499">
        <f>[2]Talents!J69</f>
        <v>14</v>
      </c>
      <c r="O69" s="499">
        <f>[2]Talents!K69</f>
        <v>28</v>
      </c>
      <c r="P69" s="235">
        <f>[2]Talents!M69</f>
        <v>80</v>
      </c>
      <c r="Q69" s="78"/>
      <c r="R69" s="206" t="s">
        <v>165</v>
      </c>
      <c r="S69" s="207">
        <v>0</v>
      </c>
      <c r="T69" s="207"/>
      <c r="U69" s="207"/>
      <c r="V69" s="207"/>
      <c r="W69" s="208"/>
    </row>
    <row r="70" spans="12:23" ht="13.5" thickBot="1" x14ac:dyDescent="0.35">
      <c r="L70" s="76" t="s">
        <v>231</v>
      </c>
      <c r="M70" s="77"/>
      <c r="N70" s="499">
        <f>[2]Talents!J70</f>
        <v>11.5</v>
      </c>
      <c r="O70" s="499">
        <f>[2]Talents!K70</f>
        <v>23</v>
      </c>
      <c r="P70" s="235">
        <f>[2]Talents!M70</f>
        <v>51</v>
      </c>
      <c r="Q70" s="78"/>
      <c r="R70" s="206" t="s">
        <v>165</v>
      </c>
      <c r="S70" s="207">
        <v>0</v>
      </c>
      <c r="T70" s="207"/>
      <c r="U70" s="207"/>
      <c r="V70" s="207"/>
      <c r="W70" s="208"/>
    </row>
    <row r="71" spans="12:23" ht="13" x14ac:dyDescent="0.3">
      <c r="L71" s="429" t="s">
        <v>280</v>
      </c>
      <c r="M71" s="512"/>
      <c r="N71" s="513">
        <f>[2]Talents!J71</f>
        <v>7</v>
      </c>
      <c r="O71" s="513">
        <f>[2]Talents!K71</f>
        <v>14</v>
      </c>
      <c r="P71" s="514">
        <f>[2]Talents!M71</f>
        <v>39</v>
      </c>
      <c r="Q71" s="515"/>
      <c r="R71" s="206" t="s">
        <v>165</v>
      </c>
      <c r="S71" s="207">
        <v>0</v>
      </c>
      <c r="T71" s="207"/>
      <c r="U71" s="207"/>
      <c r="V71" s="207"/>
      <c r="W71" s="208"/>
    </row>
    <row r="72" spans="12:23" ht="13.5" thickBot="1" x14ac:dyDescent="0.35">
      <c r="L72" s="141" t="s">
        <v>279</v>
      </c>
      <c r="M72" s="508"/>
      <c r="N72" s="509" t="e">
        <f>[2]Talents!#REF!</f>
        <v>#REF!</v>
      </c>
      <c r="O72" s="509" t="e">
        <f>[2]Talents!#REF!</f>
        <v>#REF!</v>
      </c>
      <c r="P72" s="510" t="e">
        <f>[2]Talents!#REF!</f>
        <v>#REF!</v>
      </c>
      <c r="Q72" s="511"/>
      <c r="R72" s="206" t="s">
        <v>167</v>
      </c>
      <c r="S72" s="207">
        <v>0</v>
      </c>
      <c r="T72" s="207"/>
      <c r="U72" s="207"/>
      <c r="V72" s="207"/>
      <c r="W72" s="208"/>
    </row>
    <row r="73" spans="12:23" ht="13" x14ac:dyDescent="0.3">
      <c r="L73" s="76"/>
      <c r="M73" s="77"/>
      <c r="N73" s="497"/>
      <c r="O73" s="497"/>
      <c r="P73" s="235"/>
      <c r="Q73" s="78"/>
      <c r="R73" s="206" t="s">
        <v>165</v>
      </c>
      <c r="S73" s="207">
        <v>0</v>
      </c>
      <c r="T73" s="207"/>
      <c r="U73" s="207"/>
      <c r="V73" s="207"/>
      <c r="W73" s="208"/>
    </row>
    <row r="74" spans="12:23" ht="13" x14ac:dyDescent="0.3">
      <c r="L74" s="222"/>
      <c r="M74" s="223"/>
      <c r="N74" s="223"/>
      <c r="O74" s="223"/>
      <c r="P74" s="223"/>
      <c r="Q74" s="224"/>
      <c r="R74" s="222"/>
      <c r="S74" s="223"/>
      <c r="T74" s="223"/>
      <c r="U74" s="223"/>
      <c r="V74" s="223"/>
      <c r="W74" s="224"/>
    </row>
    <row r="75" spans="12:23" ht="13" x14ac:dyDescent="0.3">
      <c r="L75" s="222"/>
      <c r="M75" s="223"/>
      <c r="N75" s="223"/>
      <c r="O75" s="223"/>
      <c r="P75" s="223"/>
      <c r="Q75" s="224"/>
      <c r="R75" s="222"/>
      <c r="S75" s="223"/>
      <c r="T75" s="223"/>
      <c r="U75" s="223"/>
      <c r="V75" s="223"/>
      <c r="W75" s="224"/>
    </row>
    <row r="76" spans="12:23" ht="13.5" thickBot="1" x14ac:dyDescent="0.35">
      <c r="L76" s="222"/>
      <c r="M76" s="223"/>
      <c r="N76" s="223"/>
      <c r="O76" s="223"/>
      <c r="P76" s="223"/>
      <c r="Q76" s="224"/>
      <c r="R76" s="222"/>
      <c r="S76" s="223"/>
      <c r="T76" s="223"/>
      <c r="U76" s="223"/>
      <c r="V76" s="223"/>
      <c r="W76" s="224"/>
    </row>
    <row r="77" spans="12:23" ht="13" x14ac:dyDescent="0.3">
      <c r="L77" s="222"/>
      <c r="M77" s="223"/>
      <c r="N77" s="223"/>
      <c r="O77" s="223"/>
      <c r="P77" s="223"/>
      <c r="Q77" s="224"/>
      <c r="R77" s="225"/>
      <c r="S77" s="226"/>
      <c r="T77" s="226"/>
      <c r="U77" s="226"/>
      <c r="V77" s="226"/>
      <c r="W77" s="227"/>
    </row>
    <row r="78" spans="12:23" ht="13.5" thickBot="1" x14ac:dyDescent="0.35">
      <c r="L78" s="228"/>
      <c r="M78" s="229"/>
      <c r="N78" s="229"/>
      <c r="O78" s="229"/>
      <c r="P78" s="229"/>
      <c r="Q78" s="230"/>
      <c r="R78" s="228"/>
      <c r="S78" s="229"/>
      <c r="T78" s="229"/>
      <c r="U78" s="229"/>
      <c r="V78" s="229"/>
      <c r="W78" s="23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opLeftCell="G16" zoomScale="115" zoomScaleNormal="115" workbookViewId="0">
      <selection activeCell="AB41" sqref="AB41"/>
    </sheetView>
  </sheetViews>
  <sheetFormatPr baseColWidth="10" defaultColWidth="8.90625" defaultRowHeight="12.5" x14ac:dyDescent="0.25"/>
  <cols>
    <col min="1" max="1" width="10.36328125" style="63" customWidth="1"/>
    <col min="2" max="2" width="9.453125" style="63" bestFit="1" customWidth="1"/>
    <col min="3" max="3" width="7.453125" style="63" bestFit="1" customWidth="1"/>
    <col min="4" max="4" width="16.54296875" style="63" bestFit="1" customWidth="1"/>
    <col min="5" max="5" width="16.54296875" style="63" customWidth="1"/>
    <col min="6" max="6" width="12.6328125" style="63" customWidth="1"/>
    <col min="7" max="7" width="6.90625" style="63" customWidth="1"/>
    <col min="8" max="8" width="7.6328125" style="63" customWidth="1"/>
    <col min="9" max="9" width="7.90625" style="63" bestFit="1" customWidth="1"/>
    <col min="10" max="10" width="6.54296875" style="63" bestFit="1" customWidth="1"/>
    <col min="11" max="11" width="2.08984375" style="63" customWidth="1"/>
    <col min="12" max="12" width="21.54296875" style="63" bestFit="1" customWidth="1"/>
    <col min="13" max="13" width="3" style="231" bestFit="1" customWidth="1"/>
    <col min="14" max="15" width="3" style="231" customWidth="1"/>
    <col min="16" max="16" width="3" style="232" customWidth="1"/>
    <col min="17" max="17" width="4.453125" style="231" bestFit="1" customWidth="1"/>
    <col min="18" max="18" width="18.453125" style="63" bestFit="1" customWidth="1"/>
    <col min="19" max="19" width="3" style="231" bestFit="1" customWidth="1"/>
    <col min="20" max="21" width="3" style="231" customWidth="1"/>
    <col min="22" max="22" width="3" style="232" customWidth="1"/>
    <col min="23" max="23" width="4.453125" style="231" bestFit="1" customWidth="1"/>
    <col min="24" max="24" width="14" style="63" bestFit="1" customWidth="1"/>
    <col min="25" max="25" width="8.54296875" style="63" customWidth="1"/>
    <col min="26" max="26" width="7.90625" style="63" bestFit="1" customWidth="1"/>
    <col min="27" max="27" width="5.36328125" style="63" customWidth="1"/>
    <col min="28" max="28" width="5.453125" style="63" bestFit="1" customWidth="1"/>
    <col min="29" max="29" width="6.54296875" style="63" customWidth="1"/>
    <col min="30" max="30" width="6.6328125" style="63" customWidth="1"/>
    <col min="31" max="31" width="8.453125" style="63" bestFit="1" customWidth="1"/>
    <col min="32" max="32" width="6.54296875" style="63" bestFit="1" customWidth="1"/>
    <col min="33" max="33" width="6.36328125" style="63" customWidth="1"/>
    <col min="34" max="34" width="5" style="63" customWidth="1"/>
    <col min="35" max="35" width="7.6328125" style="63" bestFit="1" customWidth="1"/>
    <col min="36" max="36" width="14.54296875" style="63" bestFit="1" customWidth="1"/>
    <col min="37" max="37" width="6.6328125" style="63" bestFit="1" customWidth="1"/>
    <col min="38" max="38" width="4.54296875" style="63" bestFit="1" customWidth="1"/>
    <col min="39" max="16384" width="8.90625" style="63"/>
  </cols>
  <sheetData>
    <row r="1" spans="1:38" ht="13.5" thickBot="1" x14ac:dyDescent="0.35">
      <c r="A1" s="59" t="s">
        <v>111</v>
      </c>
      <c r="B1" s="59" t="s">
        <v>112</v>
      </c>
      <c r="C1" s="60" t="s">
        <v>70</v>
      </c>
      <c r="D1" s="61" t="s">
        <v>52</v>
      </c>
      <c r="E1" s="62" t="s">
        <v>113</v>
      </c>
      <c r="F1" s="59" t="s">
        <v>114</v>
      </c>
      <c r="G1" s="59" t="s">
        <v>71</v>
      </c>
      <c r="H1" s="62" t="s">
        <v>115</v>
      </c>
      <c r="I1" s="59" t="s">
        <v>116</v>
      </c>
      <c r="J1" s="59" t="s">
        <v>117</v>
      </c>
      <c r="L1" s="64" t="s">
        <v>123</v>
      </c>
      <c r="M1" s="65" t="s">
        <v>124</v>
      </c>
      <c r="N1" s="496" t="s">
        <v>1093</v>
      </c>
      <c r="O1" s="496" t="s">
        <v>1094</v>
      </c>
      <c r="P1" s="234" t="s">
        <v>484</v>
      </c>
      <c r="Q1" s="66" t="s">
        <v>75</v>
      </c>
      <c r="R1" s="64" t="s">
        <v>123</v>
      </c>
      <c r="S1" s="65" t="s">
        <v>124</v>
      </c>
      <c r="T1" s="496" t="s">
        <v>1093</v>
      </c>
      <c r="U1" s="496" t="s">
        <v>1094</v>
      </c>
      <c r="V1" s="234" t="s">
        <v>484</v>
      </c>
      <c r="W1" s="66" t="s">
        <v>75</v>
      </c>
      <c r="AA1" s="216"/>
      <c r="AB1" s="216"/>
      <c r="AC1" s="216"/>
      <c r="AD1" s="216"/>
      <c r="AE1" s="106"/>
      <c r="AF1" s="216"/>
    </row>
    <row r="2" spans="1:38" ht="13.5" thickBot="1" x14ac:dyDescent="0.35">
      <c r="A2" s="267" t="s">
        <v>1474</v>
      </c>
      <c r="B2" s="271" t="s">
        <v>1475</v>
      </c>
      <c r="C2" s="269">
        <v>172</v>
      </c>
      <c r="D2" s="270">
        <v>66</v>
      </c>
      <c r="E2" s="273" t="s">
        <v>1476</v>
      </c>
      <c r="F2" s="271" t="s">
        <v>1153</v>
      </c>
      <c r="G2" s="271"/>
      <c r="H2" s="273" t="s">
        <v>1477</v>
      </c>
      <c r="I2" s="267" t="s">
        <v>1155</v>
      </c>
      <c r="J2" s="267" t="s">
        <v>1156</v>
      </c>
      <c r="L2" s="76" t="s">
        <v>188</v>
      </c>
      <c r="M2" s="77"/>
      <c r="N2" s="499">
        <f>[3]Talents!J2</f>
        <v>11.5</v>
      </c>
      <c r="O2" s="499">
        <f>[3]Talents!K2</f>
        <v>23</v>
      </c>
      <c r="P2" s="235">
        <f>[3]Talents!M2</f>
        <v>69</v>
      </c>
      <c r="Q2" s="78"/>
      <c r="R2" s="567" t="s">
        <v>232</v>
      </c>
      <c r="S2" s="644">
        <v>24</v>
      </c>
      <c r="T2" s="499">
        <f>[3]Talents!Z2</f>
        <v>13</v>
      </c>
      <c r="U2" s="499">
        <f>[3]Talents!AA2</f>
        <v>26</v>
      </c>
      <c r="V2" s="235">
        <f>[3]Talents!AC2</f>
        <v>73</v>
      </c>
      <c r="W2" s="78"/>
      <c r="AA2" s="216"/>
      <c r="AB2" s="216"/>
      <c r="AC2" s="216"/>
      <c r="AD2" s="216"/>
      <c r="AE2" s="106"/>
      <c r="AF2" s="216"/>
    </row>
    <row r="3" spans="1:38" ht="13.5" thickBot="1" x14ac:dyDescent="0.35">
      <c r="A3" s="271" t="s">
        <v>1478</v>
      </c>
      <c r="B3" s="84" t="s">
        <v>168</v>
      </c>
      <c r="C3" s="272" t="s">
        <v>1479</v>
      </c>
      <c r="D3" s="70"/>
      <c r="E3" s="273" t="s">
        <v>1154</v>
      </c>
      <c r="F3" s="273" t="s">
        <v>1480</v>
      </c>
      <c r="G3" s="502" t="s">
        <v>165</v>
      </c>
      <c r="H3" s="273"/>
      <c r="I3" s="271"/>
      <c r="J3" s="271" t="s">
        <v>165</v>
      </c>
      <c r="L3" s="76" t="s">
        <v>189</v>
      </c>
      <c r="M3" s="77"/>
      <c r="N3" s="499">
        <f>[3]Talents!J3</f>
        <v>14</v>
      </c>
      <c r="O3" s="499">
        <f>[3]Talents!K3</f>
        <v>28</v>
      </c>
      <c r="P3" s="235">
        <f>[3]Talents!M3</f>
        <v>65</v>
      </c>
      <c r="Q3" s="78"/>
      <c r="R3" s="76" t="s">
        <v>233</v>
      </c>
      <c r="S3" s="77"/>
      <c r="T3" s="499">
        <f>[3]Talents!Z3</f>
        <v>18.5</v>
      </c>
      <c r="U3" s="499">
        <f>[3]Talents!AA3</f>
        <v>37</v>
      </c>
      <c r="V3" s="235">
        <f>[3]Talents!AC3</f>
        <v>80</v>
      </c>
      <c r="W3" s="85"/>
      <c r="AA3" s="216"/>
      <c r="AB3" s="216"/>
      <c r="AC3" s="216"/>
      <c r="AD3" s="216"/>
      <c r="AE3" s="106"/>
      <c r="AF3" s="216"/>
    </row>
    <row r="4" spans="1:38" ht="13.5" thickBot="1" x14ac:dyDescent="0.35">
      <c r="A4" s="59" t="s">
        <v>9</v>
      </c>
      <c r="B4" s="86" t="s">
        <v>118</v>
      </c>
      <c r="C4" s="87"/>
      <c r="D4" s="86" t="s">
        <v>119</v>
      </c>
      <c r="E4" s="87"/>
      <c r="F4" s="59" t="s">
        <v>120</v>
      </c>
      <c r="G4" s="86" t="s">
        <v>76</v>
      </c>
      <c r="H4" s="59" t="s">
        <v>121</v>
      </c>
      <c r="I4" s="86" t="s">
        <v>122</v>
      </c>
      <c r="J4" s="88" t="s">
        <v>68</v>
      </c>
      <c r="L4" s="76" t="s">
        <v>190</v>
      </c>
      <c r="M4" s="77"/>
      <c r="N4" s="499">
        <f>[3]Talents!J4</f>
        <v>14.5</v>
      </c>
      <c r="O4" s="499">
        <f>[3]Talents!K4</f>
        <v>29</v>
      </c>
      <c r="P4" s="235">
        <f>[3]Talents!M4</f>
        <v>68</v>
      </c>
      <c r="Q4" s="78"/>
      <c r="R4" s="76" t="s">
        <v>234</v>
      </c>
      <c r="S4" s="77"/>
      <c r="T4" s="499">
        <f>[3]Talents!Z4</f>
        <v>18.5</v>
      </c>
      <c r="U4" s="499">
        <f>[3]Talents!AA4</f>
        <v>37</v>
      </c>
      <c r="V4" s="235">
        <f>[3]Talents!AC4</f>
        <v>80</v>
      </c>
      <c r="W4" s="78"/>
      <c r="AA4" s="216"/>
      <c r="AB4" s="216"/>
      <c r="AC4" s="216"/>
      <c r="AD4" s="216"/>
      <c r="AE4" s="106"/>
      <c r="AF4" s="216"/>
    </row>
    <row r="5" spans="1:38" ht="13.5" thickBot="1" x14ac:dyDescent="0.35">
      <c r="A5" s="267" t="s">
        <v>1481</v>
      </c>
      <c r="B5" s="92"/>
      <c r="C5" s="82"/>
      <c r="D5" s="274"/>
      <c r="E5" s="82"/>
      <c r="F5" s="267" t="s">
        <v>1165</v>
      </c>
      <c r="G5" s="274" t="s">
        <v>1253</v>
      </c>
      <c r="H5" s="75"/>
      <c r="I5" s="92">
        <v>2</v>
      </c>
      <c r="J5" s="93">
        <v>80</v>
      </c>
      <c r="L5" s="76" t="s">
        <v>191</v>
      </c>
      <c r="M5" s="77"/>
      <c r="N5" s="499">
        <f>[3]Talents!J5</f>
        <v>23</v>
      </c>
      <c r="O5" s="499">
        <f>[3]Talents!K5</f>
        <v>46</v>
      </c>
      <c r="P5" s="235">
        <f>[3]Talents!M5</f>
        <v>80</v>
      </c>
      <c r="Q5" s="78"/>
      <c r="R5" s="76" t="s">
        <v>235</v>
      </c>
      <c r="S5" s="77">
        <v>80</v>
      </c>
      <c r="T5" s="499">
        <f>[3]Talents!Z5</f>
        <v>23</v>
      </c>
      <c r="U5" s="499">
        <f>[3]Talents!AA5</f>
        <v>46</v>
      </c>
      <c r="V5" s="235">
        <f>[3]Talents!AC5</f>
        <v>80</v>
      </c>
      <c r="W5" s="78">
        <v>-1</v>
      </c>
      <c r="AA5" s="216"/>
      <c r="AB5" s="216"/>
      <c r="AC5" s="216"/>
      <c r="AD5" s="216"/>
      <c r="AE5" s="216"/>
      <c r="AF5" s="216"/>
      <c r="AJ5" s="94" t="s">
        <v>144</v>
      </c>
      <c r="AK5" s="95" t="s">
        <v>145</v>
      </c>
      <c r="AL5" s="506" t="s">
        <v>143</v>
      </c>
    </row>
    <row r="6" spans="1:38" ht="13.5" thickBot="1" x14ac:dyDescent="0.35">
      <c r="A6" s="75" t="s">
        <v>1482</v>
      </c>
      <c r="B6" s="505"/>
      <c r="C6" s="90"/>
      <c r="D6" s="275"/>
      <c r="E6" s="90"/>
      <c r="F6" s="271">
        <v>9</v>
      </c>
      <c r="G6" s="275">
        <v>51</v>
      </c>
      <c r="H6" s="97" t="s">
        <v>1254</v>
      </c>
      <c r="I6" s="98" t="s">
        <v>1027</v>
      </c>
      <c r="J6" s="99" t="s">
        <v>1483</v>
      </c>
      <c r="L6" s="76" t="s">
        <v>192</v>
      </c>
      <c r="M6" s="77"/>
      <c r="N6" s="499">
        <f>[3]Talents!J6</f>
        <v>24</v>
      </c>
      <c r="O6" s="499">
        <f>[3]Talents!K6</f>
        <v>48</v>
      </c>
      <c r="P6" s="235">
        <f>[3]Talents!M6</f>
        <v>80</v>
      </c>
      <c r="Q6" s="78"/>
      <c r="R6" s="76" t="s">
        <v>236</v>
      </c>
      <c r="S6" s="77"/>
      <c r="T6" s="499">
        <f>[3]Talents!Z6</f>
        <v>8</v>
      </c>
      <c r="U6" s="499">
        <f>[3]Talents!AA6</f>
        <v>16</v>
      </c>
      <c r="V6" s="235">
        <f>[3]Talents!AC6</f>
        <v>60</v>
      </c>
      <c r="W6" s="78"/>
      <c r="AA6" s="216"/>
      <c r="AB6" s="216"/>
      <c r="AC6" s="216"/>
      <c r="AD6" s="216"/>
      <c r="AE6" s="216"/>
      <c r="AF6" s="216"/>
      <c r="AJ6" s="100" t="s">
        <v>146</v>
      </c>
      <c r="AK6" s="101"/>
      <c r="AL6" s="105"/>
    </row>
    <row r="7" spans="1:38" ht="13.5" thickBot="1" x14ac:dyDescent="0.35">
      <c r="A7" s="68" t="s">
        <v>69</v>
      </c>
      <c r="B7" s="102" t="s">
        <v>161</v>
      </c>
      <c r="C7" s="276" t="s">
        <v>1484</v>
      </c>
      <c r="D7" s="71"/>
      <c r="E7" s="102" t="s">
        <v>160</v>
      </c>
      <c r="F7" s="103" t="s">
        <v>1485</v>
      </c>
      <c r="G7" s="71"/>
      <c r="H7" s="71"/>
      <c r="I7" s="104" t="s">
        <v>1158</v>
      </c>
      <c r="J7" s="72" t="s">
        <v>1157</v>
      </c>
      <c r="L7" s="76" t="s">
        <v>193</v>
      </c>
      <c r="M7" s="77"/>
      <c r="N7" s="499">
        <f>[3]Talents!J7</f>
        <v>24</v>
      </c>
      <c r="O7" s="499">
        <f>[3]Talents!K7</f>
        <v>48</v>
      </c>
      <c r="P7" s="235">
        <f>[3]Talents!M7</f>
        <v>60</v>
      </c>
      <c r="Q7" s="78"/>
      <c r="R7" s="76" t="s">
        <v>237</v>
      </c>
      <c r="S7" s="77"/>
      <c r="T7" s="499">
        <f>[3]Talents!Z7</f>
        <v>18.5</v>
      </c>
      <c r="U7" s="499">
        <f>[3]Talents!AA7</f>
        <v>37</v>
      </c>
      <c r="V7" s="235">
        <f>[3]Talents!AC7</f>
        <v>80</v>
      </c>
      <c r="W7" s="78"/>
      <c r="AA7" s="216"/>
      <c r="AB7" s="216"/>
      <c r="AC7" s="216"/>
      <c r="AD7" s="216"/>
      <c r="AE7" s="216"/>
      <c r="AF7" s="216"/>
      <c r="AJ7" s="100">
        <v>3</v>
      </c>
      <c r="AK7" s="101"/>
      <c r="AL7" s="478"/>
    </row>
    <row r="8" spans="1:38" ht="13.5" thickBot="1" x14ac:dyDescent="0.35">
      <c r="A8" s="274" t="s">
        <v>1486</v>
      </c>
      <c r="B8" s="106" t="s">
        <v>162</v>
      </c>
      <c r="C8" s="273" t="s">
        <v>1487</v>
      </c>
      <c r="D8" s="83"/>
      <c r="E8" s="74"/>
      <c r="G8" s="74" t="s">
        <v>165</v>
      </c>
      <c r="H8" s="83"/>
      <c r="I8" s="503" t="s">
        <v>1037</v>
      </c>
      <c r="J8" s="105" t="s">
        <v>165</v>
      </c>
      <c r="L8" s="76" t="s">
        <v>194</v>
      </c>
      <c r="M8" s="77"/>
      <c r="N8" s="499">
        <f>[3]Talents!J8</f>
        <v>3</v>
      </c>
      <c r="O8" s="499">
        <f>[3]Talents!K8</f>
        <v>6</v>
      </c>
      <c r="P8" s="235">
        <f>[3]Talents!M8</f>
        <v>58</v>
      </c>
      <c r="Q8" s="78"/>
      <c r="R8" s="76" t="s">
        <v>238</v>
      </c>
      <c r="S8" s="77"/>
      <c r="T8" s="499">
        <f>[3]Talents!Z8</f>
        <v>12.5</v>
      </c>
      <c r="U8" s="499">
        <f>[3]Talents!AA8</f>
        <v>25</v>
      </c>
      <c r="V8" s="235">
        <f>[3]Talents!AC8</f>
        <v>62</v>
      </c>
      <c r="W8" s="78"/>
      <c r="AI8" s="107" t="s">
        <v>135</v>
      </c>
      <c r="AJ8" s="108"/>
      <c r="AK8" s="109"/>
      <c r="AL8" s="479"/>
    </row>
    <row r="9" spans="1:38" ht="13.5" thickBot="1" x14ac:dyDescent="0.35">
      <c r="A9" s="110" t="s">
        <v>168</v>
      </c>
      <c r="B9" s="92" t="s">
        <v>1488</v>
      </c>
      <c r="C9" s="83"/>
      <c r="D9" s="83"/>
      <c r="E9" s="74" t="s">
        <v>1757</v>
      </c>
      <c r="F9" s="83"/>
      <c r="G9" s="74" t="s">
        <v>165</v>
      </c>
      <c r="H9" s="83"/>
      <c r="I9" s="83"/>
      <c r="J9" s="73" t="s">
        <v>165</v>
      </c>
      <c r="L9" s="76" t="s">
        <v>1172</v>
      </c>
      <c r="M9" s="77"/>
      <c r="N9" s="499">
        <f>[3]Talents!J9</f>
        <v>6.5</v>
      </c>
      <c r="O9" s="499">
        <f>[3]Talents!K9</f>
        <v>13</v>
      </c>
      <c r="P9" s="235">
        <f>[3]Talents!M9</f>
        <v>49</v>
      </c>
      <c r="Q9" s="78"/>
      <c r="R9" s="76" t="s">
        <v>239</v>
      </c>
      <c r="S9" s="77"/>
      <c r="T9" s="499">
        <f>[3]Talents!Z9</f>
        <v>23</v>
      </c>
      <c r="U9" s="499">
        <f>[3]Talents!AA9</f>
        <v>46</v>
      </c>
      <c r="V9" s="235">
        <f>[3]Talents!AC9</f>
        <v>80</v>
      </c>
      <c r="W9" s="78"/>
      <c r="AJ9" s="94" t="s">
        <v>147</v>
      </c>
      <c r="AK9" s="111" t="s">
        <v>145</v>
      </c>
      <c r="AL9" s="506" t="s">
        <v>143</v>
      </c>
    </row>
    <row r="10" spans="1:38" ht="13.5" thickBot="1" x14ac:dyDescent="0.35">
      <c r="A10" s="110" t="s">
        <v>169</v>
      </c>
      <c r="B10" s="275" t="s">
        <v>1261</v>
      </c>
      <c r="C10" s="91"/>
      <c r="D10" s="91"/>
      <c r="E10" s="97"/>
      <c r="F10" s="91"/>
      <c r="G10" s="97" t="s">
        <v>165</v>
      </c>
      <c r="H10" s="91"/>
      <c r="I10" s="91"/>
      <c r="J10" s="504" t="s">
        <v>1095</v>
      </c>
      <c r="L10" s="76" t="s">
        <v>195</v>
      </c>
      <c r="M10" s="77"/>
      <c r="N10" s="499">
        <f>[3]Talents!J10</f>
        <v>13.5</v>
      </c>
      <c r="O10" s="499">
        <f>[3]Talents!K10</f>
        <v>27</v>
      </c>
      <c r="P10" s="235">
        <f>[3]Talents!M10</f>
        <v>60</v>
      </c>
      <c r="Q10" s="78"/>
      <c r="R10" s="76" t="s">
        <v>1174</v>
      </c>
      <c r="S10" s="77"/>
      <c r="T10" s="499">
        <f>[3]Talents!Z10</f>
        <v>18.5</v>
      </c>
      <c r="U10" s="499">
        <f>[3]Talents!AA10</f>
        <v>37</v>
      </c>
      <c r="V10" s="235">
        <f>[3]Talents!AC10</f>
        <v>75</v>
      </c>
      <c r="W10" s="78"/>
      <c r="AJ10" s="100" t="s">
        <v>148</v>
      </c>
      <c r="AK10" s="101">
        <v>1</v>
      </c>
      <c r="AL10" s="105">
        <v>5</v>
      </c>
    </row>
    <row r="11" spans="1:38" ht="13.5" thickBot="1" x14ac:dyDescent="0.35">
      <c r="B11" s="106" t="s">
        <v>170</v>
      </c>
      <c r="C11" s="112" t="s">
        <v>171</v>
      </c>
      <c r="D11" s="112" t="s">
        <v>172</v>
      </c>
      <c r="E11" s="112" t="s">
        <v>97</v>
      </c>
      <c r="F11" s="67" t="s">
        <v>40</v>
      </c>
      <c r="G11" s="71"/>
      <c r="H11" s="69">
        <v>6</v>
      </c>
      <c r="I11" s="70"/>
      <c r="L11" s="76" t="s">
        <v>1173</v>
      </c>
      <c r="M11" s="77"/>
      <c r="N11" s="499">
        <f>[3]Talents!J11</f>
        <v>3</v>
      </c>
      <c r="O11" s="499">
        <f>[3]Talents!K11</f>
        <v>6</v>
      </c>
      <c r="P11" s="235">
        <f>[3]Talents!M11</f>
        <v>58</v>
      </c>
      <c r="Q11" s="78"/>
      <c r="R11" s="76" t="s">
        <v>240</v>
      </c>
      <c r="S11" s="77"/>
      <c r="T11" s="499">
        <f>[3]Talents!Z11</f>
        <v>12.5</v>
      </c>
      <c r="U11" s="499">
        <f>[3]Talents!AA11</f>
        <v>25</v>
      </c>
      <c r="V11" s="235">
        <f>[3]Talents!AC11</f>
        <v>72</v>
      </c>
      <c r="W11" s="78"/>
      <c r="AJ11" s="100">
        <v>2</v>
      </c>
      <c r="AK11" s="101">
        <v>1</v>
      </c>
      <c r="AL11" s="478"/>
    </row>
    <row r="12" spans="1:38" ht="13.5" thickBot="1" x14ac:dyDescent="0.35">
      <c r="A12" s="113" t="s">
        <v>77</v>
      </c>
      <c r="B12" s="114">
        <v>8</v>
      </c>
      <c r="C12" s="114">
        <v>32</v>
      </c>
      <c r="D12" s="114">
        <v>32</v>
      </c>
      <c r="E12" s="115">
        <v>0</v>
      </c>
      <c r="F12" s="80" t="s">
        <v>270</v>
      </c>
      <c r="G12" s="233">
        <f>[3]Perso!J12</f>
        <v>17.899999999999999</v>
      </c>
      <c r="H12" s="116">
        <v>2</v>
      </c>
      <c r="I12" s="82"/>
      <c r="L12" s="76" t="s">
        <v>196</v>
      </c>
      <c r="M12" s="77"/>
      <c r="N12" s="499">
        <f>[3]Talents!J12</f>
        <v>18.5</v>
      </c>
      <c r="O12" s="499">
        <f>[3]Talents!K12</f>
        <v>37</v>
      </c>
      <c r="P12" s="235">
        <f>[3]Talents!M12</f>
        <v>80</v>
      </c>
      <c r="Q12" s="78"/>
      <c r="R12" s="76" t="s">
        <v>241</v>
      </c>
      <c r="S12" s="77"/>
      <c r="T12" s="499">
        <f>[3]Talents!Z12</f>
        <v>13</v>
      </c>
      <c r="U12" s="499">
        <f>[3]Talents!AA12</f>
        <v>26</v>
      </c>
      <c r="V12" s="235">
        <f>[3]Talents!AC12</f>
        <v>68</v>
      </c>
      <c r="W12" s="78"/>
      <c r="AJ12" s="108"/>
      <c r="AK12" s="109">
        <v>1</v>
      </c>
      <c r="AL12" s="479"/>
    </row>
    <row r="13" spans="1:38" ht="13.5" thickBot="1" x14ac:dyDescent="0.35">
      <c r="A13" s="117" t="s">
        <v>78</v>
      </c>
      <c r="B13" s="118">
        <v>8</v>
      </c>
      <c r="C13" s="118">
        <v>26</v>
      </c>
      <c r="D13" s="118">
        <v>32</v>
      </c>
      <c r="E13" s="119">
        <v>0</v>
      </c>
      <c r="F13" s="120" t="s">
        <v>271</v>
      </c>
      <c r="G13" s="233">
        <f>[3]Perso!J13</f>
        <v>17.3</v>
      </c>
      <c r="H13" s="116"/>
      <c r="I13" s="82"/>
      <c r="L13" s="76" t="s">
        <v>197</v>
      </c>
      <c r="M13" s="77"/>
      <c r="N13" s="499">
        <f>[3]Talents!J13</f>
        <v>13</v>
      </c>
      <c r="O13" s="499">
        <f>[3]Talents!K13</f>
        <v>26</v>
      </c>
      <c r="P13" s="235">
        <f>[3]Talents!M13</f>
        <v>60</v>
      </c>
      <c r="Q13" s="78"/>
      <c r="R13" s="76" t="s">
        <v>1175</v>
      </c>
      <c r="S13" s="77"/>
      <c r="T13" s="499">
        <f>[3]Talents!Z13</f>
        <v>6</v>
      </c>
      <c r="U13" s="499">
        <f>[3]Talents!AA13</f>
        <v>12</v>
      </c>
      <c r="V13" s="235">
        <f>[3]Talents!AC13</f>
        <v>60</v>
      </c>
      <c r="W13" s="78"/>
      <c r="AJ13" s="94" t="s">
        <v>149</v>
      </c>
      <c r="AK13" s="111" t="s">
        <v>145</v>
      </c>
      <c r="AL13" s="506" t="s">
        <v>143</v>
      </c>
    </row>
    <row r="14" spans="1:38" ht="13" x14ac:dyDescent="0.3">
      <c r="A14" s="113" t="s">
        <v>79</v>
      </c>
      <c r="B14" s="114">
        <v>18</v>
      </c>
      <c r="C14" s="114">
        <v>53</v>
      </c>
      <c r="D14" s="114">
        <v>65</v>
      </c>
      <c r="E14" s="115">
        <v>-3</v>
      </c>
      <c r="F14" s="120" t="s">
        <v>272</v>
      </c>
      <c r="G14" s="233">
        <f>[3]Perso!J14</f>
        <v>31</v>
      </c>
      <c r="H14" s="116">
        <v>0</v>
      </c>
      <c r="I14" s="82"/>
      <c r="L14" s="76" t="s">
        <v>198</v>
      </c>
      <c r="M14" s="77"/>
      <c r="N14" s="499">
        <f>[3]Talents!J14</f>
        <v>6</v>
      </c>
      <c r="O14" s="499">
        <f>[3]Talents!K14</f>
        <v>12</v>
      </c>
      <c r="P14" s="235">
        <f>[3]Talents!M14</f>
        <v>53</v>
      </c>
      <c r="Q14" s="78"/>
      <c r="R14" s="76" t="s">
        <v>242</v>
      </c>
      <c r="S14" s="77"/>
      <c r="T14" s="499">
        <f>[3]Talents!Z14</f>
        <v>23</v>
      </c>
      <c r="U14" s="499">
        <f>[3]Talents!AA14</f>
        <v>46</v>
      </c>
      <c r="V14" s="235">
        <f>[3]Talents!AC14</f>
        <v>80</v>
      </c>
      <c r="W14" s="78"/>
      <c r="AJ14" s="100" t="s">
        <v>150</v>
      </c>
      <c r="AK14" s="101">
        <v>1</v>
      </c>
      <c r="AL14" s="105">
        <v>6</v>
      </c>
    </row>
    <row r="15" spans="1:38" ht="13.5" thickBot="1" x14ac:dyDescent="0.35">
      <c r="A15" s="117" t="s">
        <v>80</v>
      </c>
      <c r="B15" s="118">
        <v>18</v>
      </c>
      <c r="C15" s="118">
        <v>55</v>
      </c>
      <c r="D15" s="118">
        <v>65</v>
      </c>
      <c r="E15" s="119">
        <v>-3</v>
      </c>
      <c r="F15" s="120" t="s">
        <v>273</v>
      </c>
      <c r="G15" s="233">
        <f>[3]Perso!J15</f>
        <v>7</v>
      </c>
      <c r="H15" s="116">
        <v>0</v>
      </c>
      <c r="I15" s="82"/>
      <c r="L15" s="76" t="s">
        <v>199</v>
      </c>
      <c r="M15" s="77"/>
      <c r="N15" s="499">
        <f>[3]Talents!J15</f>
        <v>6.5</v>
      </c>
      <c r="O15" s="499">
        <f>[3]Talents!K15</f>
        <v>13</v>
      </c>
      <c r="P15" s="235">
        <f>[3]Talents!M15</f>
        <v>58</v>
      </c>
      <c r="Q15" s="78"/>
      <c r="R15" s="76" t="s">
        <v>294</v>
      </c>
      <c r="S15" s="77"/>
      <c r="T15" s="499">
        <f>[3]Talents!Z15</f>
        <v>14</v>
      </c>
      <c r="U15" s="499">
        <f>[3]Talents!AA15</f>
        <v>28</v>
      </c>
      <c r="V15" s="235">
        <f>[3]Talents!AC15</f>
        <v>80</v>
      </c>
      <c r="W15" s="78"/>
      <c r="AJ15" s="100">
        <v>3</v>
      </c>
      <c r="AK15" s="101">
        <v>1</v>
      </c>
      <c r="AL15" s="478"/>
    </row>
    <row r="16" spans="1:38" ht="13.5" thickBot="1" x14ac:dyDescent="0.35">
      <c r="A16" s="113" t="s">
        <v>81</v>
      </c>
      <c r="B16" s="114">
        <v>19</v>
      </c>
      <c r="C16" s="114">
        <v>96</v>
      </c>
      <c r="D16" s="114">
        <v>103</v>
      </c>
      <c r="E16" s="115">
        <v>0</v>
      </c>
      <c r="F16" s="121" t="s">
        <v>299</v>
      </c>
      <c r="G16" s="233">
        <f>[3]Perso!J16</f>
        <v>60</v>
      </c>
      <c r="H16" s="116">
        <v>0</v>
      </c>
      <c r="I16" s="82"/>
      <c r="L16" s="76" t="s">
        <v>200</v>
      </c>
      <c r="M16" s="77"/>
      <c r="N16" s="499">
        <f>[3]Talents!J16</f>
        <v>13.5</v>
      </c>
      <c r="O16" s="499">
        <f>[3]Talents!K16</f>
        <v>27</v>
      </c>
      <c r="P16" s="235">
        <f>[3]Talents!M16</f>
        <v>66</v>
      </c>
      <c r="Q16" s="78"/>
      <c r="R16" s="76" t="s">
        <v>243</v>
      </c>
      <c r="S16" s="77"/>
      <c r="T16" s="499">
        <f>[3]Talents!Z16</f>
        <v>5</v>
      </c>
      <c r="U16" s="499">
        <f>[3]Talents!AA16</f>
        <v>10</v>
      </c>
      <c r="V16" s="235">
        <f>[3]Talents!AC16</f>
        <v>38</v>
      </c>
      <c r="W16" s="78"/>
      <c r="AJ16" s="108"/>
      <c r="AK16" s="109">
        <v>1</v>
      </c>
      <c r="AL16" s="479"/>
    </row>
    <row r="17" spans="1:38" ht="13.5" thickBot="1" x14ac:dyDescent="0.35">
      <c r="A17" s="117" t="s">
        <v>82</v>
      </c>
      <c r="B17" s="118">
        <v>19</v>
      </c>
      <c r="C17" s="118">
        <v>92</v>
      </c>
      <c r="D17" s="118">
        <v>103</v>
      </c>
      <c r="E17" s="119">
        <v>0</v>
      </c>
      <c r="F17" s="120" t="s">
        <v>300</v>
      </c>
      <c r="G17" s="233">
        <f>[3]Perso!J17</f>
        <v>12.4</v>
      </c>
      <c r="H17" s="122">
        <v>0</v>
      </c>
      <c r="I17" s="82"/>
      <c r="L17" s="76" t="s">
        <v>201</v>
      </c>
      <c r="M17" s="77"/>
      <c r="N17" s="499">
        <f>[3]Talents!J17</f>
        <v>12.5</v>
      </c>
      <c r="O17" s="499">
        <f>[3]Talents!K17</f>
        <v>25</v>
      </c>
      <c r="P17" s="235">
        <f>[3]Talents!M17</f>
        <v>73</v>
      </c>
      <c r="Q17" s="78"/>
      <c r="R17" s="180" t="s">
        <v>244</v>
      </c>
      <c r="S17" s="508"/>
      <c r="T17" s="509">
        <f>[3]Talents!Z17</f>
        <v>18.5</v>
      </c>
      <c r="U17" s="509">
        <f>[3]Talents!AA17</f>
        <v>37</v>
      </c>
      <c r="V17" s="510">
        <f>[3]Talents!AC17</f>
        <v>60</v>
      </c>
      <c r="W17" s="511"/>
      <c r="AJ17" s="94" t="s">
        <v>151</v>
      </c>
      <c r="AK17" s="111" t="s">
        <v>145</v>
      </c>
      <c r="AL17" s="506" t="s">
        <v>143</v>
      </c>
    </row>
    <row r="18" spans="1:38" ht="13" x14ac:dyDescent="0.3">
      <c r="A18" s="113" t="s">
        <v>83</v>
      </c>
      <c r="B18" s="114">
        <v>16</v>
      </c>
      <c r="C18" s="114">
        <v>51</v>
      </c>
      <c r="D18" s="114">
        <v>64</v>
      </c>
      <c r="E18" s="115">
        <v>0</v>
      </c>
      <c r="F18" s="120" t="s">
        <v>301</v>
      </c>
      <c r="G18" s="233">
        <f>[3]Perso!J18</f>
        <v>50</v>
      </c>
      <c r="H18" s="122">
        <v>0</v>
      </c>
      <c r="I18" s="82"/>
      <c r="L18" s="76" t="s">
        <v>202</v>
      </c>
      <c r="M18" s="77"/>
      <c r="N18" s="499">
        <f>[3]Talents!J18</f>
        <v>12.5</v>
      </c>
      <c r="O18" s="499">
        <f>[3]Talents!K18</f>
        <v>25</v>
      </c>
      <c r="P18" s="235">
        <f>[3]Talents!M18</f>
        <v>66</v>
      </c>
      <c r="Q18" s="78"/>
      <c r="R18" s="568" t="s">
        <v>281</v>
      </c>
      <c r="S18" s="512">
        <v>12</v>
      </c>
      <c r="T18" s="513">
        <f>[3]Talents!Z18</f>
        <v>13.5</v>
      </c>
      <c r="U18" s="513">
        <f>[3]Talents!AA18</f>
        <v>27</v>
      </c>
      <c r="V18" s="514">
        <f>[3]Talents!AC18</f>
        <v>80</v>
      </c>
      <c r="W18" s="515"/>
      <c r="AJ18" s="100" t="s">
        <v>152</v>
      </c>
      <c r="AK18" s="101">
        <v>1</v>
      </c>
      <c r="AL18" s="105">
        <v>7</v>
      </c>
    </row>
    <row r="19" spans="1:38" ht="13.5" thickBot="1" x14ac:dyDescent="0.35">
      <c r="A19" s="117" t="s">
        <v>84</v>
      </c>
      <c r="B19" s="118">
        <v>16</v>
      </c>
      <c r="C19" s="118">
        <v>45</v>
      </c>
      <c r="D19" s="118">
        <v>64</v>
      </c>
      <c r="E19" s="119">
        <v>0</v>
      </c>
      <c r="F19" s="121" t="s">
        <v>105</v>
      </c>
      <c r="G19" s="233">
        <f>[3]Perso!J19</f>
        <v>26.4</v>
      </c>
      <c r="H19" s="116">
        <v>0</v>
      </c>
      <c r="I19" s="82"/>
      <c r="L19" s="76" t="s">
        <v>203</v>
      </c>
      <c r="M19" s="77"/>
      <c r="N19" s="499">
        <f>[3]Talents!J19</f>
        <v>6.5</v>
      </c>
      <c r="O19" s="499">
        <f>[3]Talents!K19</f>
        <v>13</v>
      </c>
      <c r="P19" s="235">
        <f>[3]Talents!M19</f>
        <v>69</v>
      </c>
      <c r="Q19" s="78"/>
      <c r="R19" s="569" t="s">
        <v>282</v>
      </c>
      <c r="S19" s="77">
        <v>67</v>
      </c>
      <c r="T19" s="499">
        <f>[3]Talents!Z19</f>
        <v>13.5</v>
      </c>
      <c r="U19" s="499">
        <f>[3]Talents!AA19</f>
        <v>27</v>
      </c>
      <c r="V19" s="235">
        <f>[3]Talents!AC19</f>
        <v>80</v>
      </c>
      <c r="W19" s="78"/>
      <c r="AJ19" s="100">
        <v>3</v>
      </c>
      <c r="AK19" s="101">
        <v>1</v>
      </c>
      <c r="AL19" s="478"/>
    </row>
    <row r="20" spans="1:38" ht="13.5" thickBot="1" x14ac:dyDescent="0.35">
      <c r="A20" s="113" t="s">
        <v>85</v>
      </c>
      <c r="B20" s="114">
        <v>16</v>
      </c>
      <c r="C20" s="114">
        <v>73</v>
      </c>
      <c r="D20" s="114">
        <v>80</v>
      </c>
      <c r="E20" s="115">
        <v>10</v>
      </c>
      <c r="F20" s="121" t="s">
        <v>302</v>
      </c>
      <c r="G20" s="233">
        <f>[3]Perso!J20</f>
        <v>74.55</v>
      </c>
      <c r="H20" s="116">
        <v>0</v>
      </c>
      <c r="I20" s="82"/>
      <c r="L20" s="76" t="s">
        <v>204</v>
      </c>
      <c r="M20" s="77"/>
      <c r="N20" s="499">
        <f>[3]Talents!J20</f>
        <v>18.5</v>
      </c>
      <c r="O20" s="499">
        <f>[3]Talents!K20</f>
        <v>37</v>
      </c>
      <c r="P20" s="235">
        <f>[3]Talents!M20</f>
        <v>80</v>
      </c>
      <c r="Q20" s="78"/>
      <c r="R20" s="569" t="s">
        <v>283</v>
      </c>
      <c r="S20" s="77">
        <v>12</v>
      </c>
      <c r="T20" s="499">
        <f>[3]Talents!Z20</f>
        <v>13.5</v>
      </c>
      <c r="U20" s="499">
        <f>[3]Talents!AA20</f>
        <v>27</v>
      </c>
      <c r="V20" s="235">
        <f>[3]Talents!AC20</f>
        <v>80</v>
      </c>
      <c r="W20" s="78"/>
      <c r="Y20" s="516" t="s">
        <v>128</v>
      </c>
      <c r="Z20" s="517"/>
      <c r="AJ20" s="108"/>
      <c r="AK20" s="109">
        <v>1</v>
      </c>
      <c r="AL20" s="479"/>
    </row>
    <row r="21" spans="1:38" ht="13.5" thickBot="1" x14ac:dyDescent="0.35">
      <c r="A21" s="117" t="s">
        <v>86</v>
      </c>
      <c r="B21" s="118">
        <v>16</v>
      </c>
      <c r="C21" s="118">
        <v>58</v>
      </c>
      <c r="D21" s="118">
        <v>80</v>
      </c>
      <c r="E21" s="119">
        <v>0</v>
      </c>
      <c r="F21" s="120" t="s">
        <v>303</v>
      </c>
      <c r="G21" s="233">
        <f>[3]Perso!J21</f>
        <v>63.6</v>
      </c>
      <c r="H21" s="122">
        <v>0</v>
      </c>
      <c r="I21" s="82"/>
      <c r="L21" s="76" t="s">
        <v>205</v>
      </c>
      <c r="M21" s="77"/>
      <c r="N21" s="499">
        <f>[3]Talents!J21</f>
        <v>12.5</v>
      </c>
      <c r="O21" s="499">
        <f>[3]Talents!K21</f>
        <v>25</v>
      </c>
      <c r="P21" s="235">
        <f>[3]Talents!M21</f>
        <v>80</v>
      </c>
      <c r="Q21" s="78"/>
      <c r="R21" s="569" t="s">
        <v>284</v>
      </c>
      <c r="S21" s="77">
        <v>17</v>
      </c>
      <c r="T21" s="499">
        <f>[3]Talents!Z21</f>
        <v>13.5</v>
      </c>
      <c r="U21" s="499">
        <f>[3]Talents!AA21</f>
        <v>27</v>
      </c>
      <c r="V21" s="235">
        <f>[3]Talents!AC21</f>
        <v>80</v>
      </c>
      <c r="W21" s="78">
        <v>1</v>
      </c>
      <c r="X21" s="124" t="s">
        <v>126</v>
      </c>
      <c r="Y21" s="125" t="s">
        <v>127</v>
      </c>
      <c r="Z21" s="126" t="s">
        <v>310</v>
      </c>
      <c r="AA21" s="127" t="s">
        <v>309</v>
      </c>
      <c r="AB21" s="128" t="s">
        <v>991</v>
      </c>
      <c r="AC21" s="129" t="s">
        <v>992</v>
      </c>
      <c r="AD21" s="130" t="s">
        <v>993</v>
      </c>
      <c r="AE21" s="131" t="s">
        <v>994</v>
      </c>
      <c r="AF21" s="132" t="s">
        <v>995</v>
      </c>
      <c r="AG21" s="129" t="s">
        <v>139</v>
      </c>
      <c r="AH21" s="402" t="s">
        <v>140</v>
      </c>
      <c r="AI21" s="130" t="s">
        <v>996</v>
      </c>
      <c r="AJ21" s="94" t="s">
        <v>153</v>
      </c>
      <c r="AK21" s="111" t="s">
        <v>145</v>
      </c>
      <c r="AL21" s="506" t="s">
        <v>143</v>
      </c>
    </row>
    <row r="22" spans="1:38" ht="13" x14ac:dyDescent="0.3">
      <c r="A22" s="113" t="s">
        <v>87</v>
      </c>
      <c r="B22" s="114">
        <v>16</v>
      </c>
      <c r="C22" s="114">
        <v>50</v>
      </c>
      <c r="D22" s="114">
        <v>66</v>
      </c>
      <c r="E22" s="115">
        <v>0</v>
      </c>
      <c r="F22" s="120" t="s">
        <v>304</v>
      </c>
      <c r="G22" s="233">
        <f>[3]Perso!J22</f>
        <v>4</v>
      </c>
      <c r="H22" s="122">
        <v>0</v>
      </c>
      <c r="I22" s="82"/>
      <c r="L22" s="76" t="s">
        <v>206</v>
      </c>
      <c r="M22" s="77">
        <v>38</v>
      </c>
      <c r="N22" s="499">
        <f>[3]Talents!J22</f>
        <v>6</v>
      </c>
      <c r="O22" s="499">
        <f>[3]Talents!K22</f>
        <v>12</v>
      </c>
      <c r="P22" s="235">
        <f>[3]Talents!M22</f>
        <v>48</v>
      </c>
      <c r="Q22" s="78"/>
      <c r="R22" s="569" t="s">
        <v>285</v>
      </c>
      <c r="S22" s="77">
        <v>12</v>
      </c>
      <c r="T22" s="499">
        <f>[3]Talents!Z22</f>
        <v>13.5</v>
      </c>
      <c r="U22" s="499">
        <f>[3]Talents!AA22</f>
        <v>27</v>
      </c>
      <c r="V22" s="235">
        <f>[3]Talents!AC22</f>
        <v>80</v>
      </c>
      <c r="W22" s="78"/>
      <c r="X22" s="133" t="s">
        <v>1222</v>
      </c>
      <c r="Y22" s="134" t="s">
        <v>1223</v>
      </c>
      <c r="Z22" s="135" t="s">
        <v>1224</v>
      </c>
      <c r="AA22" s="444">
        <v>10</v>
      </c>
      <c r="AB22" s="136" t="s">
        <v>1225</v>
      </c>
      <c r="AC22" s="137" t="s">
        <v>1226</v>
      </c>
      <c r="AD22" s="138" t="s">
        <v>1226</v>
      </c>
      <c r="AE22" s="139" t="s">
        <v>1227</v>
      </c>
      <c r="AF22" s="137"/>
      <c r="AG22" s="439">
        <v>-1</v>
      </c>
      <c r="AH22" s="440">
        <v>-2</v>
      </c>
      <c r="AI22" s="140"/>
      <c r="AJ22" s="100" t="s">
        <v>152</v>
      </c>
      <c r="AK22" s="101">
        <v>1</v>
      </c>
      <c r="AL22" s="105">
        <v>7</v>
      </c>
    </row>
    <row r="23" spans="1:38" ht="13.5" thickBot="1" x14ac:dyDescent="0.35">
      <c r="A23" s="117" t="s">
        <v>88</v>
      </c>
      <c r="B23" s="118">
        <v>16</v>
      </c>
      <c r="C23" s="118">
        <v>50</v>
      </c>
      <c r="D23" s="118">
        <v>66</v>
      </c>
      <c r="E23" s="119">
        <v>0</v>
      </c>
      <c r="F23" s="120" t="s">
        <v>305</v>
      </c>
      <c r="G23" s="233">
        <f>[3]Perso!J23</f>
        <v>5</v>
      </c>
      <c r="H23" s="122">
        <v>0</v>
      </c>
      <c r="I23" s="82"/>
      <c r="L23" s="76" t="s">
        <v>207</v>
      </c>
      <c r="M23" s="77"/>
      <c r="N23" s="499">
        <f>[3]Talents!J23</f>
        <v>13.5</v>
      </c>
      <c r="O23" s="499">
        <f>[3]Talents!K23</f>
        <v>27</v>
      </c>
      <c r="P23" s="235">
        <f>[3]Talents!M23</f>
        <v>66</v>
      </c>
      <c r="Q23" s="78"/>
      <c r="R23" s="569" t="s">
        <v>286</v>
      </c>
      <c r="S23" s="77">
        <v>13</v>
      </c>
      <c r="T23" s="499">
        <f>[3]Talents!Z23</f>
        <v>13.5</v>
      </c>
      <c r="U23" s="499">
        <f>[3]Talents!AA23</f>
        <v>27</v>
      </c>
      <c r="V23" s="235">
        <f>[3]Talents!AC23</f>
        <v>80</v>
      </c>
      <c r="W23" s="78"/>
      <c r="X23" s="133"/>
      <c r="Y23" s="134"/>
      <c r="Z23" s="135"/>
      <c r="AA23" s="444"/>
      <c r="AB23" s="136"/>
      <c r="AC23" s="137"/>
      <c r="AD23" s="138"/>
      <c r="AE23" s="139"/>
      <c r="AF23" s="137"/>
      <c r="AG23" s="439"/>
      <c r="AH23" s="440"/>
      <c r="AI23" s="140"/>
      <c r="AJ23" s="100">
        <v>3</v>
      </c>
      <c r="AK23" s="101">
        <v>1</v>
      </c>
      <c r="AL23" s="478"/>
    </row>
    <row r="24" spans="1:38" ht="13.5" thickBot="1" x14ac:dyDescent="0.35">
      <c r="A24" s="113" t="s">
        <v>89</v>
      </c>
      <c r="B24" s="114">
        <v>10</v>
      </c>
      <c r="C24" s="114">
        <v>24</v>
      </c>
      <c r="D24" s="114">
        <v>40</v>
      </c>
      <c r="E24" s="115">
        <v>0</v>
      </c>
      <c r="F24" s="121" t="s">
        <v>306</v>
      </c>
      <c r="G24" s="233">
        <f>[3]Perso!J24</f>
        <v>46.9</v>
      </c>
      <c r="H24" s="116">
        <v>0</v>
      </c>
      <c r="I24" s="82"/>
      <c r="L24" s="76" t="s">
        <v>208</v>
      </c>
      <c r="M24" s="77"/>
      <c r="N24" s="499">
        <f>[3]Talents!J24</f>
        <v>23</v>
      </c>
      <c r="O24" s="499">
        <f>[3]Talents!K24</f>
        <v>46</v>
      </c>
      <c r="P24" s="235">
        <f>[3]Talents!M24</f>
        <v>80</v>
      </c>
      <c r="Q24" s="78"/>
      <c r="R24" s="569" t="s">
        <v>287</v>
      </c>
      <c r="S24" s="77">
        <v>12</v>
      </c>
      <c r="T24" s="499">
        <f>[3]Talents!Z24</f>
        <v>13.5</v>
      </c>
      <c r="U24" s="499">
        <f>[3]Talents!AA24</f>
        <v>27</v>
      </c>
      <c r="V24" s="235">
        <f>[3]Talents!AC24</f>
        <v>80</v>
      </c>
      <c r="W24" s="78"/>
      <c r="X24" s="133"/>
      <c r="Y24" s="134"/>
      <c r="Z24" s="135"/>
      <c r="AA24" s="444"/>
      <c r="AB24" s="136"/>
      <c r="AC24" s="137"/>
      <c r="AD24" s="138"/>
      <c r="AE24" s="139"/>
      <c r="AF24" s="137"/>
      <c r="AG24" s="439"/>
      <c r="AH24" s="440"/>
      <c r="AI24" s="140"/>
      <c r="AJ24" s="108"/>
      <c r="AK24" s="109">
        <v>1</v>
      </c>
      <c r="AL24" s="479"/>
    </row>
    <row r="25" spans="1:38" ht="13.5" thickBot="1" x14ac:dyDescent="0.35">
      <c r="A25" s="117" t="s">
        <v>90</v>
      </c>
      <c r="B25" s="118">
        <v>10</v>
      </c>
      <c r="C25" s="118">
        <v>25</v>
      </c>
      <c r="D25" s="118">
        <v>40</v>
      </c>
      <c r="E25" s="119">
        <v>0</v>
      </c>
      <c r="F25" s="121" t="s">
        <v>307</v>
      </c>
      <c r="G25" s="233">
        <f>[3]Perso!J25</f>
        <v>8</v>
      </c>
      <c r="H25" s="116">
        <v>0</v>
      </c>
      <c r="I25" s="82"/>
      <c r="L25" s="76" t="s">
        <v>209</v>
      </c>
      <c r="M25" s="77"/>
      <c r="N25" s="499">
        <f>[3]Talents!J25</f>
        <v>2.5</v>
      </c>
      <c r="O25" s="499">
        <f>[3]Talents!K25</f>
        <v>5</v>
      </c>
      <c r="P25" s="235">
        <f>[3]Talents!M25</f>
        <v>36</v>
      </c>
      <c r="Q25" s="78"/>
      <c r="R25" s="569" t="s">
        <v>288</v>
      </c>
      <c r="S25" s="77">
        <v>12</v>
      </c>
      <c r="T25" s="499">
        <f>[3]Talents!Z25</f>
        <v>13.5</v>
      </c>
      <c r="U25" s="499">
        <f>[3]Talents!AA25</f>
        <v>27</v>
      </c>
      <c r="V25" s="235">
        <f>[3]Talents!AC25</f>
        <v>80</v>
      </c>
      <c r="W25" s="78"/>
      <c r="X25" s="142" t="s">
        <v>165</v>
      </c>
      <c r="Y25" s="143"/>
      <c r="Z25" s="135" t="s">
        <v>165</v>
      </c>
      <c r="AA25" s="445" t="s">
        <v>165</v>
      </c>
      <c r="AB25" s="144"/>
      <c r="AC25" s="145"/>
      <c r="AD25" s="146"/>
      <c r="AE25" s="147"/>
      <c r="AF25" s="145"/>
      <c r="AG25" s="439"/>
      <c r="AH25" s="441"/>
      <c r="AI25" s="148"/>
      <c r="AJ25" s="94" t="s">
        <v>154</v>
      </c>
      <c r="AK25" s="111" t="s">
        <v>145</v>
      </c>
      <c r="AL25" s="506" t="s">
        <v>143</v>
      </c>
    </row>
    <row r="26" spans="1:38" ht="13.5" thickBot="1" x14ac:dyDescent="0.35">
      <c r="A26" s="113" t="s">
        <v>91</v>
      </c>
      <c r="B26" s="114">
        <v>4</v>
      </c>
      <c r="C26" s="114">
        <v>12</v>
      </c>
      <c r="D26" s="114">
        <v>14</v>
      </c>
      <c r="E26" s="115">
        <v>0</v>
      </c>
      <c r="F26" s="79" t="s">
        <v>166</v>
      </c>
      <c r="G26" s="233">
        <f>[3]Perso!J26</f>
        <v>12.8</v>
      </c>
      <c r="H26" s="116">
        <v>0</v>
      </c>
      <c r="I26" s="82"/>
      <c r="L26" s="76" t="s">
        <v>210</v>
      </c>
      <c r="M26" s="77">
        <v>80</v>
      </c>
      <c r="N26" s="499">
        <f>[3]Talents!J26</f>
        <v>23</v>
      </c>
      <c r="O26" s="499">
        <f>[3]Talents!K26</f>
        <v>46</v>
      </c>
      <c r="P26" s="235">
        <f>[3]Talents!M26</f>
        <v>80</v>
      </c>
      <c r="Q26" s="78"/>
      <c r="R26" s="569" t="s">
        <v>289</v>
      </c>
      <c r="S26" s="77">
        <v>12</v>
      </c>
      <c r="T26" s="499">
        <f>[3]Talents!Z26</f>
        <v>13.5</v>
      </c>
      <c r="U26" s="499">
        <f>[3]Talents!AA26</f>
        <v>27</v>
      </c>
      <c r="V26" s="235">
        <f>[3]Talents!AC26</f>
        <v>80</v>
      </c>
      <c r="W26" s="78"/>
      <c r="X26" s="149" t="s">
        <v>1537</v>
      </c>
      <c r="Y26" s="416">
        <f>IF(X26&lt;&gt;"Bouclier",ROUND(S45/5,0),0)</f>
        <v>1</v>
      </c>
      <c r="Z26" s="150"/>
      <c r="AA26" s="446"/>
      <c r="AB26" s="151"/>
      <c r="AC26" s="152"/>
      <c r="AD26" s="153"/>
      <c r="AE26" s="154"/>
      <c r="AF26" s="152"/>
      <c r="AG26" s="442">
        <v>-2</v>
      </c>
      <c r="AH26" s="443">
        <v>4</v>
      </c>
      <c r="AI26" s="155">
        <v>-2</v>
      </c>
      <c r="AJ26" s="100" t="s">
        <v>146</v>
      </c>
      <c r="AK26" s="101"/>
      <c r="AL26" s="105"/>
    </row>
    <row r="27" spans="1:38" ht="14.4" customHeight="1" thickBot="1" x14ac:dyDescent="0.35">
      <c r="A27" s="117" t="s">
        <v>92</v>
      </c>
      <c r="B27" s="118">
        <v>4</v>
      </c>
      <c r="C27" s="118">
        <v>12</v>
      </c>
      <c r="D27" s="118">
        <v>14</v>
      </c>
      <c r="E27" s="119">
        <v>0</v>
      </c>
      <c r="F27" s="121" t="s">
        <v>485</v>
      </c>
      <c r="G27" s="233">
        <f>[3]Perso!J27</f>
        <v>6</v>
      </c>
      <c r="H27" s="156">
        <v>0</v>
      </c>
      <c r="L27" s="76" t="s">
        <v>211</v>
      </c>
      <c r="M27" s="77"/>
      <c r="N27" s="499">
        <f>[3]Talents!J27</f>
        <v>14</v>
      </c>
      <c r="O27" s="499">
        <f>[3]Talents!K27</f>
        <v>28</v>
      </c>
      <c r="P27" s="235">
        <f>[3]Talents!M27</f>
        <v>69</v>
      </c>
      <c r="Q27" s="78"/>
      <c r="R27" s="569" t="s">
        <v>290</v>
      </c>
      <c r="S27" s="77">
        <v>27</v>
      </c>
      <c r="T27" s="499">
        <f>[3]Talents!Z27</f>
        <v>13.5</v>
      </c>
      <c r="U27" s="499">
        <f>[3]Talents!AA27</f>
        <v>27</v>
      </c>
      <c r="V27" s="235">
        <f>[3]Talents!AC27</f>
        <v>80</v>
      </c>
      <c r="W27" s="78"/>
      <c r="X27" s="157"/>
      <c r="Z27" s="408" t="s">
        <v>1096</v>
      </c>
      <c r="AA27" s="455">
        <f>SUM(AA22:AA26)</f>
        <v>10</v>
      </c>
      <c r="AB27" s="112"/>
      <c r="AC27" s="158"/>
      <c r="AD27" s="158"/>
      <c r="AE27" s="158"/>
      <c r="AF27" s="409"/>
      <c r="AG27" s="488">
        <f>SUM(AG22:AG26)</f>
        <v>-3</v>
      </c>
      <c r="AH27" s="488">
        <f>SUM(AH22:AH26)</f>
        <v>2</v>
      </c>
      <c r="AI27" s="415">
        <f>SUM(AI22:AI26)</f>
        <v>-2</v>
      </c>
      <c r="AJ27" s="100">
        <v>4</v>
      </c>
      <c r="AK27" s="101"/>
      <c r="AL27" s="478"/>
    </row>
    <row r="28" spans="1:38" ht="14.4" customHeight="1" thickBot="1" x14ac:dyDescent="0.35">
      <c r="A28" s="113" t="s">
        <v>93</v>
      </c>
      <c r="B28" s="114">
        <v>11</v>
      </c>
      <c r="C28" s="114">
        <v>42</v>
      </c>
      <c r="D28" s="114">
        <v>44</v>
      </c>
      <c r="E28" s="115">
        <v>-3</v>
      </c>
      <c r="F28" s="79" t="s">
        <v>106</v>
      </c>
      <c r="G28" s="233">
        <f>[3]Perso!J28</f>
        <v>6</v>
      </c>
      <c r="H28" s="116">
        <v>0</v>
      </c>
      <c r="I28" s="82"/>
      <c r="L28" s="76" t="s">
        <v>212</v>
      </c>
      <c r="M28" s="77"/>
      <c r="N28" s="499">
        <f>[3]Talents!J28</f>
        <v>23</v>
      </c>
      <c r="O28" s="499">
        <f>[3]Talents!K28</f>
        <v>46</v>
      </c>
      <c r="P28" s="235">
        <f>[3]Talents!M28</f>
        <v>80</v>
      </c>
      <c r="Q28" s="78"/>
      <c r="R28" s="569" t="s">
        <v>291</v>
      </c>
      <c r="S28" s="77">
        <v>68</v>
      </c>
      <c r="T28" s="499">
        <f>[3]Talents!Z28</f>
        <v>13.5</v>
      </c>
      <c r="U28" s="499">
        <f>[3]Talents!AA28</f>
        <v>27</v>
      </c>
      <c r="V28" s="235">
        <f>[3]Talents!AC28</f>
        <v>80</v>
      </c>
      <c r="W28" s="78"/>
      <c r="X28" s="112"/>
      <c r="Y28" s="112"/>
      <c r="Z28" s="112"/>
      <c r="AA28" s="112"/>
      <c r="AB28" s="112"/>
      <c r="AC28" s="112"/>
      <c r="AD28" s="112"/>
      <c r="AE28" s="112"/>
      <c r="AF28" s="112" t="s">
        <v>1097</v>
      </c>
      <c r="AG28" s="507" t="s">
        <v>139</v>
      </c>
      <c r="AH28" s="507" t="s">
        <v>140</v>
      </c>
      <c r="AI28" s="507" t="s">
        <v>1086</v>
      </c>
      <c r="AJ28" s="108"/>
      <c r="AK28" s="109"/>
      <c r="AL28" s="479"/>
    </row>
    <row r="29" spans="1:38" ht="14.4" customHeight="1" thickBot="1" x14ac:dyDescent="0.35">
      <c r="A29" s="117" t="s">
        <v>94</v>
      </c>
      <c r="B29" s="118">
        <v>11</v>
      </c>
      <c r="C29" s="118">
        <v>44</v>
      </c>
      <c r="D29" s="118">
        <v>44</v>
      </c>
      <c r="E29" s="119">
        <v>-3</v>
      </c>
      <c r="F29" s="79" t="s">
        <v>49</v>
      </c>
      <c r="G29" s="233">
        <f>[3]Perso!J29</f>
        <v>48</v>
      </c>
      <c r="H29" s="116"/>
      <c r="I29" s="82"/>
      <c r="L29" s="76" t="s">
        <v>213</v>
      </c>
      <c r="M29" s="77"/>
      <c r="N29" s="499">
        <f>[3]Talents!J29</f>
        <v>14.5</v>
      </c>
      <c r="O29" s="499">
        <f>[3]Talents!K29</f>
        <v>29</v>
      </c>
      <c r="P29" s="235">
        <f>[3]Talents!M29</f>
        <v>80</v>
      </c>
      <c r="Q29" s="78"/>
      <c r="R29" s="569" t="s">
        <v>292</v>
      </c>
      <c r="S29" s="77">
        <v>12</v>
      </c>
      <c r="T29" s="499">
        <f>[3]Talents!Z29</f>
        <v>13.5</v>
      </c>
      <c r="U29" s="499">
        <f>[3]Talents!AA29</f>
        <v>27</v>
      </c>
      <c r="V29" s="235">
        <f>[3]Talents!AC29</f>
        <v>80</v>
      </c>
      <c r="W29" s="78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07" t="s">
        <v>1087</v>
      </c>
      <c r="AI29" s="414">
        <f>M7/5+M67/10</f>
        <v>0</v>
      </c>
      <c r="AJ29" s="94" t="s">
        <v>155</v>
      </c>
      <c r="AK29" s="111" t="s">
        <v>145</v>
      </c>
      <c r="AL29" s="506" t="s">
        <v>143</v>
      </c>
    </row>
    <row r="30" spans="1:38" ht="13.5" thickBot="1" x14ac:dyDescent="0.35">
      <c r="A30" s="110" t="s">
        <v>95</v>
      </c>
      <c r="B30" s="159">
        <v>5</v>
      </c>
      <c r="C30" s="159">
        <v>20</v>
      </c>
      <c r="D30" s="159">
        <v>20</v>
      </c>
      <c r="E30" s="160">
        <v>-3</v>
      </c>
      <c r="F30" s="79" t="s">
        <v>24</v>
      </c>
      <c r="G30" s="233">
        <f>[3]Perso!J30</f>
        <v>43</v>
      </c>
      <c r="H30" s="116">
        <v>0</v>
      </c>
      <c r="I30" s="82"/>
      <c r="L30" s="76" t="s">
        <v>214</v>
      </c>
      <c r="M30" s="77"/>
      <c r="N30" s="499">
        <f>[3]Talents!J30</f>
        <v>13</v>
      </c>
      <c r="O30" s="499">
        <f>[3]Talents!K30</f>
        <v>26</v>
      </c>
      <c r="P30" s="235">
        <f>[3]Talents!M30</f>
        <v>60</v>
      </c>
      <c r="Q30" s="78"/>
      <c r="R30" s="570" t="s">
        <v>293</v>
      </c>
      <c r="S30" s="508">
        <v>70</v>
      </c>
      <c r="T30" s="509">
        <f>[3]Talents!Z30</f>
        <v>13.5</v>
      </c>
      <c r="U30" s="509">
        <f>[3]Talents!AA30</f>
        <v>27</v>
      </c>
      <c r="V30" s="510">
        <f>[3]Talents!AC30</f>
        <v>80</v>
      </c>
      <c r="W30" s="511"/>
      <c r="X30" s="161" t="s">
        <v>129</v>
      </c>
      <c r="Y30" s="162"/>
      <c r="Z30" s="163" t="s">
        <v>130</v>
      </c>
      <c r="AA30" s="163"/>
      <c r="AB30" s="164" t="s">
        <v>143</v>
      </c>
      <c r="AC30" s="165" t="s">
        <v>131</v>
      </c>
      <c r="AD30" s="166"/>
      <c r="AE30" s="163" t="s">
        <v>132</v>
      </c>
      <c r="AF30" s="167" t="s">
        <v>133</v>
      </c>
      <c r="AG30" s="168" t="s">
        <v>134</v>
      </c>
      <c r="AH30" s="403"/>
      <c r="AI30" s="169" t="s">
        <v>135</v>
      </c>
      <c r="AJ30" s="100" t="s">
        <v>146</v>
      </c>
      <c r="AK30" s="101"/>
      <c r="AL30" s="105"/>
    </row>
    <row r="31" spans="1:38" ht="13.5" thickBot="1" x14ac:dyDescent="0.35">
      <c r="A31" s="117" t="s">
        <v>96</v>
      </c>
      <c r="B31" s="118">
        <v>5</v>
      </c>
      <c r="C31" s="118">
        <v>20</v>
      </c>
      <c r="D31" s="118">
        <v>20</v>
      </c>
      <c r="E31" s="119">
        <v>-3</v>
      </c>
      <c r="F31" s="79" t="s">
        <v>25</v>
      </c>
      <c r="G31" s="233">
        <f>[3]Perso!J31</f>
        <v>86</v>
      </c>
      <c r="H31" s="116">
        <v>0</v>
      </c>
      <c r="I31" s="82"/>
      <c r="L31" s="76" t="s">
        <v>1171</v>
      </c>
      <c r="M31" s="77"/>
      <c r="N31" s="499">
        <f>[3]Talents!J31</f>
        <v>18.5</v>
      </c>
      <c r="O31" s="499">
        <f>[3]Talents!K31</f>
        <v>37</v>
      </c>
      <c r="P31" s="235">
        <f>[3]Talents!M31</f>
        <v>80</v>
      </c>
      <c r="Q31" s="78"/>
      <c r="R31" s="76" t="s">
        <v>245</v>
      </c>
      <c r="S31" s="77"/>
      <c r="T31" s="499">
        <f>[3]Talents!Z31</f>
        <v>12.5</v>
      </c>
      <c r="U31" s="499">
        <f>[3]Talents!AA31</f>
        <v>25</v>
      </c>
      <c r="V31" s="235">
        <f>[3]Talents!AC31</f>
        <v>80</v>
      </c>
      <c r="W31" s="78"/>
      <c r="X31" s="170" t="s">
        <v>136</v>
      </c>
      <c r="Y31" s="171"/>
      <c r="Z31" s="172" t="s">
        <v>137</v>
      </c>
      <c r="AA31" s="172"/>
      <c r="AB31" s="173" t="s">
        <v>142</v>
      </c>
      <c r="AC31" s="174"/>
      <c r="AD31" s="175"/>
      <c r="AE31" s="176"/>
      <c r="AF31" s="177"/>
      <c r="AG31" s="178"/>
      <c r="AH31" s="78"/>
      <c r="AI31" s="179" t="s">
        <v>138</v>
      </c>
      <c r="AJ31" s="100">
        <v>4</v>
      </c>
      <c r="AK31" s="101"/>
      <c r="AL31" s="478"/>
    </row>
    <row r="32" spans="1:38" ht="13.5" thickBot="1" x14ac:dyDescent="0.35">
      <c r="A32" s="67"/>
      <c r="B32" s="71"/>
      <c r="C32" s="102" t="s">
        <v>97</v>
      </c>
      <c r="D32" s="68" t="s">
        <v>104</v>
      </c>
      <c r="E32" s="70"/>
      <c r="F32" s="79" t="s">
        <v>26</v>
      </c>
      <c r="G32" s="233">
        <f>[3]Perso!J32</f>
        <v>129</v>
      </c>
      <c r="H32" s="116">
        <v>0</v>
      </c>
      <c r="I32" s="82"/>
      <c r="L32" s="567" t="s">
        <v>215</v>
      </c>
      <c r="M32" s="644">
        <v>53</v>
      </c>
      <c r="N32" s="499">
        <f>[3]Talents!J32</f>
        <v>13</v>
      </c>
      <c r="O32" s="499">
        <f>[3]Talents!K32</f>
        <v>26</v>
      </c>
      <c r="P32" s="235">
        <f>[3]Talents!M32</f>
        <v>63</v>
      </c>
      <c r="Q32" s="78">
        <v>2</v>
      </c>
      <c r="R32" s="567" t="s">
        <v>246</v>
      </c>
      <c r="S32" s="644">
        <v>8</v>
      </c>
      <c r="T32" s="499">
        <f>[3]Talents!Z32</f>
        <v>8</v>
      </c>
      <c r="U32" s="499">
        <f>[3]Talents!AA32</f>
        <v>16</v>
      </c>
      <c r="V32" s="235">
        <f>[3]Talents!AC32</f>
        <v>75</v>
      </c>
      <c r="W32" s="78"/>
      <c r="X32" s="181" t="s">
        <v>1277</v>
      </c>
      <c r="Y32" s="182"/>
      <c r="Z32" s="183" t="s">
        <v>1538</v>
      </c>
      <c r="AA32" s="183"/>
      <c r="AB32" s="453">
        <v>23</v>
      </c>
      <c r="AC32" s="410" t="s">
        <v>139</v>
      </c>
      <c r="AD32" s="450"/>
      <c r="AE32" s="184"/>
      <c r="AF32" s="185" t="s">
        <v>1544</v>
      </c>
      <c r="AG32" s="186"/>
      <c r="AH32" s="404"/>
      <c r="AI32" s="187" t="s">
        <v>135</v>
      </c>
      <c r="AJ32" s="108"/>
      <c r="AK32" s="109"/>
      <c r="AL32" s="479"/>
    </row>
    <row r="33" spans="1:38" ht="13.5" thickBot="1" x14ac:dyDescent="0.35">
      <c r="A33" s="80" t="s">
        <v>72</v>
      </c>
      <c r="B33" s="159">
        <v>56</v>
      </c>
      <c r="C33" s="188">
        <v>0</v>
      </c>
      <c r="D33" s="501" t="s">
        <v>1489</v>
      </c>
      <c r="E33" s="82"/>
      <c r="F33" s="79" t="s">
        <v>107</v>
      </c>
      <c r="G33" s="233">
        <f>[3]Perso!J33</f>
        <v>12900</v>
      </c>
      <c r="H33" s="116">
        <v>0</v>
      </c>
      <c r="I33" s="82"/>
      <c r="L33" s="76" t="s">
        <v>216</v>
      </c>
      <c r="M33" s="77"/>
      <c r="N33" s="499">
        <f>[3]Talents!J33</f>
        <v>24</v>
      </c>
      <c r="O33" s="499">
        <f>[3]Talents!K33</f>
        <v>48</v>
      </c>
      <c r="P33" s="235">
        <f>[3]Talents!M33</f>
        <v>80</v>
      </c>
      <c r="Q33" s="78"/>
      <c r="R33" s="76" t="s">
        <v>247</v>
      </c>
      <c r="S33" s="77">
        <v>46</v>
      </c>
      <c r="T33" s="499">
        <f>[3]Talents!Z33</f>
        <v>3</v>
      </c>
      <c r="U33" s="499">
        <f>[3]Talents!AA33</f>
        <v>6</v>
      </c>
      <c r="V33" s="235">
        <f>[3]Talents!AC33</f>
        <v>62</v>
      </c>
      <c r="W33" s="78">
        <v>-1</v>
      </c>
      <c r="X33" s="189" t="s">
        <v>1396</v>
      </c>
      <c r="Y33" s="190"/>
      <c r="Z33" s="191" t="s">
        <v>163</v>
      </c>
      <c r="AA33" s="191"/>
      <c r="AB33" s="449">
        <v>-1</v>
      </c>
      <c r="AC33" s="411" t="s">
        <v>140</v>
      </c>
      <c r="AD33" s="451"/>
      <c r="AE33" s="192" t="s">
        <v>1288</v>
      </c>
      <c r="AF33" s="192" t="s">
        <v>1289</v>
      </c>
      <c r="AG33" s="192" t="s">
        <v>1290</v>
      </c>
      <c r="AH33" s="192"/>
      <c r="AI33" s="417">
        <f>ROUND($AB$35+$AD35+$AI$29,0)</f>
        <v>10</v>
      </c>
      <c r="AJ33" s="193" t="s">
        <v>156</v>
      </c>
      <c r="AK33" s="194" t="s">
        <v>145</v>
      </c>
      <c r="AL33" s="506" t="s">
        <v>143</v>
      </c>
    </row>
    <row r="34" spans="1:38" ht="13" x14ac:dyDescent="0.3">
      <c r="A34" s="80" t="s">
        <v>98</v>
      </c>
      <c r="B34" s="159">
        <v>46</v>
      </c>
      <c r="C34" s="188">
        <v>0</v>
      </c>
      <c r="D34" s="501" t="s">
        <v>1490</v>
      </c>
      <c r="E34" s="82"/>
      <c r="F34" s="79" t="s">
        <v>43</v>
      </c>
      <c r="G34" s="233"/>
      <c r="H34" s="81">
        <v>0</v>
      </c>
      <c r="I34" s="82"/>
      <c r="L34" s="76" t="s">
        <v>1124</v>
      </c>
      <c r="M34" s="77"/>
      <c r="N34" s="499">
        <f>[3]Talents!J34</f>
        <v>12.5</v>
      </c>
      <c r="O34" s="499">
        <f>[3]Talents!K34</f>
        <v>25</v>
      </c>
      <c r="P34" s="235">
        <f>[3]Talents!M34</f>
        <v>47</v>
      </c>
      <c r="Q34" s="78"/>
      <c r="R34" s="76" t="s">
        <v>248</v>
      </c>
      <c r="S34" s="77">
        <v>9</v>
      </c>
      <c r="T34" s="499">
        <f>[3]Talents!Z34</f>
        <v>14.5</v>
      </c>
      <c r="U34" s="499">
        <f>[3]Talents!AA34</f>
        <v>29</v>
      </c>
      <c r="V34" s="235">
        <f>[3]Talents!AC34</f>
        <v>80</v>
      </c>
      <c r="W34" s="78"/>
      <c r="X34" s="189"/>
      <c r="Y34" s="195"/>
      <c r="Z34" s="196" t="s">
        <v>1088</v>
      </c>
      <c r="AA34" s="447">
        <v>3</v>
      </c>
      <c r="AB34" s="449">
        <v>6</v>
      </c>
      <c r="AC34" s="411" t="s">
        <v>1086</v>
      </c>
      <c r="AD34" s="451">
        <v>-1</v>
      </c>
      <c r="AE34" s="490">
        <f>ROUND($G$12+S49/5+$AG$27+$AD32,0)</f>
        <v>26</v>
      </c>
      <c r="AF34" s="491">
        <f>ROUND($G$13+$AH$27+$AD33,0)</f>
        <v>19</v>
      </c>
      <c r="AG34" s="492">
        <f>AF34+$Y$26</f>
        <v>20</v>
      </c>
      <c r="AH34" s="405"/>
      <c r="AI34" s="197" t="s">
        <v>138</v>
      </c>
      <c r="AJ34" s="100" t="s">
        <v>152</v>
      </c>
      <c r="AK34" s="101"/>
      <c r="AL34" s="105"/>
    </row>
    <row r="35" spans="1:38" ht="13.5" thickBot="1" x14ac:dyDescent="0.35">
      <c r="A35" s="80" t="s">
        <v>73</v>
      </c>
      <c r="B35" s="159">
        <v>67</v>
      </c>
      <c r="C35" s="188">
        <v>0</v>
      </c>
      <c r="D35" s="501" t="s">
        <v>1491</v>
      </c>
      <c r="E35" s="82"/>
      <c r="F35" s="80" t="s">
        <v>308</v>
      </c>
      <c r="G35" s="233">
        <f>[3]Perso!J35</f>
        <v>20</v>
      </c>
      <c r="H35" s="116">
        <v>0</v>
      </c>
      <c r="I35" s="82"/>
      <c r="L35" s="76" t="s">
        <v>217</v>
      </c>
      <c r="M35" s="77"/>
      <c r="N35" s="499">
        <f>[3]Talents!J35</f>
        <v>14.5</v>
      </c>
      <c r="O35" s="499">
        <f>[3]Talents!K35</f>
        <v>29</v>
      </c>
      <c r="P35" s="235">
        <f>[3]Talents!M35</f>
        <v>73</v>
      </c>
      <c r="Q35" s="78"/>
      <c r="R35" s="76" t="s">
        <v>249</v>
      </c>
      <c r="S35" s="77">
        <v>52</v>
      </c>
      <c r="T35" s="499">
        <f>[3]Talents!Z35</f>
        <v>23</v>
      </c>
      <c r="U35" s="499">
        <f>[3]Talents!AA35</f>
        <v>46</v>
      </c>
      <c r="V35" s="235">
        <f>[3]Talents!AC35</f>
        <v>60</v>
      </c>
      <c r="W35" s="78"/>
      <c r="X35" s="198"/>
      <c r="Y35" s="199"/>
      <c r="Z35" s="200" t="s">
        <v>164</v>
      </c>
      <c r="AA35" s="191"/>
      <c r="AB35" s="454">
        <v>10</v>
      </c>
      <c r="AC35" s="412" t="s">
        <v>1087</v>
      </c>
      <c r="AD35" s="452"/>
      <c r="AE35" s="201" t="s">
        <v>139</v>
      </c>
      <c r="AF35" s="202" t="s">
        <v>140</v>
      </c>
      <c r="AG35" s="203" t="s">
        <v>1090</v>
      </c>
      <c r="AH35" s="203"/>
      <c r="AI35" s="413" t="str">
        <f>ROUND($G$27+$AA34+$AI$27+$AD34,0)&amp;"/"&amp;ROUND($AB34+$G$27+$AI$27+$AD34,0)</f>
        <v>6/9</v>
      </c>
      <c r="AJ35" s="100">
        <v>3</v>
      </c>
      <c r="AK35" s="101"/>
      <c r="AL35" s="478"/>
    </row>
    <row r="36" spans="1:38" ht="15" customHeight="1" thickTop="1" thickBot="1" x14ac:dyDescent="0.35">
      <c r="A36" s="80" t="s">
        <v>99</v>
      </c>
      <c r="B36" s="159">
        <v>53</v>
      </c>
      <c r="C36" s="188">
        <v>0</v>
      </c>
      <c r="D36" s="501"/>
      <c r="E36" s="82"/>
      <c r="F36" s="79" t="s">
        <v>492</v>
      </c>
      <c r="G36" s="233">
        <f>[3]Perso!J36</f>
        <v>10</v>
      </c>
      <c r="H36" s="116">
        <v>0</v>
      </c>
      <c r="I36" s="82"/>
      <c r="L36" s="567" t="s">
        <v>218</v>
      </c>
      <c r="M36" s="644">
        <v>71</v>
      </c>
      <c r="N36" s="499">
        <f>[3]Talents!J36</f>
        <v>13</v>
      </c>
      <c r="O36" s="499">
        <f>[3]Talents!K36</f>
        <v>26</v>
      </c>
      <c r="P36" s="235">
        <f>[3]Talents!M36</f>
        <v>80</v>
      </c>
      <c r="Q36" s="78"/>
      <c r="R36" s="112"/>
      <c r="S36" s="77">
        <v>0</v>
      </c>
      <c r="T36" s="499">
        <f>[3]Talents!Z36</f>
        <v>0</v>
      </c>
      <c r="U36" s="499">
        <f>[3]Talents!AA36</f>
        <v>0</v>
      </c>
      <c r="V36" s="235">
        <f>[3]Talents!AC36</f>
        <v>0</v>
      </c>
      <c r="W36" s="78"/>
      <c r="X36" s="181" t="s">
        <v>1147</v>
      </c>
      <c r="Y36" s="195"/>
      <c r="Z36" s="183" t="s">
        <v>1285</v>
      </c>
      <c r="AA36" s="183"/>
      <c r="AB36" s="453">
        <v>25</v>
      </c>
      <c r="AC36" s="410" t="s">
        <v>139</v>
      </c>
      <c r="AD36" s="450"/>
      <c r="AE36" s="184"/>
      <c r="AF36" s="185" t="s">
        <v>1287</v>
      </c>
      <c r="AG36" s="204"/>
      <c r="AH36" s="406"/>
      <c r="AI36" s="197" t="s">
        <v>135</v>
      </c>
      <c r="AJ36" s="108"/>
      <c r="AK36" s="109"/>
      <c r="AL36" s="479"/>
    </row>
    <row r="37" spans="1:38" ht="14.4" customHeight="1" thickBot="1" x14ac:dyDescent="0.35">
      <c r="A37" s="89" t="s">
        <v>74</v>
      </c>
      <c r="B37" s="118">
        <v>63</v>
      </c>
      <c r="C37" s="205">
        <v>0</v>
      </c>
      <c r="D37" s="501"/>
      <c r="E37" s="82"/>
      <c r="F37" s="79" t="s">
        <v>493</v>
      </c>
      <c r="G37" s="233">
        <f>[3]Perso!J37</f>
        <v>14</v>
      </c>
      <c r="H37" s="116">
        <v>0</v>
      </c>
      <c r="I37" s="82"/>
      <c r="L37" s="76" t="s">
        <v>219</v>
      </c>
      <c r="M37" s="77"/>
      <c r="N37" s="499">
        <f>[3]Talents!J37</f>
        <v>23</v>
      </c>
      <c r="O37" s="499">
        <f>[3]Talents!K37</f>
        <v>46</v>
      </c>
      <c r="P37" s="235">
        <f>[3]Talents!M37</f>
        <v>80</v>
      </c>
      <c r="Q37" s="78"/>
      <c r="R37" s="206"/>
      <c r="S37" s="207"/>
      <c r="T37" s="500">
        <f>[3]Talents!Z37</f>
        <v>0</v>
      </c>
      <c r="U37" s="500">
        <f>[3]Talents!AA37</f>
        <v>0</v>
      </c>
      <c r="V37" s="498"/>
      <c r="W37" s="208"/>
      <c r="X37" s="189" t="s">
        <v>1499</v>
      </c>
      <c r="Y37" s="195"/>
      <c r="Z37" s="191" t="s">
        <v>163</v>
      </c>
      <c r="AA37" s="191"/>
      <c r="AB37" s="449">
        <v>-2</v>
      </c>
      <c r="AC37" s="411" t="s">
        <v>140</v>
      </c>
      <c r="AD37" s="451"/>
      <c r="AE37" s="192" t="s">
        <v>1225</v>
      </c>
      <c r="AF37" s="192" t="s">
        <v>1230</v>
      </c>
      <c r="AG37" s="192" t="s">
        <v>1289</v>
      </c>
      <c r="AH37" s="192"/>
      <c r="AI37" s="417">
        <f>ROUND($AB$35+$AD39+$AI$29,0)</f>
        <v>10</v>
      </c>
      <c r="AJ37" s="94" t="s">
        <v>157</v>
      </c>
      <c r="AK37" s="111" t="s">
        <v>145</v>
      </c>
      <c r="AL37" s="506" t="s">
        <v>143</v>
      </c>
    </row>
    <row r="38" spans="1:38" ht="13" x14ac:dyDescent="0.3">
      <c r="D38" s="501"/>
      <c r="E38" s="82"/>
      <c r="F38" s="79" t="s">
        <v>108</v>
      </c>
      <c r="G38" s="233">
        <f>[3]Perso!J38</f>
        <v>0</v>
      </c>
      <c r="H38" s="116">
        <v>0</v>
      </c>
      <c r="I38" s="82"/>
      <c r="L38" s="76" t="s">
        <v>1169</v>
      </c>
      <c r="M38" s="77"/>
      <c r="N38" s="499">
        <f>[3]Talents!J38</f>
        <v>18.5</v>
      </c>
      <c r="O38" s="499">
        <f>[3]Talents!K38</f>
        <v>37</v>
      </c>
      <c r="P38" s="235">
        <f>[3]Talents!M38</f>
        <v>80</v>
      </c>
      <c r="Q38" s="78"/>
      <c r="R38" s="206"/>
      <c r="S38" s="207"/>
      <c r="T38" s="500">
        <f>[3]Talents!Z38</f>
        <v>0</v>
      </c>
      <c r="U38" s="500">
        <f>[3]Talents!AA38</f>
        <v>0</v>
      </c>
      <c r="V38" s="498"/>
      <c r="W38" s="208"/>
      <c r="X38" s="189"/>
      <c r="Y38" s="195"/>
      <c r="Z38" s="196" t="s">
        <v>166</v>
      </c>
      <c r="AA38" s="447">
        <v>3</v>
      </c>
      <c r="AB38" s="448">
        <v>4</v>
      </c>
      <c r="AC38" s="411" t="s">
        <v>1086</v>
      </c>
      <c r="AD38" s="451">
        <v>-1</v>
      </c>
      <c r="AE38" s="490">
        <f>ROUND($G$12+S49/5+$AG$27+$AD36,0)</f>
        <v>26</v>
      </c>
      <c r="AF38" s="491">
        <f>ROUND($G$13+$AH$27+$AD37,0)</f>
        <v>19</v>
      </c>
      <c r="AG38" s="492">
        <f>AF38+$Y$26</f>
        <v>20</v>
      </c>
      <c r="AH38" s="405"/>
      <c r="AI38" s="197" t="s">
        <v>138</v>
      </c>
      <c r="AJ38" s="100" t="s">
        <v>152</v>
      </c>
      <c r="AK38" s="101"/>
      <c r="AL38" s="105"/>
    </row>
    <row r="39" spans="1:38" ht="13.5" thickBot="1" x14ac:dyDescent="0.35">
      <c r="B39" s="112" t="s">
        <v>173</v>
      </c>
      <c r="D39" s="501"/>
      <c r="E39" s="82"/>
      <c r="F39" s="79" t="s">
        <v>494</v>
      </c>
      <c r="G39" s="233" t="str">
        <f>[3]Perso!J39</f>
        <v>8 /+ 0</v>
      </c>
      <c r="H39" s="116">
        <v>0</v>
      </c>
      <c r="I39" s="160">
        <v>0</v>
      </c>
      <c r="L39" s="76" t="s">
        <v>220</v>
      </c>
      <c r="M39" s="77"/>
      <c r="N39" s="499">
        <f>[3]Talents!J39</f>
        <v>14.5</v>
      </c>
      <c r="O39" s="499">
        <f>[3]Talents!K39</f>
        <v>29</v>
      </c>
      <c r="P39" s="235">
        <f>[3]Talents!M39</f>
        <v>64</v>
      </c>
      <c r="Q39" s="78"/>
      <c r="R39" s="206"/>
      <c r="S39" s="207"/>
      <c r="T39" s="500">
        <f>[3]Talents!Z39</f>
        <v>0</v>
      </c>
      <c r="U39" s="500">
        <f>[3]Talents!AA39</f>
        <v>0</v>
      </c>
      <c r="V39" s="498"/>
      <c r="W39" s="208"/>
      <c r="X39" s="198"/>
      <c r="Y39" s="199"/>
      <c r="Z39" s="200" t="s">
        <v>164</v>
      </c>
      <c r="AA39" s="191"/>
      <c r="AB39" s="454">
        <v>-10</v>
      </c>
      <c r="AC39" s="412" t="s">
        <v>1087</v>
      </c>
      <c r="AD39" s="452"/>
      <c r="AE39" s="209" t="s">
        <v>139</v>
      </c>
      <c r="AF39" s="210" t="s">
        <v>140</v>
      </c>
      <c r="AG39" s="203" t="s">
        <v>1090</v>
      </c>
      <c r="AH39" s="203"/>
      <c r="AI39" s="413" t="str">
        <f>ROUND($G$27+$AA38+$AI$27+$AD38,0)&amp;"/"&amp;ROUND($AB38+$G$27+$AI$27+$AD38,0)</f>
        <v>6/7</v>
      </c>
      <c r="AJ39" s="100">
        <v>3</v>
      </c>
      <c r="AK39" s="101"/>
      <c r="AL39" s="478"/>
    </row>
    <row r="40" spans="1:38" ht="14" thickTop="1" thickBot="1" x14ac:dyDescent="0.35">
      <c r="A40" s="68" t="s">
        <v>100</v>
      </c>
      <c r="B40" s="103" t="s">
        <v>1492</v>
      </c>
      <c r="C40" s="98" t="s">
        <v>1483</v>
      </c>
      <c r="D40" s="103" t="s">
        <v>1493</v>
      </c>
      <c r="E40" s="70"/>
      <c r="F40" s="211" t="s">
        <v>487</v>
      </c>
      <c r="G40" s="233">
        <f>[3]Perso!J40</f>
        <v>4</v>
      </c>
      <c r="H40" s="212"/>
      <c r="I40" s="82"/>
      <c r="L40" s="76" t="s">
        <v>221</v>
      </c>
      <c r="M40" s="77"/>
      <c r="N40" s="499">
        <f>[3]Talents!J40</f>
        <v>14.5</v>
      </c>
      <c r="O40" s="499">
        <f>[3]Talents!K40</f>
        <v>29</v>
      </c>
      <c r="P40" s="235">
        <f>[3]Talents!M40</f>
        <v>80</v>
      </c>
      <c r="Q40" s="78"/>
      <c r="R40" s="213" t="s">
        <v>125</v>
      </c>
      <c r="S40" s="214" t="s">
        <v>124</v>
      </c>
      <c r="T40" s="499" t="str">
        <f>[3]Talents!Z40</f>
        <v>N1</v>
      </c>
      <c r="U40" s="499" t="str">
        <f>[3]Talents!AA40</f>
        <v>N2</v>
      </c>
      <c r="V40" s="235" t="str">
        <f>[3]Talents!AC40</f>
        <v>N3</v>
      </c>
      <c r="W40" s="215" t="s">
        <v>75</v>
      </c>
      <c r="X40" s="181" t="s">
        <v>1539</v>
      </c>
      <c r="Y40" s="195"/>
      <c r="Z40" s="183" t="s">
        <v>1540</v>
      </c>
      <c r="AA40" s="183" t="s">
        <v>1762</v>
      </c>
      <c r="AB40" s="453">
        <v>19</v>
      </c>
      <c r="AC40" s="410" t="s">
        <v>139</v>
      </c>
      <c r="AD40" s="450"/>
      <c r="AE40" s="184"/>
      <c r="AF40" s="185" t="s">
        <v>1545</v>
      </c>
      <c r="AG40" s="204"/>
      <c r="AH40" s="406"/>
      <c r="AI40" s="197" t="s">
        <v>135</v>
      </c>
      <c r="AJ40" s="108"/>
      <c r="AK40" s="109"/>
      <c r="AL40" s="479"/>
    </row>
    <row r="41" spans="1:38" ht="13.5" thickBot="1" x14ac:dyDescent="0.35">
      <c r="A41" s="80" t="s">
        <v>101</v>
      </c>
      <c r="B41" s="74" t="s">
        <v>944</v>
      </c>
      <c r="C41" s="92" t="s">
        <v>1483</v>
      </c>
      <c r="D41" s="74" t="s">
        <v>1494</v>
      </c>
      <c r="E41" s="82"/>
      <c r="F41" s="79" t="s">
        <v>18</v>
      </c>
      <c r="G41" s="233">
        <f>[3]Perso!J41</f>
        <v>80</v>
      </c>
      <c r="H41" s="116">
        <v>-2</v>
      </c>
      <c r="I41" s="82"/>
      <c r="L41" s="76" t="s">
        <v>222</v>
      </c>
      <c r="M41" s="77"/>
      <c r="N41" s="499">
        <f>[3]Talents!J41</f>
        <v>3</v>
      </c>
      <c r="O41" s="499">
        <f>[3]Talents!K41</f>
        <v>6</v>
      </c>
      <c r="P41" s="235">
        <f>[3]Talents!M41</f>
        <v>49</v>
      </c>
      <c r="Q41" s="78"/>
      <c r="R41" s="76" t="s">
        <v>250</v>
      </c>
      <c r="S41" s="77">
        <v>56</v>
      </c>
      <c r="T41" s="499">
        <f>[3]Talents!Z41</f>
        <v>24</v>
      </c>
      <c r="U41" s="499">
        <f>[3]Talents!AA41</f>
        <v>48</v>
      </c>
      <c r="V41" s="235">
        <f>[3]Talents!AC41</f>
        <v>60</v>
      </c>
      <c r="W41" s="78"/>
      <c r="X41" s="189"/>
      <c r="Y41" s="195"/>
      <c r="Z41" s="191" t="s">
        <v>163</v>
      </c>
      <c r="AA41" s="191"/>
      <c r="AB41" s="449">
        <v>-1</v>
      </c>
      <c r="AC41" s="411" t="s">
        <v>140</v>
      </c>
      <c r="AD41" s="451"/>
      <c r="AE41" s="192" t="s">
        <v>1225</v>
      </c>
      <c r="AF41" s="192" t="s">
        <v>1288</v>
      </c>
      <c r="AG41" s="192" t="s">
        <v>1281</v>
      </c>
      <c r="AH41" s="192"/>
      <c r="AI41" s="417">
        <f>ROUND($AB$35+$AD43+$AI$29,0)</f>
        <v>10</v>
      </c>
      <c r="AJ41" s="94" t="s">
        <v>158</v>
      </c>
      <c r="AK41" s="111" t="s">
        <v>145</v>
      </c>
      <c r="AL41" s="506" t="s">
        <v>143</v>
      </c>
    </row>
    <row r="42" spans="1:38" ht="13" x14ac:dyDescent="0.3">
      <c r="A42" s="80" t="s">
        <v>102</v>
      </c>
      <c r="B42" s="74" t="s">
        <v>1495</v>
      </c>
      <c r="C42" s="92"/>
      <c r="D42" s="74"/>
      <c r="E42" s="82"/>
      <c r="F42" s="83" t="s">
        <v>44</v>
      </c>
      <c r="G42" s="233">
        <f>[3]Perso!J42</f>
        <v>6</v>
      </c>
      <c r="H42" s="116">
        <v>0</v>
      </c>
      <c r="I42" s="82"/>
      <c r="L42" s="76" t="s">
        <v>297</v>
      </c>
      <c r="M42" s="77"/>
      <c r="N42" s="499">
        <f>[3]Talents!J42</f>
        <v>3</v>
      </c>
      <c r="O42" s="499">
        <f>[3]Talents!K42</f>
        <v>6</v>
      </c>
      <c r="P42" s="235">
        <f>[3]Talents!M42</f>
        <v>28</v>
      </c>
      <c r="Q42" s="78"/>
      <c r="R42" s="76" t="s">
        <v>251</v>
      </c>
      <c r="S42" s="77">
        <v>4</v>
      </c>
      <c r="T42" s="499">
        <f>[3]Talents!Z42</f>
        <v>8</v>
      </c>
      <c r="U42" s="499">
        <f>[3]Talents!AA42</f>
        <v>16</v>
      </c>
      <c r="V42" s="235">
        <f>[3]Talents!AC42</f>
        <v>60</v>
      </c>
      <c r="W42" s="78"/>
      <c r="X42" s="189"/>
      <c r="Y42" s="195"/>
      <c r="Z42" s="196" t="s">
        <v>166</v>
      </c>
      <c r="AA42" s="447">
        <v>3</v>
      </c>
      <c r="AB42" s="448">
        <v>8</v>
      </c>
      <c r="AC42" s="411" t="s">
        <v>1086</v>
      </c>
      <c r="AD42" s="451"/>
      <c r="AE42" s="490">
        <f>ROUND($G$12+S49/5+$AG$27+$AD40,0)</f>
        <v>26</v>
      </c>
      <c r="AF42" s="491">
        <f>ROUND($G$13+$AH$27+$AD41,0)</f>
        <v>19</v>
      </c>
      <c r="AG42" s="492">
        <f>AF42+$Y$26</f>
        <v>20</v>
      </c>
      <c r="AH42" s="405"/>
      <c r="AI42" s="197" t="s">
        <v>138</v>
      </c>
      <c r="AJ42" s="100" t="s">
        <v>146</v>
      </c>
      <c r="AK42" s="101"/>
      <c r="AL42" s="105"/>
    </row>
    <row r="43" spans="1:38" ht="13.5" thickBot="1" x14ac:dyDescent="0.35">
      <c r="A43" s="89" t="s">
        <v>103</v>
      </c>
      <c r="B43" s="97" t="s">
        <v>1496</v>
      </c>
      <c r="C43" s="96"/>
      <c r="D43" s="97"/>
      <c r="E43" s="90"/>
      <c r="F43" s="83" t="s">
        <v>109</v>
      </c>
      <c r="G43" s="233">
        <f>[3]Perso!J43</f>
        <v>47.45</v>
      </c>
      <c r="H43" s="116">
        <v>0</v>
      </c>
      <c r="I43" s="82"/>
      <c r="L43" s="76" t="s">
        <v>223</v>
      </c>
      <c r="M43" s="77"/>
      <c r="N43" s="499">
        <f>[3]Talents!J43</f>
        <v>18.5</v>
      </c>
      <c r="O43" s="499">
        <f>[3]Talents!K43</f>
        <v>37</v>
      </c>
      <c r="P43" s="235">
        <f>[3]Talents!M43</f>
        <v>80</v>
      </c>
      <c r="Q43" s="78"/>
      <c r="R43" s="76" t="s">
        <v>252</v>
      </c>
      <c r="S43" s="77">
        <v>18</v>
      </c>
      <c r="T43" s="499">
        <f>[3]Talents!Z43</f>
        <v>24</v>
      </c>
      <c r="U43" s="499">
        <f>[3]Talents!AA43</f>
        <v>48</v>
      </c>
      <c r="V43" s="235">
        <f>[3]Talents!AC43</f>
        <v>60</v>
      </c>
      <c r="W43" s="78"/>
      <c r="X43" s="198"/>
      <c r="Y43" s="199"/>
      <c r="Z43" s="200" t="s">
        <v>164</v>
      </c>
      <c r="AA43" s="191"/>
      <c r="AB43" s="454">
        <v>-5</v>
      </c>
      <c r="AC43" s="412" t="s">
        <v>1087</v>
      </c>
      <c r="AD43" s="452"/>
      <c r="AE43" s="209" t="s">
        <v>139</v>
      </c>
      <c r="AF43" s="210" t="s">
        <v>140</v>
      </c>
      <c r="AG43" s="203" t="s">
        <v>1090</v>
      </c>
      <c r="AH43" s="203"/>
      <c r="AI43" s="413" t="str">
        <f>ROUND($G$27+$AA42+$AI$27+$AD42,0)&amp;"/"&amp;ROUND($AB42+$G$27+$AI$27+$AD42,0)</f>
        <v>7/12</v>
      </c>
      <c r="AJ43" s="100">
        <v>4</v>
      </c>
      <c r="AK43" s="101"/>
      <c r="AL43" s="478"/>
    </row>
    <row r="44" spans="1:38" ht="14.4" customHeight="1" thickBot="1" x14ac:dyDescent="0.35">
      <c r="C44" s="216" t="s">
        <v>311</v>
      </c>
      <c r="D44" s="112"/>
      <c r="F44" s="83" t="s">
        <v>19</v>
      </c>
      <c r="G44" s="233" t="str">
        <f>[3]Perso!J44</f>
        <v>3 PdN/j</v>
      </c>
      <c r="H44" s="116">
        <v>0</v>
      </c>
      <c r="I44" s="82"/>
      <c r="L44" s="76" t="s">
        <v>224</v>
      </c>
      <c r="M44" s="77"/>
      <c r="N44" s="499">
        <f>[3]Talents!J44</f>
        <v>23</v>
      </c>
      <c r="O44" s="499">
        <f>[3]Talents!K44</f>
        <v>46</v>
      </c>
      <c r="P44" s="235">
        <f>[3]Talents!M44</f>
        <v>80</v>
      </c>
      <c r="Q44" s="78"/>
      <c r="R44" s="76" t="s">
        <v>253</v>
      </c>
      <c r="S44" s="77">
        <v>60</v>
      </c>
      <c r="T44" s="499">
        <f>[3]Talents!Z44</f>
        <v>6.5</v>
      </c>
      <c r="U44" s="499">
        <f>[3]Talents!AA44</f>
        <v>13</v>
      </c>
      <c r="V44" s="235">
        <f>[3]Talents!AC44</f>
        <v>60</v>
      </c>
      <c r="W44" s="78"/>
      <c r="X44" s="181"/>
      <c r="Y44" s="195"/>
      <c r="Z44" s="183" t="s">
        <v>165</v>
      </c>
      <c r="AA44" s="183"/>
      <c r="AB44" s="453"/>
      <c r="AC44" s="410" t="s">
        <v>139</v>
      </c>
      <c r="AD44" s="450"/>
      <c r="AE44" s="184"/>
      <c r="AF44" s="185"/>
      <c r="AG44" s="204"/>
      <c r="AH44" s="406"/>
      <c r="AI44" s="197" t="s">
        <v>135</v>
      </c>
      <c r="AJ44" s="108"/>
      <c r="AK44" s="109"/>
      <c r="AL44" s="479"/>
    </row>
    <row r="45" spans="1:38" ht="14.4" customHeight="1" thickBot="1" x14ac:dyDescent="0.35">
      <c r="F45" s="79" t="s">
        <v>110</v>
      </c>
      <c r="G45" s="233" t="str">
        <f>[3]Perso!J45</f>
        <v>3,5 km/h</v>
      </c>
      <c r="H45" s="116">
        <v>0</v>
      </c>
      <c r="I45" s="82"/>
      <c r="L45" s="429" t="s">
        <v>277</v>
      </c>
      <c r="M45" s="512"/>
      <c r="N45" s="513">
        <f>[3]Talents!J45</f>
        <v>3</v>
      </c>
      <c r="O45" s="513">
        <f>[3]Talents!K45</f>
        <v>6</v>
      </c>
      <c r="P45" s="514">
        <f>[3]Talents!M45</f>
        <v>30</v>
      </c>
      <c r="Q45" s="515"/>
      <c r="R45" s="76" t="s">
        <v>254</v>
      </c>
      <c r="S45" s="77">
        <v>4</v>
      </c>
      <c r="T45" s="499">
        <f>[3]Talents!Z45</f>
        <v>8</v>
      </c>
      <c r="U45" s="499">
        <f>[3]Talents!AA45</f>
        <v>16</v>
      </c>
      <c r="V45" s="235">
        <f>[3]Talents!AC45</f>
        <v>60</v>
      </c>
      <c r="W45" s="78"/>
      <c r="X45" s="189"/>
      <c r="Y45" s="195"/>
      <c r="Z45" s="191" t="s">
        <v>163</v>
      </c>
      <c r="AA45" s="191"/>
      <c r="AB45" s="449"/>
      <c r="AC45" s="411" t="s">
        <v>140</v>
      </c>
      <c r="AD45" s="451"/>
      <c r="AE45" s="192"/>
      <c r="AF45" s="192"/>
      <c r="AG45" s="192"/>
      <c r="AH45" s="192"/>
      <c r="AI45" s="417">
        <f>ROUND($AB$35+$AD47+$AI$29,0)</f>
        <v>-10</v>
      </c>
      <c r="AJ45" s="94" t="s">
        <v>159</v>
      </c>
      <c r="AK45" s="111" t="s">
        <v>145</v>
      </c>
      <c r="AL45" s="480" t="s">
        <v>143</v>
      </c>
    </row>
    <row r="46" spans="1:38" ht="13.5" thickBot="1" x14ac:dyDescent="0.35">
      <c r="F46" s="79" t="s">
        <v>45</v>
      </c>
      <c r="G46" s="233">
        <f>[3]Perso!J46</f>
        <v>11</v>
      </c>
      <c r="H46" s="116">
        <v>0</v>
      </c>
      <c r="I46" s="82"/>
      <c r="L46" s="141" t="s">
        <v>279</v>
      </c>
      <c r="M46" s="508"/>
      <c r="N46" s="509">
        <f>[3]Talents!J46</f>
        <v>3</v>
      </c>
      <c r="O46" s="509">
        <f>[3]Talents!K46</f>
        <v>6</v>
      </c>
      <c r="P46" s="510">
        <f>[3]Talents!M46</f>
        <v>30</v>
      </c>
      <c r="Q46" s="511"/>
      <c r="R46" s="76" t="s">
        <v>41</v>
      </c>
      <c r="S46" s="77">
        <v>12</v>
      </c>
      <c r="T46" s="499">
        <f>[3]Talents!Z46</f>
        <v>13.5</v>
      </c>
      <c r="U46" s="499">
        <f>[3]Talents!AA46</f>
        <v>27</v>
      </c>
      <c r="V46" s="235">
        <f>[3]Talents!AC46</f>
        <v>60</v>
      </c>
      <c r="W46" s="78"/>
      <c r="X46" s="189"/>
      <c r="Y46" s="195"/>
      <c r="Z46" s="196" t="s">
        <v>166</v>
      </c>
      <c r="AA46" s="447"/>
      <c r="AB46" s="448"/>
      <c r="AC46" s="411" t="s">
        <v>1086</v>
      </c>
      <c r="AD46" s="451"/>
      <c r="AE46" s="490">
        <f>ROUND($G$12+S60/5+$AG$27+$AD44,0)</f>
        <v>16</v>
      </c>
      <c r="AF46" s="491">
        <f>ROUND($G$13+$AH$27+$AD45,0)</f>
        <v>19</v>
      </c>
      <c r="AG46" s="492">
        <f>AF46+$Y$26</f>
        <v>20</v>
      </c>
      <c r="AH46" s="405"/>
      <c r="AI46" s="197" t="s">
        <v>138</v>
      </c>
      <c r="AJ46" s="100" t="s">
        <v>146</v>
      </c>
      <c r="AK46" s="101"/>
      <c r="AL46" s="105"/>
    </row>
    <row r="47" spans="1:38" ht="13.5" thickBot="1" x14ac:dyDescent="0.35">
      <c r="F47" s="217" t="s">
        <v>486</v>
      </c>
      <c r="G47" s="233" t="str">
        <f>[3]Perso!J47</f>
        <v>4,7m / 1,6m</v>
      </c>
      <c r="I47" s="90"/>
      <c r="L47" s="429" t="s">
        <v>1168</v>
      </c>
      <c r="M47" s="512"/>
      <c r="N47" s="513">
        <f>[3]Talents!J47</f>
        <v>14.5</v>
      </c>
      <c r="O47" s="513">
        <f>[3]Talents!K47</f>
        <v>29</v>
      </c>
      <c r="P47" s="514">
        <f>[3]Talents!M47</f>
        <v>68</v>
      </c>
      <c r="Q47" s="515"/>
      <c r="R47" s="76" t="s">
        <v>255</v>
      </c>
      <c r="S47" s="77">
        <v>18</v>
      </c>
      <c r="T47" s="499">
        <f>[3]Talents!Z47</f>
        <v>24</v>
      </c>
      <c r="U47" s="499">
        <f>[3]Talents!AA47</f>
        <v>48</v>
      </c>
      <c r="V47" s="235">
        <f>[3]Talents!AC47</f>
        <v>60</v>
      </c>
      <c r="W47" s="78"/>
      <c r="X47" s="198"/>
      <c r="Y47" s="199"/>
      <c r="Z47" s="200" t="s">
        <v>164</v>
      </c>
      <c r="AA47" s="191"/>
      <c r="AB47" s="454"/>
      <c r="AC47" s="412" t="s">
        <v>1087</v>
      </c>
      <c r="AD47" s="452">
        <v>-20</v>
      </c>
      <c r="AE47" s="209" t="s">
        <v>139</v>
      </c>
      <c r="AF47" s="210" t="s">
        <v>140</v>
      </c>
      <c r="AG47" s="203" t="s">
        <v>1092</v>
      </c>
      <c r="AH47" s="203"/>
      <c r="AI47" s="413" t="str">
        <f>ROUND($G$27+$AA46+$AI$27+$AD46,0)&amp;"/"&amp;ROUND($AB46+$G$27+$AI$27+$AD46,0)</f>
        <v>4/4</v>
      </c>
      <c r="AJ47" s="100">
        <v>4</v>
      </c>
      <c r="AK47" s="101"/>
      <c r="AL47" s="478"/>
    </row>
    <row r="48" spans="1:38" ht="13.5" thickBot="1" x14ac:dyDescent="0.35">
      <c r="L48" s="123" t="s">
        <v>279</v>
      </c>
      <c r="M48" s="77"/>
      <c r="N48" s="499">
        <f>[3]Talents!J48</f>
        <v>14.5</v>
      </c>
      <c r="O48" s="499">
        <f>[3]Talents!K48</f>
        <v>29</v>
      </c>
      <c r="P48" s="235">
        <f>[3]Talents!M48</f>
        <v>68</v>
      </c>
      <c r="Q48" s="78"/>
      <c r="R48" s="76" t="s">
        <v>256</v>
      </c>
      <c r="S48" s="77">
        <v>50</v>
      </c>
      <c r="T48" s="499">
        <f>[3]Talents!Z48</f>
        <v>23</v>
      </c>
      <c r="U48" s="499">
        <f>[3]Talents!AA48</f>
        <v>46</v>
      </c>
      <c r="V48" s="235">
        <f>[3]Talents!AC48</f>
        <v>60</v>
      </c>
      <c r="W48" s="78"/>
      <c r="X48" s="277" t="s">
        <v>1541</v>
      </c>
      <c r="Y48" s="218" t="s">
        <v>141</v>
      </c>
      <c r="Z48" s="183" t="s">
        <v>1542</v>
      </c>
      <c r="AA48" s="183" t="s">
        <v>22</v>
      </c>
      <c r="AB48" s="453">
        <v>3</v>
      </c>
      <c r="AC48" s="410" t="s">
        <v>139</v>
      </c>
      <c r="AD48" s="450"/>
      <c r="AE48" s="184"/>
      <c r="AF48" s="185" t="s">
        <v>1293</v>
      </c>
      <c r="AG48" s="219"/>
      <c r="AH48" s="407"/>
      <c r="AI48" s="197" t="s">
        <v>135</v>
      </c>
      <c r="AJ48" s="108"/>
      <c r="AK48" s="109"/>
      <c r="AL48" s="479"/>
    </row>
    <row r="49" spans="12:35" ht="13.5" thickBot="1" x14ac:dyDescent="0.35">
      <c r="L49" s="141" t="s">
        <v>279</v>
      </c>
      <c r="M49" s="508"/>
      <c r="N49" s="509">
        <f>[3]Talents!J49</f>
        <v>14.5</v>
      </c>
      <c r="O49" s="509">
        <f>[3]Talents!K49</f>
        <v>29</v>
      </c>
      <c r="P49" s="510">
        <f>[3]Talents!M49</f>
        <v>68</v>
      </c>
      <c r="Q49" s="511"/>
      <c r="R49" s="76" t="s">
        <v>257</v>
      </c>
      <c r="S49" s="77">
        <v>54</v>
      </c>
      <c r="T49" s="499">
        <f>[3]Talents!Z49</f>
        <v>24</v>
      </c>
      <c r="U49" s="499">
        <f>[3]Talents!AA49</f>
        <v>48</v>
      </c>
      <c r="V49" s="235">
        <f>[3]Talents!AC49</f>
        <v>60</v>
      </c>
      <c r="W49" s="78"/>
      <c r="X49" s="189"/>
      <c r="Y49" s="195"/>
      <c r="Z49" s="191" t="s">
        <v>163</v>
      </c>
      <c r="AA49" s="191"/>
      <c r="AB49" s="449"/>
      <c r="AC49" s="411" t="s">
        <v>140</v>
      </c>
      <c r="AD49" s="451"/>
      <c r="AE49" s="192" t="s">
        <v>1281</v>
      </c>
      <c r="AF49" s="192" t="s">
        <v>1282</v>
      </c>
      <c r="AG49" s="192" t="s">
        <v>1283</v>
      </c>
      <c r="AH49" s="192"/>
      <c r="AI49" s="417">
        <f>ROUND($AB$35+$AD51+$AI$29,0)</f>
        <v>15</v>
      </c>
    </row>
    <row r="50" spans="12:35" ht="13.5" thickBot="1" x14ac:dyDescent="0.35">
      <c r="L50" s="76" t="s">
        <v>1167</v>
      </c>
      <c r="M50" s="77"/>
      <c r="N50" s="499">
        <f>[3]Talents!J50</f>
        <v>14.5</v>
      </c>
      <c r="O50" s="499">
        <f>[3]Talents!K50</f>
        <v>29</v>
      </c>
      <c r="P50" s="235">
        <f>[3]Talents!M50</f>
        <v>80</v>
      </c>
      <c r="Q50" s="78"/>
      <c r="R50" s="76" t="s">
        <v>258</v>
      </c>
      <c r="S50" s="77">
        <v>50</v>
      </c>
      <c r="T50" s="499">
        <f>[3]Talents!Z50</f>
        <v>13</v>
      </c>
      <c r="U50" s="499">
        <f>[3]Talents!AA50</f>
        <v>26</v>
      </c>
      <c r="V50" s="235">
        <f>[3]Talents!AC50</f>
        <v>60</v>
      </c>
      <c r="W50" s="78"/>
      <c r="X50" s="189"/>
      <c r="Y50" s="195"/>
      <c r="Z50" s="196" t="s">
        <v>166</v>
      </c>
      <c r="AA50" s="196"/>
      <c r="AB50" s="449" t="s">
        <v>1543</v>
      </c>
      <c r="AC50" s="411" t="s">
        <v>1086</v>
      </c>
      <c r="AD50" s="451"/>
      <c r="AE50" s="490">
        <f>ROUND($G$12+garba/5+$AG$27+$AD48,0)</f>
        <v>26</v>
      </c>
      <c r="AF50" s="491">
        <f>ROUND($G$13+$AH$27+$AD49,0)</f>
        <v>19</v>
      </c>
      <c r="AG50" s="489" t="s">
        <v>477</v>
      </c>
      <c r="AH50" s="405"/>
      <c r="AI50" s="197" t="s">
        <v>138</v>
      </c>
    </row>
    <row r="51" spans="12:35" ht="13.5" thickBot="1" x14ac:dyDescent="0.35">
      <c r="L51" s="429" t="s">
        <v>1166</v>
      </c>
      <c r="M51" s="644">
        <v>57</v>
      </c>
      <c r="N51" s="513">
        <f>[3]Talents!J51</f>
        <v>18.5</v>
      </c>
      <c r="O51" s="513">
        <f>[3]Talents!K51</f>
        <v>37</v>
      </c>
      <c r="P51" s="514">
        <f>[3]Talents!M51</f>
        <v>80</v>
      </c>
      <c r="Q51" s="515"/>
      <c r="R51" s="76" t="s">
        <v>259</v>
      </c>
      <c r="S51" s="77">
        <v>18</v>
      </c>
      <c r="T51" s="499">
        <f>[3]Talents!Z51</f>
        <v>24</v>
      </c>
      <c r="U51" s="499">
        <f>[3]Talents!AA51</f>
        <v>48</v>
      </c>
      <c r="V51" s="235">
        <f>[3]Talents!AC51</f>
        <v>60</v>
      </c>
      <c r="W51" s="78"/>
      <c r="X51" s="220"/>
      <c r="Y51" s="199"/>
      <c r="Z51" s="200" t="s">
        <v>164</v>
      </c>
      <c r="AA51" s="191"/>
      <c r="AB51" s="454"/>
      <c r="AC51" s="412" t="s">
        <v>1087</v>
      </c>
      <c r="AD51" s="452">
        <v>5</v>
      </c>
      <c r="AE51" s="209" t="s">
        <v>139</v>
      </c>
      <c r="AF51" s="210" t="s">
        <v>140</v>
      </c>
      <c r="AG51" s="203"/>
      <c r="AH51" s="203"/>
      <c r="AI51" s="418">
        <f>ROUND($G$27+$AB50+$AI$27+$AD50,0)</f>
        <v>21</v>
      </c>
    </row>
    <row r="52" spans="12:35" ht="15" customHeight="1" x14ac:dyDescent="0.3">
      <c r="L52" s="123" t="s">
        <v>279</v>
      </c>
      <c r="M52" s="77"/>
      <c r="N52" s="499">
        <f>[3]Talents!J52</f>
        <v>18.5</v>
      </c>
      <c r="O52" s="499">
        <f>[3]Talents!K52</f>
        <v>37</v>
      </c>
      <c r="P52" s="235">
        <f>[3]Talents!M52</f>
        <v>80</v>
      </c>
      <c r="Q52" s="78"/>
      <c r="R52" s="76" t="s">
        <v>260</v>
      </c>
      <c r="S52" s="77">
        <v>12</v>
      </c>
      <c r="T52" s="499">
        <f>[3]Talents!Z52</f>
        <v>3</v>
      </c>
      <c r="U52" s="499">
        <f>[3]Talents!AA52</f>
        <v>6</v>
      </c>
      <c r="V52" s="235">
        <f>[3]Talents!AC52</f>
        <v>53</v>
      </c>
      <c r="W52" s="78"/>
      <c r="X52" s="181"/>
      <c r="Y52" s="218" t="s">
        <v>141</v>
      </c>
      <c r="Z52" s="183" t="s">
        <v>165</v>
      </c>
      <c r="AA52" s="183"/>
      <c r="AB52" s="453"/>
      <c r="AC52" s="410" t="s">
        <v>139</v>
      </c>
      <c r="AD52" s="450"/>
      <c r="AE52" s="184"/>
      <c r="AF52" s="185"/>
      <c r="AG52" s="219"/>
      <c r="AH52" s="407"/>
      <c r="AI52" s="197" t="s">
        <v>135</v>
      </c>
    </row>
    <row r="53" spans="12:35" ht="14.4" customHeight="1" thickBot="1" x14ac:dyDescent="0.35">
      <c r="L53" s="123" t="s">
        <v>279</v>
      </c>
      <c r="M53" s="77"/>
      <c r="N53" s="499">
        <f>[3]Talents!J53</f>
        <v>18.5</v>
      </c>
      <c r="O53" s="499">
        <f>[3]Talents!K53</f>
        <v>37</v>
      </c>
      <c r="P53" s="235">
        <f>[3]Talents!M53</f>
        <v>80</v>
      </c>
      <c r="Q53" s="78"/>
      <c r="R53" s="76" t="s">
        <v>261</v>
      </c>
      <c r="S53" s="77">
        <v>4</v>
      </c>
      <c r="T53" s="499">
        <f>[3]Talents!Z53</f>
        <v>8</v>
      </c>
      <c r="U53" s="499">
        <f>[3]Talents!AA53</f>
        <v>16</v>
      </c>
      <c r="V53" s="235">
        <f>[3]Talents!AC53</f>
        <v>60</v>
      </c>
      <c r="W53" s="78"/>
      <c r="X53" s="189"/>
      <c r="Y53" s="195"/>
      <c r="Z53" s="191" t="s">
        <v>163</v>
      </c>
      <c r="AA53" s="191"/>
      <c r="AB53" s="449"/>
      <c r="AC53" s="411" t="s">
        <v>140</v>
      </c>
      <c r="AD53" s="451"/>
      <c r="AE53" s="192"/>
      <c r="AF53" s="192"/>
      <c r="AG53" s="192"/>
      <c r="AH53" s="192"/>
      <c r="AI53" s="417">
        <f>ROUND($AB$35+$AD55+$AI$29,0)</f>
        <v>10</v>
      </c>
    </row>
    <row r="54" spans="12:35" ht="13" x14ac:dyDescent="0.3">
      <c r="L54" s="123" t="s">
        <v>279</v>
      </c>
      <c r="M54" s="77"/>
      <c r="N54" s="499">
        <f>[3]Talents!J54</f>
        <v>18.5</v>
      </c>
      <c r="O54" s="499">
        <f>[3]Talents!K54</f>
        <v>37</v>
      </c>
      <c r="P54" s="235">
        <f>[3]Talents!M54</f>
        <v>80</v>
      </c>
      <c r="Q54" s="78"/>
      <c r="R54" s="76" t="s">
        <v>23</v>
      </c>
      <c r="S54" s="77">
        <v>51</v>
      </c>
      <c r="T54" s="499">
        <f>[3]Talents!Z54</f>
        <v>23</v>
      </c>
      <c r="U54" s="499">
        <f>[3]Talents!AA54</f>
        <v>46</v>
      </c>
      <c r="V54" s="235">
        <f>[3]Talents!AC54</f>
        <v>60</v>
      </c>
      <c r="W54" s="78"/>
      <c r="X54" s="189"/>
      <c r="Y54" s="195"/>
      <c r="Z54" s="196" t="s">
        <v>166</v>
      </c>
      <c r="AA54" s="196"/>
      <c r="AB54" s="449"/>
      <c r="AC54" s="411" t="s">
        <v>1086</v>
      </c>
      <c r="AD54" s="451"/>
      <c r="AE54" s="490">
        <f>ROUND($G$12+$S73/5+$AG$27+$AD52,0)</f>
        <v>15</v>
      </c>
      <c r="AF54" s="491">
        <f>ROUND($G$13+$AH$27+$AD53,0)</f>
        <v>19</v>
      </c>
      <c r="AG54" s="489" t="s">
        <v>477</v>
      </c>
      <c r="AH54" s="405"/>
      <c r="AI54" s="197" t="s">
        <v>138</v>
      </c>
    </row>
    <row r="55" spans="12:35" ht="13.5" thickBot="1" x14ac:dyDescent="0.35">
      <c r="L55" s="141" t="s">
        <v>279</v>
      </c>
      <c r="M55" s="508"/>
      <c r="N55" s="509">
        <f>[3]Talents!J55</f>
        <v>18.5</v>
      </c>
      <c r="O55" s="509">
        <f>[3]Talents!K55</f>
        <v>37</v>
      </c>
      <c r="P55" s="510">
        <f>[3]Talents!M55</f>
        <v>80</v>
      </c>
      <c r="Q55" s="511"/>
      <c r="R55" s="76" t="s">
        <v>262</v>
      </c>
      <c r="S55" s="77">
        <v>18</v>
      </c>
      <c r="T55" s="499">
        <f>[3]Talents!Z55</f>
        <v>24</v>
      </c>
      <c r="U55" s="499">
        <f>[3]Talents!AA55</f>
        <v>48</v>
      </c>
      <c r="V55" s="235">
        <f>[3]Talents!AC55</f>
        <v>60</v>
      </c>
      <c r="W55" s="78"/>
      <c r="X55" s="220"/>
      <c r="Y55" s="221"/>
      <c r="Z55" s="200" t="s">
        <v>164</v>
      </c>
      <c r="AA55" s="191"/>
      <c r="AB55" s="454"/>
      <c r="AC55" s="412" t="s">
        <v>1087</v>
      </c>
      <c r="AD55" s="452"/>
      <c r="AE55" s="209" t="s">
        <v>139</v>
      </c>
      <c r="AF55" s="210" t="s">
        <v>140</v>
      </c>
      <c r="AG55" s="203"/>
      <c r="AH55" s="405"/>
      <c r="AI55" s="418">
        <f>ROUND($G$27+$AB54+$AI$27+$AD54,0)</f>
        <v>4</v>
      </c>
    </row>
    <row r="56" spans="12:35" ht="13" x14ac:dyDescent="0.3">
      <c r="L56" s="429" t="s">
        <v>1030</v>
      </c>
      <c r="M56" s="512"/>
      <c r="N56" s="513">
        <f>[3]Talents!J56</f>
        <v>14.5</v>
      </c>
      <c r="O56" s="513">
        <f>[3]Talents!K56</f>
        <v>29</v>
      </c>
      <c r="P56" s="514">
        <f>[3]Talents!M56</f>
        <v>74</v>
      </c>
      <c r="Q56" s="515"/>
      <c r="R56" s="76" t="s">
        <v>48</v>
      </c>
      <c r="S56" s="77">
        <v>53</v>
      </c>
      <c r="T56" s="499">
        <f>[3]Talents!Z56</f>
        <v>13</v>
      </c>
      <c r="U56" s="499">
        <f>[3]Talents!AA56</f>
        <v>26</v>
      </c>
      <c r="V56" s="235">
        <f>[3]Talents!AC56</f>
        <v>60</v>
      </c>
      <c r="W56" s="78"/>
    </row>
    <row r="57" spans="12:35" ht="13" x14ac:dyDescent="0.3">
      <c r="L57" s="123" t="s">
        <v>279</v>
      </c>
      <c r="M57" s="77"/>
      <c r="N57" s="499">
        <f>[3]Talents!J57</f>
        <v>14.5</v>
      </c>
      <c r="O57" s="499">
        <f>[3]Talents!K57</f>
        <v>29</v>
      </c>
      <c r="P57" s="235">
        <f>[3]Talents!M57</f>
        <v>74</v>
      </c>
      <c r="Q57" s="78"/>
      <c r="R57" s="76" t="s">
        <v>263</v>
      </c>
      <c r="S57" s="77">
        <v>4</v>
      </c>
      <c r="T57" s="499">
        <f>[3]Talents!Z57</f>
        <v>8</v>
      </c>
      <c r="U57" s="499">
        <f>[3]Talents!AA57</f>
        <v>16</v>
      </c>
      <c r="V57" s="235">
        <f>[3]Talents!AC57</f>
        <v>51</v>
      </c>
      <c r="W57" s="78"/>
    </row>
    <row r="58" spans="12:35" ht="13" x14ac:dyDescent="0.3">
      <c r="L58" s="123" t="s">
        <v>279</v>
      </c>
      <c r="M58" s="77"/>
      <c r="N58" s="499">
        <f>[3]Talents!J58</f>
        <v>14.5</v>
      </c>
      <c r="O58" s="499">
        <f>[3]Talents!K58</f>
        <v>29</v>
      </c>
      <c r="P58" s="235">
        <f>[3]Talents!M58</f>
        <v>74</v>
      </c>
      <c r="Q58" s="78"/>
      <c r="R58" s="76" t="s">
        <v>264</v>
      </c>
      <c r="S58" s="77">
        <v>4</v>
      </c>
      <c r="T58" s="499">
        <f>[3]Talents!Z58</f>
        <v>8</v>
      </c>
      <c r="U58" s="499">
        <f>[3]Talents!AA58</f>
        <v>16</v>
      </c>
      <c r="V58" s="235">
        <f>[3]Talents!AC58</f>
        <v>54</v>
      </c>
      <c r="W58" s="78"/>
    </row>
    <row r="59" spans="12:35" ht="13.5" thickBot="1" x14ac:dyDescent="0.35">
      <c r="L59" s="141" t="s">
        <v>279</v>
      </c>
      <c r="M59" s="508"/>
      <c r="N59" s="509">
        <f>[3]Talents!J59</f>
        <v>14.5</v>
      </c>
      <c r="O59" s="509">
        <f>[3]Talents!K59</f>
        <v>29</v>
      </c>
      <c r="P59" s="510">
        <f>[3]Talents!M59</f>
        <v>74</v>
      </c>
      <c r="Q59" s="511"/>
      <c r="R59" s="76" t="s">
        <v>265</v>
      </c>
      <c r="S59" s="77">
        <v>4</v>
      </c>
      <c r="T59" s="499">
        <f>[3]Talents!Z59</f>
        <v>6.5</v>
      </c>
      <c r="U59" s="499">
        <f>[3]Talents!AA59</f>
        <v>13</v>
      </c>
      <c r="V59" s="235">
        <f>[3]Talents!AC59</f>
        <v>50</v>
      </c>
      <c r="W59" s="78"/>
    </row>
    <row r="60" spans="12:35" ht="14.4" customHeight="1" x14ac:dyDescent="0.3">
      <c r="L60" s="429" t="s">
        <v>1170</v>
      </c>
      <c r="M60" s="512"/>
      <c r="N60" s="513">
        <f>[3]Talents!J60</f>
        <v>3</v>
      </c>
      <c r="O60" s="513">
        <f>[3]Talents!K60</f>
        <v>6</v>
      </c>
      <c r="P60" s="514">
        <f>[3]Talents!M60</f>
        <v>40</v>
      </c>
      <c r="Q60" s="515"/>
      <c r="R60" s="76" t="s">
        <v>266</v>
      </c>
      <c r="S60" s="77">
        <v>4</v>
      </c>
      <c r="T60" s="499">
        <f>[3]Talents!Z60</f>
        <v>8</v>
      </c>
      <c r="U60" s="499">
        <f>[3]Talents!AA60</f>
        <v>16</v>
      </c>
      <c r="V60" s="235">
        <f>[3]Talents!AC60</f>
        <v>60</v>
      </c>
      <c r="W60" s="78"/>
    </row>
    <row r="61" spans="12:35" ht="14.4" customHeight="1" x14ac:dyDescent="0.3">
      <c r="L61" s="123" t="s">
        <v>279</v>
      </c>
      <c r="M61" s="77"/>
      <c r="N61" s="499">
        <f>[3]Talents!J61</f>
        <v>3</v>
      </c>
      <c r="O61" s="499">
        <f>[3]Talents!K61</f>
        <v>6</v>
      </c>
      <c r="P61" s="235">
        <f>[3]Talents!M61</f>
        <v>40</v>
      </c>
      <c r="Q61" s="78"/>
      <c r="R61" s="76" t="s">
        <v>20</v>
      </c>
      <c r="S61" s="77">
        <v>5</v>
      </c>
      <c r="T61" s="499">
        <f>[3]Talents!Z61</f>
        <v>5</v>
      </c>
      <c r="U61" s="499">
        <f>[3]Talents!AA61</f>
        <v>10</v>
      </c>
      <c r="V61" s="235">
        <f>[3]Talents!AC61</f>
        <v>59</v>
      </c>
      <c r="W61" s="78"/>
    </row>
    <row r="62" spans="12:35" ht="13.5" thickBot="1" x14ac:dyDescent="0.35">
      <c r="L62" s="141" t="s">
        <v>279</v>
      </c>
      <c r="M62" s="508"/>
      <c r="N62" s="509">
        <f>[3]Talents!J62</f>
        <v>3</v>
      </c>
      <c r="O62" s="509">
        <f>[3]Talents!K62</f>
        <v>6</v>
      </c>
      <c r="P62" s="510">
        <f>[3]Talents!M62</f>
        <v>40</v>
      </c>
      <c r="Q62" s="511"/>
      <c r="R62" s="76" t="s">
        <v>267</v>
      </c>
      <c r="S62" s="77">
        <v>4</v>
      </c>
      <c r="T62" s="499">
        <f>[3]Talents!Z62</f>
        <v>8</v>
      </c>
      <c r="U62" s="499">
        <f>[3]Talents!AA62</f>
        <v>16</v>
      </c>
      <c r="V62" s="235">
        <f>[3]Talents!AC62</f>
        <v>60</v>
      </c>
      <c r="W62" s="78"/>
    </row>
    <row r="63" spans="12:35" ht="13" x14ac:dyDescent="0.3">
      <c r="L63" s="76" t="s">
        <v>225</v>
      </c>
      <c r="M63" s="77"/>
      <c r="N63" s="499">
        <f>[3]Talents!J63</f>
        <v>23</v>
      </c>
      <c r="O63" s="499">
        <f>[3]Talents!K63</f>
        <v>46</v>
      </c>
      <c r="P63" s="235">
        <f>[3]Talents!M63</f>
        <v>80</v>
      </c>
      <c r="Q63" s="78"/>
      <c r="R63" s="76" t="s">
        <v>42</v>
      </c>
      <c r="S63" s="77">
        <v>40</v>
      </c>
      <c r="T63" s="499">
        <f>[3]Talents!Z63</f>
        <v>6.5</v>
      </c>
      <c r="U63" s="499">
        <f>[3]Talents!AA63</f>
        <v>13</v>
      </c>
      <c r="V63" s="235">
        <f>[3]Talents!AC63</f>
        <v>59</v>
      </c>
      <c r="W63" s="78">
        <v>0</v>
      </c>
    </row>
    <row r="64" spans="12:35" ht="13" x14ac:dyDescent="0.3">
      <c r="L64" s="76" t="s">
        <v>51</v>
      </c>
      <c r="M64" s="77"/>
      <c r="N64" s="499">
        <f>[3]Talents!J64</f>
        <v>9</v>
      </c>
      <c r="O64" s="499">
        <f>[3]Talents!K64</f>
        <v>18</v>
      </c>
      <c r="P64" s="235">
        <f>[3]Talents!M64</f>
        <v>54</v>
      </c>
      <c r="Q64" s="78"/>
      <c r="R64" s="76" t="s">
        <v>10</v>
      </c>
      <c r="S64" s="77">
        <v>8</v>
      </c>
      <c r="T64" s="499">
        <f>[3]Talents!Z64</f>
        <v>11</v>
      </c>
      <c r="U64" s="499">
        <f>[3]Talents!AA64</f>
        <v>22</v>
      </c>
      <c r="V64" s="235">
        <f>[3]Talents!AC64</f>
        <v>60</v>
      </c>
      <c r="W64" s="78"/>
    </row>
    <row r="65" spans="12:23" ht="13" x14ac:dyDescent="0.3">
      <c r="L65" s="76" t="s">
        <v>226</v>
      </c>
      <c r="M65" s="77">
        <v>61</v>
      </c>
      <c r="N65" s="499">
        <f>[3]Talents!J65</f>
        <v>23</v>
      </c>
      <c r="O65" s="499">
        <f>[3]Talents!K65</f>
        <v>46</v>
      </c>
      <c r="P65" s="235">
        <f>[3]Talents!M65</f>
        <v>77</v>
      </c>
      <c r="Q65" s="78">
        <v>1</v>
      </c>
      <c r="R65" s="76" t="s">
        <v>268</v>
      </c>
      <c r="S65" s="77">
        <v>11</v>
      </c>
      <c r="T65" s="499">
        <f>[3]Talents!Z65</f>
        <v>18.5</v>
      </c>
      <c r="U65" s="499">
        <f>[3]Talents!AA65</f>
        <v>37</v>
      </c>
      <c r="V65" s="235">
        <f>[3]Talents!AC65</f>
        <v>60</v>
      </c>
      <c r="W65" s="78"/>
    </row>
    <row r="66" spans="12:23" ht="13" x14ac:dyDescent="0.3">
      <c r="L66" s="76" t="s">
        <v>227</v>
      </c>
      <c r="M66" s="77"/>
      <c r="N66" s="499">
        <f>[3]Talents!J66</f>
        <v>13.5</v>
      </c>
      <c r="O66" s="499">
        <f>[3]Talents!K66</f>
        <v>27</v>
      </c>
      <c r="P66" s="235">
        <f>[3]Talents!M66</f>
        <v>70</v>
      </c>
      <c r="Q66" s="78"/>
      <c r="R66" s="76" t="s">
        <v>269</v>
      </c>
      <c r="S66" s="77">
        <v>11</v>
      </c>
      <c r="T66" s="499">
        <f>[3]Talents!Z66</f>
        <v>6.5</v>
      </c>
      <c r="U66" s="499">
        <f>[3]Talents!AA66</f>
        <v>13</v>
      </c>
      <c r="V66" s="235">
        <f>[3]Talents!AC66</f>
        <v>60</v>
      </c>
      <c r="W66" s="78"/>
    </row>
    <row r="67" spans="12:23" ht="13" x14ac:dyDescent="0.3">
      <c r="L67" s="76" t="s">
        <v>228</v>
      </c>
      <c r="M67" s="77"/>
      <c r="N67" s="499">
        <f>[3]Talents!J67</f>
        <v>18.5</v>
      </c>
      <c r="O67" s="499">
        <f>[3]Talents!K67</f>
        <v>37</v>
      </c>
      <c r="P67" s="235">
        <f>[3]Talents!M67</f>
        <v>71</v>
      </c>
      <c r="Q67" s="78"/>
      <c r="R67" s="76" t="s">
        <v>312</v>
      </c>
      <c r="S67" s="77">
        <v>1</v>
      </c>
      <c r="T67" s="499">
        <f>[3]Talents!Z67</f>
        <v>0</v>
      </c>
      <c r="U67" s="499">
        <f>[3]Talents!AA67</f>
        <v>0</v>
      </c>
      <c r="V67" s="235">
        <f>[3]Talents!AC67</f>
        <v>0</v>
      </c>
      <c r="W67" s="78"/>
    </row>
    <row r="68" spans="12:23" ht="13" x14ac:dyDescent="0.3">
      <c r="L68" s="76" t="s">
        <v>229</v>
      </c>
      <c r="M68" s="77">
        <v>62</v>
      </c>
      <c r="N68" s="499">
        <f>[3]Talents!J68</f>
        <v>14</v>
      </c>
      <c r="O68" s="499">
        <f>[3]Talents!K68</f>
        <v>28</v>
      </c>
      <c r="P68" s="235">
        <f>[3]Talents!M68</f>
        <v>71</v>
      </c>
      <c r="Q68" s="78"/>
      <c r="R68" s="206" t="s">
        <v>165</v>
      </c>
      <c r="S68" s="207">
        <v>0</v>
      </c>
      <c r="T68" s="207"/>
      <c r="U68" s="207"/>
      <c r="V68" s="207"/>
      <c r="W68" s="208"/>
    </row>
    <row r="69" spans="12:23" ht="13" x14ac:dyDescent="0.3">
      <c r="L69" s="76" t="s">
        <v>230</v>
      </c>
      <c r="M69" s="77"/>
      <c r="N69" s="499">
        <f>[3]Talents!J69</f>
        <v>14</v>
      </c>
      <c r="O69" s="499">
        <f>[3]Talents!K69</f>
        <v>28</v>
      </c>
      <c r="P69" s="235">
        <f>[3]Talents!M69</f>
        <v>68</v>
      </c>
      <c r="Q69" s="78"/>
      <c r="R69" s="206" t="s">
        <v>165</v>
      </c>
      <c r="S69" s="207">
        <v>0</v>
      </c>
      <c r="T69" s="207"/>
      <c r="U69" s="207"/>
      <c r="V69" s="207"/>
      <c r="W69" s="208"/>
    </row>
    <row r="70" spans="12:23" ht="13.5" thickBot="1" x14ac:dyDescent="0.35">
      <c r="L70" s="76" t="s">
        <v>231</v>
      </c>
      <c r="M70" s="77"/>
      <c r="N70" s="499">
        <f>[3]Talents!J70</f>
        <v>23</v>
      </c>
      <c r="O70" s="499">
        <f>[3]Talents!K70</f>
        <v>46</v>
      </c>
      <c r="P70" s="235">
        <f>[3]Talents!M70</f>
        <v>80</v>
      </c>
      <c r="Q70" s="78"/>
      <c r="R70" s="206" t="s">
        <v>165</v>
      </c>
      <c r="S70" s="207">
        <v>0</v>
      </c>
      <c r="T70" s="207"/>
      <c r="U70" s="207"/>
      <c r="V70" s="207"/>
      <c r="W70" s="208"/>
    </row>
    <row r="71" spans="12:23" ht="13" x14ac:dyDescent="0.3">
      <c r="L71" s="429" t="s">
        <v>280</v>
      </c>
      <c r="M71" s="512"/>
      <c r="N71" s="513">
        <f>[3]Talents!J71</f>
        <v>18.5</v>
      </c>
      <c r="O71" s="513">
        <f>[3]Talents!K71</f>
        <v>37</v>
      </c>
      <c r="P71" s="514">
        <f>[3]Talents!M71</f>
        <v>80</v>
      </c>
      <c r="Q71" s="515"/>
      <c r="R71" s="206" t="s">
        <v>165</v>
      </c>
      <c r="S71" s="207">
        <v>0</v>
      </c>
      <c r="T71" s="207"/>
      <c r="U71" s="207"/>
      <c r="V71" s="207"/>
      <c r="W71" s="208"/>
    </row>
    <row r="72" spans="12:23" ht="13.5" thickBot="1" x14ac:dyDescent="0.35">
      <c r="L72" s="141" t="s">
        <v>279</v>
      </c>
      <c r="M72" s="508"/>
      <c r="N72" s="509">
        <f>[3]Talents!J72</f>
        <v>18.5</v>
      </c>
      <c r="O72" s="509">
        <f>[3]Talents!K72</f>
        <v>37</v>
      </c>
      <c r="P72" s="510">
        <f>[3]Talents!M72</f>
        <v>80</v>
      </c>
      <c r="Q72" s="511"/>
      <c r="R72" s="206" t="s">
        <v>167</v>
      </c>
      <c r="S72" s="207">
        <v>0</v>
      </c>
      <c r="T72" s="207"/>
      <c r="U72" s="207"/>
      <c r="V72" s="207"/>
      <c r="W72" s="208"/>
    </row>
    <row r="73" spans="12:23" ht="13" x14ac:dyDescent="0.3">
      <c r="L73" s="76"/>
      <c r="M73" s="77"/>
      <c r="N73" s="497"/>
      <c r="O73" s="497"/>
      <c r="P73" s="235"/>
      <c r="Q73" s="78"/>
      <c r="R73" s="206" t="s">
        <v>165</v>
      </c>
      <c r="S73" s="207">
        <v>0</v>
      </c>
      <c r="T73" s="207"/>
      <c r="U73" s="207"/>
      <c r="V73" s="207"/>
      <c r="W73" s="208"/>
    </row>
    <row r="74" spans="12:23" ht="13" x14ac:dyDescent="0.3">
      <c r="L74" s="222"/>
      <c r="M74" s="223"/>
      <c r="N74" s="223"/>
      <c r="O74" s="223"/>
      <c r="P74" s="223"/>
      <c r="Q74" s="224"/>
      <c r="R74" s="222"/>
      <c r="S74" s="223"/>
      <c r="T74" s="223"/>
      <c r="U74" s="223"/>
      <c r="V74" s="223"/>
      <c r="W74" s="224"/>
    </row>
    <row r="75" spans="12:23" ht="13" x14ac:dyDescent="0.3">
      <c r="L75" s="222"/>
      <c r="M75" s="223"/>
      <c r="N75" s="223"/>
      <c r="O75" s="223"/>
      <c r="P75" s="223"/>
      <c r="Q75" s="224"/>
      <c r="R75" s="222"/>
      <c r="S75" s="223"/>
      <c r="T75" s="223"/>
      <c r="U75" s="223"/>
      <c r="V75" s="223"/>
      <c r="W75" s="224"/>
    </row>
    <row r="76" spans="12:23" ht="13.5" thickBot="1" x14ac:dyDescent="0.35">
      <c r="L76" s="222"/>
      <c r="M76" s="223"/>
      <c r="N76" s="223"/>
      <c r="O76" s="223"/>
      <c r="P76" s="223"/>
      <c r="Q76" s="224"/>
      <c r="R76" s="222"/>
      <c r="S76" s="223"/>
      <c r="T76" s="223"/>
      <c r="U76" s="223"/>
      <c r="V76" s="223"/>
      <c r="W76" s="224"/>
    </row>
    <row r="77" spans="12:23" ht="13" x14ac:dyDescent="0.3">
      <c r="L77" s="222"/>
      <c r="M77" s="223"/>
      <c r="N77" s="223"/>
      <c r="O77" s="223"/>
      <c r="P77" s="223"/>
      <c r="Q77" s="224"/>
      <c r="R77" s="225"/>
      <c r="S77" s="226"/>
      <c r="T77" s="226"/>
      <c r="U77" s="226"/>
      <c r="V77" s="226"/>
      <c r="W77" s="227"/>
    </row>
    <row r="78" spans="12:23" ht="13.5" thickBot="1" x14ac:dyDescent="0.35">
      <c r="L78" s="228"/>
      <c r="M78" s="229"/>
      <c r="N78" s="229"/>
      <c r="O78" s="229"/>
      <c r="P78" s="229"/>
      <c r="Q78" s="230"/>
      <c r="R78" s="228"/>
      <c r="S78" s="229"/>
      <c r="T78" s="229"/>
      <c r="U78" s="229"/>
      <c r="V78" s="229"/>
      <c r="W78" s="23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opLeftCell="A82" zoomScale="175" zoomScaleNormal="175" workbookViewId="0">
      <selection activeCell="A100" sqref="A100"/>
    </sheetView>
  </sheetViews>
  <sheetFormatPr baseColWidth="10" defaultColWidth="8.90625" defaultRowHeight="11.5" x14ac:dyDescent="0.25"/>
  <cols>
    <col min="1" max="1" width="25.36328125" style="58" customWidth="1"/>
    <col min="2" max="2" width="3.90625" style="58" bestFit="1" customWidth="1"/>
    <col min="3" max="3" width="4.08984375" style="58" bestFit="1" customWidth="1"/>
    <col min="4" max="4" width="4.36328125" style="58" bestFit="1" customWidth="1"/>
    <col min="5" max="5" width="6.36328125" style="58" bestFit="1" customWidth="1"/>
    <col min="6" max="6" width="11.08984375" style="58" customWidth="1"/>
    <col min="7" max="7" width="10.90625" style="58" customWidth="1"/>
    <col min="8" max="8" width="4.36328125" style="58" bestFit="1" customWidth="1"/>
    <col min="9" max="9" width="3.453125" style="58" bestFit="1" customWidth="1"/>
    <col min="10" max="10" width="3.6328125" style="58" bestFit="1" customWidth="1"/>
    <col min="11" max="11" width="11.36328125" style="58" customWidth="1"/>
    <col min="12" max="12" width="5.54296875" style="58" customWidth="1"/>
    <col min="13" max="13" width="6.08984375" style="58" customWidth="1"/>
    <col min="14" max="256" width="8.90625" style="58"/>
    <col min="257" max="257" width="25.36328125" style="58" customWidth="1"/>
    <col min="258" max="258" width="3.90625" style="58" bestFit="1" customWidth="1"/>
    <col min="259" max="259" width="4.08984375" style="58" bestFit="1" customWidth="1"/>
    <col min="260" max="260" width="4.36328125" style="58" bestFit="1" customWidth="1"/>
    <col min="261" max="261" width="6.36328125" style="58" bestFit="1" customWidth="1"/>
    <col min="262" max="262" width="11.08984375" style="58" customWidth="1"/>
    <col min="263" max="263" width="10.90625" style="58" customWidth="1"/>
    <col min="264" max="264" width="4.36328125" style="58" bestFit="1" customWidth="1"/>
    <col min="265" max="265" width="3.453125" style="58" bestFit="1" customWidth="1"/>
    <col min="266" max="266" width="3.6328125" style="58" bestFit="1" customWidth="1"/>
    <col min="267" max="267" width="11.36328125" style="58" customWidth="1"/>
    <col min="268" max="268" width="5.54296875" style="58" customWidth="1"/>
    <col min="269" max="269" width="6.08984375" style="58" customWidth="1"/>
    <col min="270" max="512" width="8.90625" style="58"/>
    <col min="513" max="513" width="25.36328125" style="58" customWidth="1"/>
    <col min="514" max="514" width="3.90625" style="58" bestFit="1" customWidth="1"/>
    <col min="515" max="515" width="4.08984375" style="58" bestFit="1" customWidth="1"/>
    <col min="516" max="516" width="4.36328125" style="58" bestFit="1" customWidth="1"/>
    <col min="517" max="517" width="6.36328125" style="58" bestFit="1" customWidth="1"/>
    <col min="518" max="518" width="11.08984375" style="58" customWidth="1"/>
    <col min="519" max="519" width="10.90625" style="58" customWidth="1"/>
    <col min="520" max="520" width="4.36328125" style="58" bestFit="1" customWidth="1"/>
    <col min="521" max="521" width="3.453125" style="58" bestFit="1" customWidth="1"/>
    <col min="522" max="522" width="3.6328125" style="58" bestFit="1" customWidth="1"/>
    <col min="523" max="523" width="11.36328125" style="58" customWidth="1"/>
    <col min="524" max="524" width="5.54296875" style="58" customWidth="1"/>
    <col min="525" max="525" width="6.08984375" style="58" customWidth="1"/>
    <col min="526" max="768" width="8.90625" style="58"/>
    <col min="769" max="769" width="25.36328125" style="58" customWidth="1"/>
    <col min="770" max="770" width="3.90625" style="58" bestFit="1" customWidth="1"/>
    <col min="771" max="771" width="4.08984375" style="58" bestFit="1" customWidth="1"/>
    <col min="772" max="772" width="4.36328125" style="58" bestFit="1" customWidth="1"/>
    <col min="773" max="773" width="6.36328125" style="58" bestFit="1" customWidth="1"/>
    <col min="774" max="774" width="11.08984375" style="58" customWidth="1"/>
    <col min="775" max="775" width="10.90625" style="58" customWidth="1"/>
    <col min="776" max="776" width="4.36328125" style="58" bestFit="1" customWidth="1"/>
    <col min="777" max="777" width="3.453125" style="58" bestFit="1" customWidth="1"/>
    <col min="778" max="778" width="3.6328125" style="58" bestFit="1" customWidth="1"/>
    <col min="779" max="779" width="11.36328125" style="58" customWidth="1"/>
    <col min="780" max="780" width="5.54296875" style="58" customWidth="1"/>
    <col min="781" max="781" width="6.08984375" style="58" customWidth="1"/>
    <col min="782" max="1024" width="8.90625" style="58"/>
    <col min="1025" max="1025" width="25.36328125" style="58" customWidth="1"/>
    <col min="1026" max="1026" width="3.90625" style="58" bestFit="1" customWidth="1"/>
    <col min="1027" max="1027" width="4.08984375" style="58" bestFit="1" customWidth="1"/>
    <col min="1028" max="1028" width="4.36328125" style="58" bestFit="1" customWidth="1"/>
    <col min="1029" max="1029" width="6.36328125" style="58" bestFit="1" customWidth="1"/>
    <col min="1030" max="1030" width="11.08984375" style="58" customWidth="1"/>
    <col min="1031" max="1031" width="10.90625" style="58" customWidth="1"/>
    <col min="1032" max="1032" width="4.36328125" style="58" bestFit="1" customWidth="1"/>
    <col min="1033" max="1033" width="3.453125" style="58" bestFit="1" customWidth="1"/>
    <col min="1034" max="1034" width="3.6328125" style="58" bestFit="1" customWidth="1"/>
    <col min="1035" max="1035" width="11.36328125" style="58" customWidth="1"/>
    <col min="1036" max="1036" width="5.54296875" style="58" customWidth="1"/>
    <col min="1037" max="1037" width="6.08984375" style="58" customWidth="1"/>
    <col min="1038" max="1280" width="8.90625" style="58"/>
    <col min="1281" max="1281" width="25.36328125" style="58" customWidth="1"/>
    <col min="1282" max="1282" width="3.90625" style="58" bestFit="1" customWidth="1"/>
    <col min="1283" max="1283" width="4.08984375" style="58" bestFit="1" customWidth="1"/>
    <col min="1284" max="1284" width="4.36328125" style="58" bestFit="1" customWidth="1"/>
    <col min="1285" max="1285" width="6.36328125" style="58" bestFit="1" customWidth="1"/>
    <col min="1286" max="1286" width="11.08984375" style="58" customWidth="1"/>
    <col min="1287" max="1287" width="10.90625" style="58" customWidth="1"/>
    <col min="1288" max="1288" width="4.36328125" style="58" bestFit="1" customWidth="1"/>
    <col min="1289" max="1289" width="3.453125" style="58" bestFit="1" customWidth="1"/>
    <col min="1290" max="1290" width="3.6328125" style="58" bestFit="1" customWidth="1"/>
    <col min="1291" max="1291" width="11.36328125" style="58" customWidth="1"/>
    <col min="1292" max="1292" width="5.54296875" style="58" customWidth="1"/>
    <col min="1293" max="1293" width="6.08984375" style="58" customWidth="1"/>
    <col min="1294" max="1536" width="8.90625" style="58"/>
    <col min="1537" max="1537" width="25.36328125" style="58" customWidth="1"/>
    <col min="1538" max="1538" width="3.90625" style="58" bestFit="1" customWidth="1"/>
    <col min="1539" max="1539" width="4.08984375" style="58" bestFit="1" customWidth="1"/>
    <col min="1540" max="1540" width="4.36328125" style="58" bestFit="1" customWidth="1"/>
    <col min="1541" max="1541" width="6.36328125" style="58" bestFit="1" customWidth="1"/>
    <col min="1542" max="1542" width="11.08984375" style="58" customWidth="1"/>
    <col min="1543" max="1543" width="10.90625" style="58" customWidth="1"/>
    <col min="1544" max="1544" width="4.36328125" style="58" bestFit="1" customWidth="1"/>
    <col min="1545" max="1545" width="3.453125" style="58" bestFit="1" customWidth="1"/>
    <col min="1546" max="1546" width="3.6328125" style="58" bestFit="1" customWidth="1"/>
    <col min="1547" max="1547" width="11.36328125" style="58" customWidth="1"/>
    <col min="1548" max="1548" width="5.54296875" style="58" customWidth="1"/>
    <col min="1549" max="1549" width="6.08984375" style="58" customWidth="1"/>
    <col min="1550" max="1792" width="8.90625" style="58"/>
    <col min="1793" max="1793" width="25.36328125" style="58" customWidth="1"/>
    <col min="1794" max="1794" width="3.90625" style="58" bestFit="1" customWidth="1"/>
    <col min="1795" max="1795" width="4.08984375" style="58" bestFit="1" customWidth="1"/>
    <col min="1796" max="1796" width="4.36328125" style="58" bestFit="1" customWidth="1"/>
    <col min="1797" max="1797" width="6.36328125" style="58" bestFit="1" customWidth="1"/>
    <col min="1798" max="1798" width="11.08984375" style="58" customWidth="1"/>
    <col min="1799" max="1799" width="10.90625" style="58" customWidth="1"/>
    <col min="1800" max="1800" width="4.36328125" style="58" bestFit="1" customWidth="1"/>
    <col min="1801" max="1801" width="3.453125" style="58" bestFit="1" customWidth="1"/>
    <col min="1802" max="1802" width="3.6328125" style="58" bestFit="1" customWidth="1"/>
    <col min="1803" max="1803" width="11.36328125" style="58" customWidth="1"/>
    <col min="1804" max="1804" width="5.54296875" style="58" customWidth="1"/>
    <col min="1805" max="1805" width="6.08984375" style="58" customWidth="1"/>
    <col min="1806" max="2048" width="8.90625" style="58"/>
    <col min="2049" max="2049" width="25.36328125" style="58" customWidth="1"/>
    <col min="2050" max="2050" width="3.90625" style="58" bestFit="1" customWidth="1"/>
    <col min="2051" max="2051" width="4.08984375" style="58" bestFit="1" customWidth="1"/>
    <col min="2052" max="2052" width="4.36328125" style="58" bestFit="1" customWidth="1"/>
    <col min="2053" max="2053" width="6.36328125" style="58" bestFit="1" customWidth="1"/>
    <col min="2054" max="2054" width="11.08984375" style="58" customWidth="1"/>
    <col min="2055" max="2055" width="10.90625" style="58" customWidth="1"/>
    <col min="2056" max="2056" width="4.36328125" style="58" bestFit="1" customWidth="1"/>
    <col min="2057" max="2057" width="3.453125" style="58" bestFit="1" customWidth="1"/>
    <col min="2058" max="2058" width="3.6328125" style="58" bestFit="1" customWidth="1"/>
    <col min="2059" max="2059" width="11.36328125" style="58" customWidth="1"/>
    <col min="2060" max="2060" width="5.54296875" style="58" customWidth="1"/>
    <col min="2061" max="2061" width="6.08984375" style="58" customWidth="1"/>
    <col min="2062" max="2304" width="8.90625" style="58"/>
    <col min="2305" max="2305" width="25.36328125" style="58" customWidth="1"/>
    <col min="2306" max="2306" width="3.90625" style="58" bestFit="1" customWidth="1"/>
    <col min="2307" max="2307" width="4.08984375" style="58" bestFit="1" customWidth="1"/>
    <col min="2308" max="2308" width="4.36328125" style="58" bestFit="1" customWidth="1"/>
    <col min="2309" max="2309" width="6.36328125" style="58" bestFit="1" customWidth="1"/>
    <col min="2310" max="2310" width="11.08984375" style="58" customWidth="1"/>
    <col min="2311" max="2311" width="10.90625" style="58" customWidth="1"/>
    <col min="2312" max="2312" width="4.36328125" style="58" bestFit="1" customWidth="1"/>
    <col min="2313" max="2313" width="3.453125" style="58" bestFit="1" customWidth="1"/>
    <col min="2314" max="2314" width="3.6328125" style="58" bestFit="1" customWidth="1"/>
    <col min="2315" max="2315" width="11.36328125" style="58" customWidth="1"/>
    <col min="2316" max="2316" width="5.54296875" style="58" customWidth="1"/>
    <col min="2317" max="2317" width="6.08984375" style="58" customWidth="1"/>
    <col min="2318" max="2560" width="8.90625" style="58"/>
    <col min="2561" max="2561" width="25.36328125" style="58" customWidth="1"/>
    <col min="2562" max="2562" width="3.90625" style="58" bestFit="1" customWidth="1"/>
    <col min="2563" max="2563" width="4.08984375" style="58" bestFit="1" customWidth="1"/>
    <col min="2564" max="2564" width="4.36328125" style="58" bestFit="1" customWidth="1"/>
    <col min="2565" max="2565" width="6.36328125" style="58" bestFit="1" customWidth="1"/>
    <col min="2566" max="2566" width="11.08984375" style="58" customWidth="1"/>
    <col min="2567" max="2567" width="10.90625" style="58" customWidth="1"/>
    <col min="2568" max="2568" width="4.36328125" style="58" bestFit="1" customWidth="1"/>
    <col min="2569" max="2569" width="3.453125" style="58" bestFit="1" customWidth="1"/>
    <col min="2570" max="2570" width="3.6328125" style="58" bestFit="1" customWidth="1"/>
    <col min="2571" max="2571" width="11.36328125" style="58" customWidth="1"/>
    <col min="2572" max="2572" width="5.54296875" style="58" customWidth="1"/>
    <col min="2573" max="2573" width="6.08984375" style="58" customWidth="1"/>
    <col min="2574" max="2816" width="8.90625" style="58"/>
    <col min="2817" max="2817" width="25.36328125" style="58" customWidth="1"/>
    <col min="2818" max="2818" width="3.90625" style="58" bestFit="1" customWidth="1"/>
    <col min="2819" max="2819" width="4.08984375" style="58" bestFit="1" customWidth="1"/>
    <col min="2820" max="2820" width="4.36328125" style="58" bestFit="1" customWidth="1"/>
    <col min="2821" max="2821" width="6.36328125" style="58" bestFit="1" customWidth="1"/>
    <col min="2822" max="2822" width="11.08984375" style="58" customWidth="1"/>
    <col min="2823" max="2823" width="10.90625" style="58" customWidth="1"/>
    <col min="2824" max="2824" width="4.36328125" style="58" bestFit="1" customWidth="1"/>
    <col min="2825" max="2825" width="3.453125" style="58" bestFit="1" customWidth="1"/>
    <col min="2826" max="2826" width="3.6328125" style="58" bestFit="1" customWidth="1"/>
    <col min="2827" max="2827" width="11.36328125" style="58" customWidth="1"/>
    <col min="2828" max="2828" width="5.54296875" style="58" customWidth="1"/>
    <col min="2829" max="2829" width="6.08984375" style="58" customWidth="1"/>
    <col min="2830" max="3072" width="8.90625" style="58"/>
    <col min="3073" max="3073" width="25.36328125" style="58" customWidth="1"/>
    <col min="3074" max="3074" width="3.90625" style="58" bestFit="1" customWidth="1"/>
    <col min="3075" max="3075" width="4.08984375" style="58" bestFit="1" customWidth="1"/>
    <col min="3076" max="3076" width="4.36328125" style="58" bestFit="1" customWidth="1"/>
    <col min="3077" max="3077" width="6.36328125" style="58" bestFit="1" customWidth="1"/>
    <col min="3078" max="3078" width="11.08984375" style="58" customWidth="1"/>
    <col min="3079" max="3079" width="10.90625" style="58" customWidth="1"/>
    <col min="3080" max="3080" width="4.36328125" style="58" bestFit="1" customWidth="1"/>
    <col min="3081" max="3081" width="3.453125" style="58" bestFit="1" customWidth="1"/>
    <col min="3082" max="3082" width="3.6328125" style="58" bestFit="1" customWidth="1"/>
    <col min="3083" max="3083" width="11.36328125" style="58" customWidth="1"/>
    <col min="3084" max="3084" width="5.54296875" style="58" customWidth="1"/>
    <col min="3085" max="3085" width="6.08984375" style="58" customWidth="1"/>
    <col min="3086" max="3328" width="8.90625" style="58"/>
    <col min="3329" max="3329" width="25.36328125" style="58" customWidth="1"/>
    <col min="3330" max="3330" width="3.90625" style="58" bestFit="1" customWidth="1"/>
    <col min="3331" max="3331" width="4.08984375" style="58" bestFit="1" customWidth="1"/>
    <col min="3332" max="3332" width="4.36328125" style="58" bestFit="1" customWidth="1"/>
    <col min="3333" max="3333" width="6.36328125" style="58" bestFit="1" customWidth="1"/>
    <col min="3334" max="3334" width="11.08984375" style="58" customWidth="1"/>
    <col min="3335" max="3335" width="10.90625" style="58" customWidth="1"/>
    <col min="3336" max="3336" width="4.36328125" style="58" bestFit="1" customWidth="1"/>
    <col min="3337" max="3337" width="3.453125" style="58" bestFit="1" customWidth="1"/>
    <col min="3338" max="3338" width="3.6328125" style="58" bestFit="1" customWidth="1"/>
    <col min="3339" max="3339" width="11.36328125" style="58" customWidth="1"/>
    <col min="3340" max="3340" width="5.54296875" style="58" customWidth="1"/>
    <col min="3341" max="3341" width="6.08984375" style="58" customWidth="1"/>
    <col min="3342" max="3584" width="8.90625" style="58"/>
    <col min="3585" max="3585" width="25.36328125" style="58" customWidth="1"/>
    <col min="3586" max="3586" width="3.90625" style="58" bestFit="1" customWidth="1"/>
    <col min="3587" max="3587" width="4.08984375" style="58" bestFit="1" customWidth="1"/>
    <col min="3588" max="3588" width="4.36328125" style="58" bestFit="1" customWidth="1"/>
    <col min="3589" max="3589" width="6.36328125" style="58" bestFit="1" customWidth="1"/>
    <col min="3590" max="3590" width="11.08984375" style="58" customWidth="1"/>
    <col min="3591" max="3591" width="10.90625" style="58" customWidth="1"/>
    <col min="3592" max="3592" width="4.36328125" style="58" bestFit="1" customWidth="1"/>
    <col min="3593" max="3593" width="3.453125" style="58" bestFit="1" customWidth="1"/>
    <col min="3594" max="3594" width="3.6328125" style="58" bestFit="1" customWidth="1"/>
    <col min="3595" max="3595" width="11.36328125" style="58" customWidth="1"/>
    <col min="3596" max="3596" width="5.54296875" style="58" customWidth="1"/>
    <col min="3597" max="3597" width="6.08984375" style="58" customWidth="1"/>
    <col min="3598" max="3840" width="8.90625" style="58"/>
    <col min="3841" max="3841" width="25.36328125" style="58" customWidth="1"/>
    <col min="3842" max="3842" width="3.90625" style="58" bestFit="1" customWidth="1"/>
    <col min="3843" max="3843" width="4.08984375" style="58" bestFit="1" customWidth="1"/>
    <col min="3844" max="3844" width="4.36328125" style="58" bestFit="1" customWidth="1"/>
    <col min="3845" max="3845" width="6.36328125" style="58" bestFit="1" customWidth="1"/>
    <col min="3846" max="3846" width="11.08984375" style="58" customWidth="1"/>
    <col min="3847" max="3847" width="10.90625" style="58" customWidth="1"/>
    <col min="3848" max="3848" width="4.36328125" style="58" bestFit="1" customWidth="1"/>
    <col min="3849" max="3849" width="3.453125" style="58" bestFit="1" customWidth="1"/>
    <col min="3850" max="3850" width="3.6328125" style="58" bestFit="1" customWidth="1"/>
    <col min="3851" max="3851" width="11.36328125" style="58" customWidth="1"/>
    <col min="3852" max="3852" width="5.54296875" style="58" customWidth="1"/>
    <col min="3853" max="3853" width="6.08984375" style="58" customWidth="1"/>
    <col min="3854" max="4096" width="8.90625" style="58"/>
    <col min="4097" max="4097" width="25.36328125" style="58" customWidth="1"/>
    <col min="4098" max="4098" width="3.90625" style="58" bestFit="1" customWidth="1"/>
    <col min="4099" max="4099" width="4.08984375" style="58" bestFit="1" customWidth="1"/>
    <col min="4100" max="4100" width="4.36328125" style="58" bestFit="1" customWidth="1"/>
    <col min="4101" max="4101" width="6.36328125" style="58" bestFit="1" customWidth="1"/>
    <col min="4102" max="4102" width="11.08984375" style="58" customWidth="1"/>
    <col min="4103" max="4103" width="10.90625" style="58" customWidth="1"/>
    <col min="4104" max="4104" width="4.36328125" style="58" bestFit="1" customWidth="1"/>
    <col min="4105" max="4105" width="3.453125" style="58" bestFit="1" customWidth="1"/>
    <col min="4106" max="4106" width="3.6328125" style="58" bestFit="1" customWidth="1"/>
    <col min="4107" max="4107" width="11.36328125" style="58" customWidth="1"/>
    <col min="4108" max="4108" width="5.54296875" style="58" customWidth="1"/>
    <col min="4109" max="4109" width="6.08984375" style="58" customWidth="1"/>
    <col min="4110" max="4352" width="8.90625" style="58"/>
    <col min="4353" max="4353" width="25.36328125" style="58" customWidth="1"/>
    <col min="4354" max="4354" width="3.90625" style="58" bestFit="1" customWidth="1"/>
    <col min="4355" max="4355" width="4.08984375" style="58" bestFit="1" customWidth="1"/>
    <col min="4356" max="4356" width="4.36328125" style="58" bestFit="1" customWidth="1"/>
    <col min="4357" max="4357" width="6.36328125" style="58" bestFit="1" customWidth="1"/>
    <col min="4358" max="4358" width="11.08984375" style="58" customWidth="1"/>
    <col min="4359" max="4359" width="10.90625" style="58" customWidth="1"/>
    <col min="4360" max="4360" width="4.36328125" style="58" bestFit="1" customWidth="1"/>
    <col min="4361" max="4361" width="3.453125" style="58" bestFit="1" customWidth="1"/>
    <col min="4362" max="4362" width="3.6328125" style="58" bestFit="1" customWidth="1"/>
    <col min="4363" max="4363" width="11.36328125" style="58" customWidth="1"/>
    <col min="4364" max="4364" width="5.54296875" style="58" customWidth="1"/>
    <col min="4365" max="4365" width="6.08984375" style="58" customWidth="1"/>
    <col min="4366" max="4608" width="8.90625" style="58"/>
    <col min="4609" max="4609" width="25.36328125" style="58" customWidth="1"/>
    <col min="4610" max="4610" width="3.90625" style="58" bestFit="1" customWidth="1"/>
    <col min="4611" max="4611" width="4.08984375" style="58" bestFit="1" customWidth="1"/>
    <col min="4612" max="4612" width="4.36328125" style="58" bestFit="1" customWidth="1"/>
    <col min="4613" max="4613" width="6.36328125" style="58" bestFit="1" customWidth="1"/>
    <col min="4614" max="4614" width="11.08984375" style="58" customWidth="1"/>
    <col min="4615" max="4615" width="10.90625" style="58" customWidth="1"/>
    <col min="4616" max="4616" width="4.36328125" style="58" bestFit="1" customWidth="1"/>
    <col min="4617" max="4617" width="3.453125" style="58" bestFit="1" customWidth="1"/>
    <col min="4618" max="4618" width="3.6328125" style="58" bestFit="1" customWidth="1"/>
    <col min="4619" max="4619" width="11.36328125" style="58" customWidth="1"/>
    <col min="4620" max="4620" width="5.54296875" style="58" customWidth="1"/>
    <col min="4621" max="4621" width="6.08984375" style="58" customWidth="1"/>
    <col min="4622" max="4864" width="8.90625" style="58"/>
    <col min="4865" max="4865" width="25.36328125" style="58" customWidth="1"/>
    <col min="4866" max="4866" width="3.90625" style="58" bestFit="1" customWidth="1"/>
    <col min="4867" max="4867" width="4.08984375" style="58" bestFit="1" customWidth="1"/>
    <col min="4868" max="4868" width="4.36328125" style="58" bestFit="1" customWidth="1"/>
    <col min="4869" max="4869" width="6.36328125" style="58" bestFit="1" customWidth="1"/>
    <col min="4870" max="4870" width="11.08984375" style="58" customWidth="1"/>
    <col min="4871" max="4871" width="10.90625" style="58" customWidth="1"/>
    <col min="4872" max="4872" width="4.36328125" style="58" bestFit="1" customWidth="1"/>
    <col min="4873" max="4873" width="3.453125" style="58" bestFit="1" customWidth="1"/>
    <col min="4874" max="4874" width="3.6328125" style="58" bestFit="1" customWidth="1"/>
    <col min="4875" max="4875" width="11.36328125" style="58" customWidth="1"/>
    <col min="4876" max="4876" width="5.54296875" style="58" customWidth="1"/>
    <col min="4877" max="4877" width="6.08984375" style="58" customWidth="1"/>
    <col min="4878" max="5120" width="8.90625" style="58"/>
    <col min="5121" max="5121" width="25.36328125" style="58" customWidth="1"/>
    <col min="5122" max="5122" width="3.90625" style="58" bestFit="1" customWidth="1"/>
    <col min="5123" max="5123" width="4.08984375" style="58" bestFit="1" customWidth="1"/>
    <col min="5124" max="5124" width="4.36328125" style="58" bestFit="1" customWidth="1"/>
    <col min="5125" max="5125" width="6.36328125" style="58" bestFit="1" customWidth="1"/>
    <col min="5126" max="5126" width="11.08984375" style="58" customWidth="1"/>
    <col min="5127" max="5127" width="10.90625" style="58" customWidth="1"/>
    <col min="5128" max="5128" width="4.36328125" style="58" bestFit="1" customWidth="1"/>
    <col min="5129" max="5129" width="3.453125" style="58" bestFit="1" customWidth="1"/>
    <col min="5130" max="5130" width="3.6328125" style="58" bestFit="1" customWidth="1"/>
    <col min="5131" max="5131" width="11.36328125" style="58" customWidth="1"/>
    <col min="5132" max="5132" width="5.54296875" style="58" customWidth="1"/>
    <col min="5133" max="5133" width="6.08984375" style="58" customWidth="1"/>
    <col min="5134" max="5376" width="8.90625" style="58"/>
    <col min="5377" max="5377" width="25.36328125" style="58" customWidth="1"/>
    <col min="5378" max="5378" width="3.90625" style="58" bestFit="1" customWidth="1"/>
    <col min="5379" max="5379" width="4.08984375" style="58" bestFit="1" customWidth="1"/>
    <col min="5380" max="5380" width="4.36328125" style="58" bestFit="1" customWidth="1"/>
    <col min="5381" max="5381" width="6.36328125" style="58" bestFit="1" customWidth="1"/>
    <col min="5382" max="5382" width="11.08984375" style="58" customWidth="1"/>
    <col min="5383" max="5383" width="10.90625" style="58" customWidth="1"/>
    <col min="5384" max="5384" width="4.36328125" style="58" bestFit="1" customWidth="1"/>
    <col min="5385" max="5385" width="3.453125" style="58" bestFit="1" customWidth="1"/>
    <col min="5386" max="5386" width="3.6328125" style="58" bestFit="1" customWidth="1"/>
    <col min="5387" max="5387" width="11.36328125" style="58" customWidth="1"/>
    <col min="5388" max="5388" width="5.54296875" style="58" customWidth="1"/>
    <col min="5389" max="5389" width="6.08984375" style="58" customWidth="1"/>
    <col min="5390" max="5632" width="8.90625" style="58"/>
    <col min="5633" max="5633" width="25.36328125" style="58" customWidth="1"/>
    <col min="5634" max="5634" width="3.90625" style="58" bestFit="1" customWidth="1"/>
    <col min="5635" max="5635" width="4.08984375" style="58" bestFit="1" customWidth="1"/>
    <col min="5636" max="5636" width="4.36328125" style="58" bestFit="1" customWidth="1"/>
    <col min="5637" max="5637" width="6.36328125" style="58" bestFit="1" customWidth="1"/>
    <col min="5638" max="5638" width="11.08984375" style="58" customWidth="1"/>
    <col min="5639" max="5639" width="10.90625" style="58" customWidth="1"/>
    <col min="5640" max="5640" width="4.36328125" style="58" bestFit="1" customWidth="1"/>
    <col min="5641" max="5641" width="3.453125" style="58" bestFit="1" customWidth="1"/>
    <col min="5642" max="5642" width="3.6328125" style="58" bestFit="1" customWidth="1"/>
    <col min="5643" max="5643" width="11.36328125" style="58" customWidth="1"/>
    <col min="5644" max="5644" width="5.54296875" style="58" customWidth="1"/>
    <col min="5645" max="5645" width="6.08984375" style="58" customWidth="1"/>
    <col min="5646" max="5888" width="8.90625" style="58"/>
    <col min="5889" max="5889" width="25.36328125" style="58" customWidth="1"/>
    <col min="5890" max="5890" width="3.90625" style="58" bestFit="1" customWidth="1"/>
    <col min="5891" max="5891" width="4.08984375" style="58" bestFit="1" customWidth="1"/>
    <col min="5892" max="5892" width="4.36328125" style="58" bestFit="1" customWidth="1"/>
    <col min="5893" max="5893" width="6.36328125" style="58" bestFit="1" customWidth="1"/>
    <col min="5894" max="5894" width="11.08984375" style="58" customWidth="1"/>
    <col min="5895" max="5895" width="10.90625" style="58" customWidth="1"/>
    <col min="5896" max="5896" width="4.36328125" style="58" bestFit="1" customWidth="1"/>
    <col min="5897" max="5897" width="3.453125" style="58" bestFit="1" customWidth="1"/>
    <col min="5898" max="5898" width="3.6328125" style="58" bestFit="1" customWidth="1"/>
    <col min="5899" max="5899" width="11.36328125" style="58" customWidth="1"/>
    <col min="5900" max="5900" width="5.54296875" style="58" customWidth="1"/>
    <col min="5901" max="5901" width="6.08984375" style="58" customWidth="1"/>
    <col min="5902" max="6144" width="8.90625" style="58"/>
    <col min="6145" max="6145" width="25.36328125" style="58" customWidth="1"/>
    <col min="6146" max="6146" width="3.90625" style="58" bestFit="1" customWidth="1"/>
    <col min="6147" max="6147" width="4.08984375" style="58" bestFit="1" customWidth="1"/>
    <col min="6148" max="6148" width="4.36328125" style="58" bestFit="1" customWidth="1"/>
    <col min="6149" max="6149" width="6.36328125" style="58" bestFit="1" customWidth="1"/>
    <col min="6150" max="6150" width="11.08984375" style="58" customWidth="1"/>
    <col min="6151" max="6151" width="10.90625" style="58" customWidth="1"/>
    <col min="6152" max="6152" width="4.36328125" style="58" bestFit="1" customWidth="1"/>
    <col min="6153" max="6153" width="3.453125" style="58" bestFit="1" customWidth="1"/>
    <col min="6154" max="6154" width="3.6328125" style="58" bestFit="1" customWidth="1"/>
    <col min="6155" max="6155" width="11.36328125" style="58" customWidth="1"/>
    <col min="6156" max="6156" width="5.54296875" style="58" customWidth="1"/>
    <col min="6157" max="6157" width="6.08984375" style="58" customWidth="1"/>
    <col min="6158" max="6400" width="8.90625" style="58"/>
    <col min="6401" max="6401" width="25.36328125" style="58" customWidth="1"/>
    <col min="6402" max="6402" width="3.90625" style="58" bestFit="1" customWidth="1"/>
    <col min="6403" max="6403" width="4.08984375" style="58" bestFit="1" customWidth="1"/>
    <col min="6404" max="6404" width="4.36328125" style="58" bestFit="1" customWidth="1"/>
    <col min="6405" max="6405" width="6.36328125" style="58" bestFit="1" customWidth="1"/>
    <col min="6406" max="6406" width="11.08984375" style="58" customWidth="1"/>
    <col min="6407" max="6407" width="10.90625" style="58" customWidth="1"/>
    <col min="6408" max="6408" width="4.36328125" style="58" bestFit="1" customWidth="1"/>
    <col min="6409" max="6409" width="3.453125" style="58" bestFit="1" customWidth="1"/>
    <col min="6410" max="6410" width="3.6328125" style="58" bestFit="1" customWidth="1"/>
    <col min="6411" max="6411" width="11.36328125" style="58" customWidth="1"/>
    <col min="6412" max="6412" width="5.54296875" style="58" customWidth="1"/>
    <col min="6413" max="6413" width="6.08984375" style="58" customWidth="1"/>
    <col min="6414" max="6656" width="8.90625" style="58"/>
    <col min="6657" max="6657" width="25.36328125" style="58" customWidth="1"/>
    <col min="6658" max="6658" width="3.90625" style="58" bestFit="1" customWidth="1"/>
    <col min="6659" max="6659" width="4.08984375" style="58" bestFit="1" customWidth="1"/>
    <col min="6660" max="6660" width="4.36328125" style="58" bestFit="1" customWidth="1"/>
    <col min="6661" max="6661" width="6.36328125" style="58" bestFit="1" customWidth="1"/>
    <col min="6662" max="6662" width="11.08984375" style="58" customWidth="1"/>
    <col min="6663" max="6663" width="10.90625" style="58" customWidth="1"/>
    <col min="6664" max="6664" width="4.36328125" style="58" bestFit="1" customWidth="1"/>
    <col min="6665" max="6665" width="3.453125" style="58" bestFit="1" customWidth="1"/>
    <col min="6666" max="6666" width="3.6328125" style="58" bestFit="1" customWidth="1"/>
    <col min="6667" max="6667" width="11.36328125" style="58" customWidth="1"/>
    <col min="6668" max="6668" width="5.54296875" style="58" customWidth="1"/>
    <col min="6669" max="6669" width="6.08984375" style="58" customWidth="1"/>
    <col min="6670" max="6912" width="8.90625" style="58"/>
    <col min="6913" max="6913" width="25.36328125" style="58" customWidth="1"/>
    <col min="6914" max="6914" width="3.90625" style="58" bestFit="1" customWidth="1"/>
    <col min="6915" max="6915" width="4.08984375" style="58" bestFit="1" customWidth="1"/>
    <col min="6916" max="6916" width="4.36328125" style="58" bestFit="1" customWidth="1"/>
    <col min="6917" max="6917" width="6.36328125" style="58" bestFit="1" customWidth="1"/>
    <col min="6918" max="6918" width="11.08984375" style="58" customWidth="1"/>
    <col min="6919" max="6919" width="10.90625" style="58" customWidth="1"/>
    <col min="6920" max="6920" width="4.36328125" style="58" bestFit="1" customWidth="1"/>
    <col min="6921" max="6921" width="3.453125" style="58" bestFit="1" customWidth="1"/>
    <col min="6922" max="6922" width="3.6328125" style="58" bestFit="1" customWidth="1"/>
    <col min="6923" max="6923" width="11.36328125" style="58" customWidth="1"/>
    <col min="6924" max="6924" width="5.54296875" style="58" customWidth="1"/>
    <col min="6925" max="6925" width="6.08984375" style="58" customWidth="1"/>
    <col min="6926" max="7168" width="8.90625" style="58"/>
    <col min="7169" max="7169" width="25.36328125" style="58" customWidth="1"/>
    <col min="7170" max="7170" width="3.90625" style="58" bestFit="1" customWidth="1"/>
    <col min="7171" max="7171" width="4.08984375" style="58" bestFit="1" customWidth="1"/>
    <col min="7172" max="7172" width="4.36328125" style="58" bestFit="1" customWidth="1"/>
    <col min="7173" max="7173" width="6.36328125" style="58" bestFit="1" customWidth="1"/>
    <col min="7174" max="7174" width="11.08984375" style="58" customWidth="1"/>
    <col min="7175" max="7175" width="10.90625" style="58" customWidth="1"/>
    <col min="7176" max="7176" width="4.36328125" style="58" bestFit="1" customWidth="1"/>
    <col min="7177" max="7177" width="3.453125" style="58" bestFit="1" customWidth="1"/>
    <col min="7178" max="7178" width="3.6328125" style="58" bestFit="1" customWidth="1"/>
    <col min="7179" max="7179" width="11.36328125" style="58" customWidth="1"/>
    <col min="7180" max="7180" width="5.54296875" style="58" customWidth="1"/>
    <col min="7181" max="7181" width="6.08984375" style="58" customWidth="1"/>
    <col min="7182" max="7424" width="8.90625" style="58"/>
    <col min="7425" max="7425" width="25.36328125" style="58" customWidth="1"/>
    <col min="7426" max="7426" width="3.90625" style="58" bestFit="1" customWidth="1"/>
    <col min="7427" max="7427" width="4.08984375" style="58" bestFit="1" customWidth="1"/>
    <col min="7428" max="7428" width="4.36328125" style="58" bestFit="1" customWidth="1"/>
    <col min="7429" max="7429" width="6.36328125" style="58" bestFit="1" customWidth="1"/>
    <col min="7430" max="7430" width="11.08984375" style="58" customWidth="1"/>
    <col min="7431" max="7431" width="10.90625" style="58" customWidth="1"/>
    <col min="7432" max="7432" width="4.36328125" style="58" bestFit="1" customWidth="1"/>
    <col min="7433" max="7433" width="3.453125" style="58" bestFit="1" customWidth="1"/>
    <col min="7434" max="7434" width="3.6328125" style="58" bestFit="1" customWidth="1"/>
    <col min="7435" max="7435" width="11.36328125" style="58" customWidth="1"/>
    <col min="7436" max="7436" width="5.54296875" style="58" customWidth="1"/>
    <col min="7437" max="7437" width="6.08984375" style="58" customWidth="1"/>
    <col min="7438" max="7680" width="8.90625" style="58"/>
    <col min="7681" max="7681" width="25.36328125" style="58" customWidth="1"/>
    <col min="7682" max="7682" width="3.90625" style="58" bestFit="1" customWidth="1"/>
    <col min="7683" max="7683" width="4.08984375" style="58" bestFit="1" customWidth="1"/>
    <col min="7684" max="7684" width="4.36328125" style="58" bestFit="1" customWidth="1"/>
    <col min="7685" max="7685" width="6.36328125" style="58" bestFit="1" customWidth="1"/>
    <col min="7686" max="7686" width="11.08984375" style="58" customWidth="1"/>
    <col min="7687" max="7687" width="10.90625" style="58" customWidth="1"/>
    <col min="7688" max="7688" width="4.36328125" style="58" bestFit="1" customWidth="1"/>
    <col min="7689" max="7689" width="3.453125" style="58" bestFit="1" customWidth="1"/>
    <col min="7690" max="7690" width="3.6328125" style="58" bestFit="1" customWidth="1"/>
    <col min="7691" max="7691" width="11.36328125" style="58" customWidth="1"/>
    <col min="7692" max="7692" width="5.54296875" style="58" customWidth="1"/>
    <col min="7693" max="7693" width="6.08984375" style="58" customWidth="1"/>
    <col min="7694" max="7936" width="8.90625" style="58"/>
    <col min="7937" max="7937" width="25.36328125" style="58" customWidth="1"/>
    <col min="7938" max="7938" width="3.90625" style="58" bestFit="1" customWidth="1"/>
    <col min="7939" max="7939" width="4.08984375" style="58" bestFit="1" customWidth="1"/>
    <col min="7940" max="7940" width="4.36328125" style="58" bestFit="1" customWidth="1"/>
    <col min="7941" max="7941" width="6.36328125" style="58" bestFit="1" customWidth="1"/>
    <col min="7942" max="7942" width="11.08984375" style="58" customWidth="1"/>
    <col min="7943" max="7943" width="10.90625" style="58" customWidth="1"/>
    <col min="7944" max="7944" width="4.36328125" style="58" bestFit="1" customWidth="1"/>
    <col min="7945" max="7945" width="3.453125" style="58" bestFit="1" customWidth="1"/>
    <col min="7946" max="7946" width="3.6328125" style="58" bestFit="1" customWidth="1"/>
    <col min="7947" max="7947" width="11.36328125" style="58" customWidth="1"/>
    <col min="7948" max="7948" width="5.54296875" style="58" customWidth="1"/>
    <col min="7949" max="7949" width="6.08984375" style="58" customWidth="1"/>
    <col min="7950" max="8192" width="8.90625" style="58"/>
    <col min="8193" max="8193" width="25.36328125" style="58" customWidth="1"/>
    <col min="8194" max="8194" width="3.90625" style="58" bestFit="1" customWidth="1"/>
    <col min="8195" max="8195" width="4.08984375" style="58" bestFit="1" customWidth="1"/>
    <col min="8196" max="8196" width="4.36328125" style="58" bestFit="1" customWidth="1"/>
    <col min="8197" max="8197" width="6.36328125" style="58" bestFit="1" customWidth="1"/>
    <col min="8198" max="8198" width="11.08984375" style="58" customWidth="1"/>
    <col min="8199" max="8199" width="10.90625" style="58" customWidth="1"/>
    <col min="8200" max="8200" width="4.36328125" style="58" bestFit="1" customWidth="1"/>
    <col min="8201" max="8201" width="3.453125" style="58" bestFit="1" customWidth="1"/>
    <col min="8202" max="8202" width="3.6328125" style="58" bestFit="1" customWidth="1"/>
    <col min="8203" max="8203" width="11.36328125" style="58" customWidth="1"/>
    <col min="8204" max="8204" width="5.54296875" style="58" customWidth="1"/>
    <col min="8205" max="8205" width="6.08984375" style="58" customWidth="1"/>
    <col min="8206" max="8448" width="8.90625" style="58"/>
    <col min="8449" max="8449" width="25.36328125" style="58" customWidth="1"/>
    <col min="8450" max="8450" width="3.90625" style="58" bestFit="1" customWidth="1"/>
    <col min="8451" max="8451" width="4.08984375" style="58" bestFit="1" customWidth="1"/>
    <col min="8452" max="8452" width="4.36328125" style="58" bestFit="1" customWidth="1"/>
    <col min="8453" max="8453" width="6.36328125" style="58" bestFit="1" customWidth="1"/>
    <col min="8454" max="8454" width="11.08984375" style="58" customWidth="1"/>
    <col min="8455" max="8455" width="10.90625" style="58" customWidth="1"/>
    <col min="8456" max="8456" width="4.36328125" style="58" bestFit="1" customWidth="1"/>
    <col min="8457" max="8457" width="3.453125" style="58" bestFit="1" customWidth="1"/>
    <col min="8458" max="8458" width="3.6328125" style="58" bestFit="1" customWidth="1"/>
    <col min="8459" max="8459" width="11.36328125" style="58" customWidth="1"/>
    <col min="8460" max="8460" width="5.54296875" style="58" customWidth="1"/>
    <col min="8461" max="8461" width="6.08984375" style="58" customWidth="1"/>
    <col min="8462" max="8704" width="8.90625" style="58"/>
    <col min="8705" max="8705" width="25.36328125" style="58" customWidth="1"/>
    <col min="8706" max="8706" width="3.90625" style="58" bestFit="1" customWidth="1"/>
    <col min="8707" max="8707" width="4.08984375" style="58" bestFit="1" customWidth="1"/>
    <col min="8708" max="8708" width="4.36328125" style="58" bestFit="1" customWidth="1"/>
    <col min="8709" max="8709" width="6.36328125" style="58" bestFit="1" customWidth="1"/>
    <col min="8710" max="8710" width="11.08984375" style="58" customWidth="1"/>
    <col min="8711" max="8711" width="10.90625" style="58" customWidth="1"/>
    <col min="8712" max="8712" width="4.36328125" style="58" bestFit="1" customWidth="1"/>
    <col min="8713" max="8713" width="3.453125" style="58" bestFit="1" customWidth="1"/>
    <col min="8714" max="8714" width="3.6328125" style="58" bestFit="1" customWidth="1"/>
    <col min="8715" max="8715" width="11.36328125" style="58" customWidth="1"/>
    <col min="8716" max="8716" width="5.54296875" style="58" customWidth="1"/>
    <col min="8717" max="8717" width="6.08984375" style="58" customWidth="1"/>
    <col min="8718" max="8960" width="8.90625" style="58"/>
    <col min="8961" max="8961" width="25.36328125" style="58" customWidth="1"/>
    <col min="8962" max="8962" width="3.90625" style="58" bestFit="1" customWidth="1"/>
    <col min="8963" max="8963" width="4.08984375" style="58" bestFit="1" customWidth="1"/>
    <col min="8964" max="8964" width="4.36328125" style="58" bestFit="1" customWidth="1"/>
    <col min="8965" max="8965" width="6.36328125" style="58" bestFit="1" customWidth="1"/>
    <col min="8966" max="8966" width="11.08984375" style="58" customWidth="1"/>
    <col min="8967" max="8967" width="10.90625" style="58" customWidth="1"/>
    <col min="8968" max="8968" width="4.36328125" style="58" bestFit="1" customWidth="1"/>
    <col min="8969" max="8969" width="3.453125" style="58" bestFit="1" customWidth="1"/>
    <col min="8970" max="8970" width="3.6328125" style="58" bestFit="1" customWidth="1"/>
    <col min="8971" max="8971" width="11.36328125" style="58" customWidth="1"/>
    <col min="8972" max="8972" width="5.54296875" style="58" customWidth="1"/>
    <col min="8973" max="8973" width="6.08984375" style="58" customWidth="1"/>
    <col min="8974" max="9216" width="8.90625" style="58"/>
    <col min="9217" max="9217" width="25.36328125" style="58" customWidth="1"/>
    <col min="9218" max="9218" width="3.90625" style="58" bestFit="1" customWidth="1"/>
    <col min="9219" max="9219" width="4.08984375" style="58" bestFit="1" customWidth="1"/>
    <col min="9220" max="9220" width="4.36328125" style="58" bestFit="1" customWidth="1"/>
    <col min="9221" max="9221" width="6.36328125" style="58" bestFit="1" customWidth="1"/>
    <col min="9222" max="9222" width="11.08984375" style="58" customWidth="1"/>
    <col min="9223" max="9223" width="10.90625" style="58" customWidth="1"/>
    <col min="9224" max="9224" width="4.36328125" style="58" bestFit="1" customWidth="1"/>
    <col min="9225" max="9225" width="3.453125" style="58" bestFit="1" customWidth="1"/>
    <col min="9226" max="9226" width="3.6328125" style="58" bestFit="1" customWidth="1"/>
    <col min="9227" max="9227" width="11.36328125" style="58" customWidth="1"/>
    <col min="9228" max="9228" width="5.54296875" style="58" customWidth="1"/>
    <col min="9229" max="9229" width="6.08984375" style="58" customWidth="1"/>
    <col min="9230" max="9472" width="8.90625" style="58"/>
    <col min="9473" max="9473" width="25.36328125" style="58" customWidth="1"/>
    <col min="9474" max="9474" width="3.90625" style="58" bestFit="1" customWidth="1"/>
    <col min="9475" max="9475" width="4.08984375" style="58" bestFit="1" customWidth="1"/>
    <col min="9476" max="9476" width="4.36328125" style="58" bestFit="1" customWidth="1"/>
    <col min="9477" max="9477" width="6.36328125" style="58" bestFit="1" customWidth="1"/>
    <col min="9478" max="9478" width="11.08984375" style="58" customWidth="1"/>
    <col min="9479" max="9479" width="10.90625" style="58" customWidth="1"/>
    <col min="9480" max="9480" width="4.36328125" style="58" bestFit="1" customWidth="1"/>
    <col min="9481" max="9481" width="3.453125" style="58" bestFit="1" customWidth="1"/>
    <col min="9482" max="9482" width="3.6328125" style="58" bestFit="1" customWidth="1"/>
    <col min="9483" max="9483" width="11.36328125" style="58" customWidth="1"/>
    <col min="9484" max="9484" width="5.54296875" style="58" customWidth="1"/>
    <col min="9485" max="9485" width="6.08984375" style="58" customWidth="1"/>
    <col min="9486" max="9728" width="8.90625" style="58"/>
    <col min="9729" max="9729" width="25.36328125" style="58" customWidth="1"/>
    <col min="9730" max="9730" width="3.90625" style="58" bestFit="1" customWidth="1"/>
    <col min="9731" max="9731" width="4.08984375" style="58" bestFit="1" customWidth="1"/>
    <col min="9732" max="9732" width="4.36328125" style="58" bestFit="1" customWidth="1"/>
    <col min="9733" max="9733" width="6.36328125" style="58" bestFit="1" customWidth="1"/>
    <col min="9734" max="9734" width="11.08984375" style="58" customWidth="1"/>
    <col min="9735" max="9735" width="10.90625" style="58" customWidth="1"/>
    <col min="9736" max="9736" width="4.36328125" style="58" bestFit="1" customWidth="1"/>
    <col min="9737" max="9737" width="3.453125" style="58" bestFit="1" customWidth="1"/>
    <col min="9738" max="9738" width="3.6328125" style="58" bestFit="1" customWidth="1"/>
    <col min="9739" max="9739" width="11.36328125" style="58" customWidth="1"/>
    <col min="9740" max="9740" width="5.54296875" style="58" customWidth="1"/>
    <col min="9741" max="9741" width="6.08984375" style="58" customWidth="1"/>
    <col min="9742" max="9984" width="8.90625" style="58"/>
    <col min="9985" max="9985" width="25.36328125" style="58" customWidth="1"/>
    <col min="9986" max="9986" width="3.90625" style="58" bestFit="1" customWidth="1"/>
    <col min="9987" max="9987" width="4.08984375" style="58" bestFit="1" customWidth="1"/>
    <col min="9988" max="9988" width="4.36328125" style="58" bestFit="1" customWidth="1"/>
    <col min="9989" max="9989" width="6.36328125" style="58" bestFit="1" customWidth="1"/>
    <col min="9990" max="9990" width="11.08984375" style="58" customWidth="1"/>
    <col min="9991" max="9991" width="10.90625" style="58" customWidth="1"/>
    <col min="9992" max="9992" width="4.36328125" style="58" bestFit="1" customWidth="1"/>
    <col min="9993" max="9993" width="3.453125" style="58" bestFit="1" customWidth="1"/>
    <col min="9994" max="9994" width="3.6328125" style="58" bestFit="1" customWidth="1"/>
    <col min="9995" max="9995" width="11.36328125" style="58" customWidth="1"/>
    <col min="9996" max="9996" width="5.54296875" style="58" customWidth="1"/>
    <col min="9997" max="9997" width="6.08984375" style="58" customWidth="1"/>
    <col min="9998" max="10240" width="8.90625" style="58"/>
    <col min="10241" max="10241" width="25.36328125" style="58" customWidth="1"/>
    <col min="10242" max="10242" width="3.90625" style="58" bestFit="1" customWidth="1"/>
    <col min="10243" max="10243" width="4.08984375" style="58" bestFit="1" customWidth="1"/>
    <col min="10244" max="10244" width="4.36328125" style="58" bestFit="1" customWidth="1"/>
    <col min="10245" max="10245" width="6.36328125" style="58" bestFit="1" customWidth="1"/>
    <col min="10246" max="10246" width="11.08984375" style="58" customWidth="1"/>
    <col min="10247" max="10247" width="10.90625" style="58" customWidth="1"/>
    <col min="10248" max="10248" width="4.36328125" style="58" bestFit="1" customWidth="1"/>
    <col min="10249" max="10249" width="3.453125" style="58" bestFit="1" customWidth="1"/>
    <col min="10250" max="10250" width="3.6328125" style="58" bestFit="1" customWidth="1"/>
    <col min="10251" max="10251" width="11.36328125" style="58" customWidth="1"/>
    <col min="10252" max="10252" width="5.54296875" style="58" customWidth="1"/>
    <col min="10253" max="10253" width="6.08984375" style="58" customWidth="1"/>
    <col min="10254" max="10496" width="8.90625" style="58"/>
    <col min="10497" max="10497" width="25.36328125" style="58" customWidth="1"/>
    <col min="10498" max="10498" width="3.90625" style="58" bestFit="1" customWidth="1"/>
    <col min="10499" max="10499" width="4.08984375" style="58" bestFit="1" customWidth="1"/>
    <col min="10500" max="10500" width="4.36328125" style="58" bestFit="1" customWidth="1"/>
    <col min="10501" max="10501" width="6.36328125" style="58" bestFit="1" customWidth="1"/>
    <col min="10502" max="10502" width="11.08984375" style="58" customWidth="1"/>
    <col min="10503" max="10503" width="10.90625" style="58" customWidth="1"/>
    <col min="10504" max="10504" width="4.36328125" style="58" bestFit="1" customWidth="1"/>
    <col min="10505" max="10505" width="3.453125" style="58" bestFit="1" customWidth="1"/>
    <col min="10506" max="10506" width="3.6328125" style="58" bestFit="1" customWidth="1"/>
    <col min="10507" max="10507" width="11.36328125" style="58" customWidth="1"/>
    <col min="10508" max="10508" width="5.54296875" style="58" customWidth="1"/>
    <col min="10509" max="10509" width="6.08984375" style="58" customWidth="1"/>
    <col min="10510" max="10752" width="8.90625" style="58"/>
    <col min="10753" max="10753" width="25.36328125" style="58" customWidth="1"/>
    <col min="10754" max="10754" width="3.90625" style="58" bestFit="1" customWidth="1"/>
    <col min="10755" max="10755" width="4.08984375" style="58" bestFit="1" customWidth="1"/>
    <col min="10756" max="10756" width="4.36328125" style="58" bestFit="1" customWidth="1"/>
    <col min="10757" max="10757" width="6.36328125" style="58" bestFit="1" customWidth="1"/>
    <col min="10758" max="10758" width="11.08984375" style="58" customWidth="1"/>
    <col min="10759" max="10759" width="10.90625" style="58" customWidth="1"/>
    <col min="10760" max="10760" width="4.36328125" style="58" bestFit="1" customWidth="1"/>
    <col min="10761" max="10761" width="3.453125" style="58" bestFit="1" customWidth="1"/>
    <col min="10762" max="10762" width="3.6328125" style="58" bestFit="1" customWidth="1"/>
    <col min="10763" max="10763" width="11.36328125" style="58" customWidth="1"/>
    <col min="10764" max="10764" width="5.54296875" style="58" customWidth="1"/>
    <col min="10765" max="10765" width="6.08984375" style="58" customWidth="1"/>
    <col min="10766" max="11008" width="8.90625" style="58"/>
    <col min="11009" max="11009" width="25.36328125" style="58" customWidth="1"/>
    <col min="11010" max="11010" width="3.90625" style="58" bestFit="1" customWidth="1"/>
    <col min="11011" max="11011" width="4.08984375" style="58" bestFit="1" customWidth="1"/>
    <col min="11012" max="11012" width="4.36328125" style="58" bestFit="1" customWidth="1"/>
    <col min="11013" max="11013" width="6.36328125" style="58" bestFit="1" customWidth="1"/>
    <col min="11014" max="11014" width="11.08984375" style="58" customWidth="1"/>
    <col min="11015" max="11015" width="10.90625" style="58" customWidth="1"/>
    <col min="11016" max="11016" width="4.36328125" style="58" bestFit="1" customWidth="1"/>
    <col min="11017" max="11017" width="3.453125" style="58" bestFit="1" customWidth="1"/>
    <col min="11018" max="11018" width="3.6328125" style="58" bestFit="1" customWidth="1"/>
    <col min="11019" max="11019" width="11.36328125" style="58" customWidth="1"/>
    <col min="11020" max="11020" width="5.54296875" style="58" customWidth="1"/>
    <col min="11021" max="11021" width="6.08984375" style="58" customWidth="1"/>
    <col min="11022" max="11264" width="8.90625" style="58"/>
    <col min="11265" max="11265" width="25.36328125" style="58" customWidth="1"/>
    <col min="11266" max="11266" width="3.90625" style="58" bestFit="1" customWidth="1"/>
    <col min="11267" max="11267" width="4.08984375" style="58" bestFit="1" customWidth="1"/>
    <col min="11268" max="11268" width="4.36328125" style="58" bestFit="1" customWidth="1"/>
    <col min="11269" max="11269" width="6.36328125" style="58" bestFit="1" customWidth="1"/>
    <col min="11270" max="11270" width="11.08984375" style="58" customWidth="1"/>
    <col min="11271" max="11271" width="10.90625" style="58" customWidth="1"/>
    <col min="11272" max="11272" width="4.36328125" style="58" bestFit="1" customWidth="1"/>
    <col min="11273" max="11273" width="3.453125" style="58" bestFit="1" customWidth="1"/>
    <col min="11274" max="11274" width="3.6328125" style="58" bestFit="1" customWidth="1"/>
    <col min="11275" max="11275" width="11.36328125" style="58" customWidth="1"/>
    <col min="11276" max="11276" width="5.54296875" style="58" customWidth="1"/>
    <col min="11277" max="11277" width="6.08984375" style="58" customWidth="1"/>
    <col min="11278" max="11520" width="8.90625" style="58"/>
    <col min="11521" max="11521" width="25.36328125" style="58" customWidth="1"/>
    <col min="11522" max="11522" width="3.90625" style="58" bestFit="1" customWidth="1"/>
    <col min="11523" max="11523" width="4.08984375" style="58" bestFit="1" customWidth="1"/>
    <col min="11524" max="11524" width="4.36328125" style="58" bestFit="1" customWidth="1"/>
    <col min="11525" max="11525" width="6.36328125" style="58" bestFit="1" customWidth="1"/>
    <col min="11526" max="11526" width="11.08984375" style="58" customWidth="1"/>
    <col min="11527" max="11527" width="10.90625" style="58" customWidth="1"/>
    <col min="11528" max="11528" width="4.36328125" style="58" bestFit="1" customWidth="1"/>
    <col min="11529" max="11529" width="3.453125" style="58" bestFit="1" customWidth="1"/>
    <col min="11530" max="11530" width="3.6328125" style="58" bestFit="1" customWidth="1"/>
    <col min="11531" max="11531" width="11.36328125" style="58" customWidth="1"/>
    <col min="11532" max="11532" width="5.54296875" style="58" customWidth="1"/>
    <col min="11533" max="11533" width="6.08984375" style="58" customWidth="1"/>
    <col min="11534" max="11776" width="8.90625" style="58"/>
    <col min="11777" max="11777" width="25.36328125" style="58" customWidth="1"/>
    <col min="11778" max="11778" width="3.90625" style="58" bestFit="1" customWidth="1"/>
    <col min="11779" max="11779" width="4.08984375" style="58" bestFit="1" customWidth="1"/>
    <col min="11780" max="11780" width="4.36328125" style="58" bestFit="1" customWidth="1"/>
    <col min="11781" max="11781" width="6.36328125" style="58" bestFit="1" customWidth="1"/>
    <col min="11782" max="11782" width="11.08984375" style="58" customWidth="1"/>
    <col min="11783" max="11783" width="10.90625" style="58" customWidth="1"/>
    <col min="11784" max="11784" width="4.36328125" style="58" bestFit="1" customWidth="1"/>
    <col min="11785" max="11785" width="3.453125" style="58" bestFit="1" customWidth="1"/>
    <col min="11786" max="11786" width="3.6328125" style="58" bestFit="1" customWidth="1"/>
    <col min="11787" max="11787" width="11.36328125" style="58" customWidth="1"/>
    <col min="11788" max="11788" width="5.54296875" style="58" customWidth="1"/>
    <col min="11789" max="11789" width="6.08984375" style="58" customWidth="1"/>
    <col min="11790" max="12032" width="8.90625" style="58"/>
    <col min="12033" max="12033" width="25.36328125" style="58" customWidth="1"/>
    <col min="12034" max="12034" width="3.90625" style="58" bestFit="1" customWidth="1"/>
    <col min="12035" max="12035" width="4.08984375" style="58" bestFit="1" customWidth="1"/>
    <col min="12036" max="12036" width="4.36328125" style="58" bestFit="1" customWidth="1"/>
    <col min="12037" max="12037" width="6.36328125" style="58" bestFit="1" customWidth="1"/>
    <col min="12038" max="12038" width="11.08984375" style="58" customWidth="1"/>
    <col min="12039" max="12039" width="10.90625" style="58" customWidth="1"/>
    <col min="12040" max="12040" width="4.36328125" style="58" bestFit="1" customWidth="1"/>
    <col min="12041" max="12041" width="3.453125" style="58" bestFit="1" customWidth="1"/>
    <col min="12042" max="12042" width="3.6328125" style="58" bestFit="1" customWidth="1"/>
    <col min="12043" max="12043" width="11.36328125" style="58" customWidth="1"/>
    <col min="12044" max="12044" width="5.54296875" style="58" customWidth="1"/>
    <col min="12045" max="12045" width="6.08984375" style="58" customWidth="1"/>
    <col min="12046" max="12288" width="8.90625" style="58"/>
    <col min="12289" max="12289" width="25.36328125" style="58" customWidth="1"/>
    <col min="12290" max="12290" width="3.90625" style="58" bestFit="1" customWidth="1"/>
    <col min="12291" max="12291" width="4.08984375" style="58" bestFit="1" customWidth="1"/>
    <col min="12292" max="12292" width="4.36328125" style="58" bestFit="1" customWidth="1"/>
    <col min="12293" max="12293" width="6.36328125" style="58" bestFit="1" customWidth="1"/>
    <col min="12294" max="12294" width="11.08984375" style="58" customWidth="1"/>
    <col min="12295" max="12295" width="10.90625" style="58" customWidth="1"/>
    <col min="12296" max="12296" width="4.36328125" style="58" bestFit="1" customWidth="1"/>
    <col min="12297" max="12297" width="3.453125" style="58" bestFit="1" customWidth="1"/>
    <col min="12298" max="12298" width="3.6328125" style="58" bestFit="1" customWidth="1"/>
    <col min="12299" max="12299" width="11.36328125" style="58" customWidth="1"/>
    <col min="12300" max="12300" width="5.54296875" style="58" customWidth="1"/>
    <col min="12301" max="12301" width="6.08984375" style="58" customWidth="1"/>
    <col min="12302" max="12544" width="8.90625" style="58"/>
    <col min="12545" max="12545" width="25.36328125" style="58" customWidth="1"/>
    <col min="12546" max="12546" width="3.90625" style="58" bestFit="1" customWidth="1"/>
    <col min="12547" max="12547" width="4.08984375" style="58" bestFit="1" customWidth="1"/>
    <col min="12548" max="12548" width="4.36328125" style="58" bestFit="1" customWidth="1"/>
    <col min="12549" max="12549" width="6.36328125" style="58" bestFit="1" customWidth="1"/>
    <col min="12550" max="12550" width="11.08984375" style="58" customWidth="1"/>
    <col min="12551" max="12551" width="10.90625" style="58" customWidth="1"/>
    <col min="12552" max="12552" width="4.36328125" style="58" bestFit="1" customWidth="1"/>
    <col min="12553" max="12553" width="3.453125" style="58" bestFit="1" customWidth="1"/>
    <col min="12554" max="12554" width="3.6328125" style="58" bestFit="1" customWidth="1"/>
    <col min="12555" max="12555" width="11.36328125" style="58" customWidth="1"/>
    <col min="12556" max="12556" width="5.54296875" style="58" customWidth="1"/>
    <col min="12557" max="12557" width="6.08984375" style="58" customWidth="1"/>
    <col min="12558" max="12800" width="8.90625" style="58"/>
    <col min="12801" max="12801" width="25.36328125" style="58" customWidth="1"/>
    <col min="12802" max="12802" width="3.90625" style="58" bestFit="1" customWidth="1"/>
    <col min="12803" max="12803" width="4.08984375" style="58" bestFit="1" customWidth="1"/>
    <col min="12804" max="12804" width="4.36328125" style="58" bestFit="1" customWidth="1"/>
    <col min="12805" max="12805" width="6.36328125" style="58" bestFit="1" customWidth="1"/>
    <col min="12806" max="12806" width="11.08984375" style="58" customWidth="1"/>
    <col min="12807" max="12807" width="10.90625" style="58" customWidth="1"/>
    <col min="12808" max="12808" width="4.36328125" style="58" bestFit="1" customWidth="1"/>
    <col min="12809" max="12809" width="3.453125" style="58" bestFit="1" customWidth="1"/>
    <col min="12810" max="12810" width="3.6328125" style="58" bestFit="1" customWidth="1"/>
    <col min="12811" max="12811" width="11.36328125" style="58" customWidth="1"/>
    <col min="12812" max="12812" width="5.54296875" style="58" customWidth="1"/>
    <col min="12813" max="12813" width="6.08984375" style="58" customWidth="1"/>
    <col min="12814" max="13056" width="8.90625" style="58"/>
    <col min="13057" max="13057" width="25.36328125" style="58" customWidth="1"/>
    <col min="13058" max="13058" width="3.90625" style="58" bestFit="1" customWidth="1"/>
    <col min="13059" max="13059" width="4.08984375" style="58" bestFit="1" customWidth="1"/>
    <col min="13060" max="13060" width="4.36328125" style="58" bestFit="1" customWidth="1"/>
    <col min="13061" max="13061" width="6.36328125" style="58" bestFit="1" customWidth="1"/>
    <col min="13062" max="13062" width="11.08984375" style="58" customWidth="1"/>
    <col min="13063" max="13063" width="10.90625" style="58" customWidth="1"/>
    <col min="13064" max="13064" width="4.36328125" style="58" bestFit="1" customWidth="1"/>
    <col min="13065" max="13065" width="3.453125" style="58" bestFit="1" customWidth="1"/>
    <col min="13066" max="13066" width="3.6328125" style="58" bestFit="1" customWidth="1"/>
    <col min="13067" max="13067" width="11.36328125" style="58" customWidth="1"/>
    <col min="13068" max="13068" width="5.54296875" style="58" customWidth="1"/>
    <col min="13069" max="13069" width="6.08984375" style="58" customWidth="1"/>
    <col min="13070" max="13312" width="8.90625" style="58"/>
    <col min="13313" max="13313" width="25.36328125" style="58" customWidth="1"/>
    <col min="13314" max="13314" width="3.90625" style="58" bestFit="1" customWidth="1"/>
    <col min="13315" max="13315" width="4.08984375" style="58" bestFit="1" customWidth="1"/>
    <col min="13316" max="13316" width="4.36328125" style="58" bestFit="1" customWidth="1"/>
    <col min="13317" max="13317" width="6.36328125" style="58" bestFit="1" customWidth="1"/>
    <col min="13318" max="13318" width="11.08984375" style="58" customWidth="1"/>
    <col min="13319" max="13319" width="10.90625" style="58" customWidth="1"/>
    <col min="13320" max="13320" width="4.36328125" style="58" bestFit="1" customWidth="1"/>
    <col min="13321" max="13321" width="3.453125" style="58" bestFit="1" customWidth="1"/>
    <col min="13322" max="13322" width="3.6328125" style="58" bestFit="1" customWidth="1"/>
    <col min="13323" max="13323" width="11.36328125" style="58" customWidth="1"/>
    <col min="13324" max="13324" width="5.54296875" style="58" customWidth="1"/>
    <col min="13325" max="13325" width="6.08984375" style="58" customWidth="1"/>
    <col min="13326" max="13568" width="8.90625" style="58"/>
    <col min="13569" max="13569" width="25.36328125" style="58" customWidth="1"/>
    <col min="13570" max="13570" width="3.90625" style="58" bestFit="1" customWidth="1"/>
    <col min="13571" max="13571" width="4.08984375" style="58" bestFit="1" customWidth="1"/>
    <col min="13572" max="13572" width="4.36328125" style="58" bestFit="1" customWidth="1"/>
    <col min="13573" max="13573" width="6.36328125" style="58" bestFit="1" customWidth="1"/>
    <col min="13574" max="13574" width="11.08984375" style="58" customWidth="1"/>
    <col min="13575" max="13575" width="10.90625" style="58" customWidth="1"/>
    <col min="13576" max="13576" width="4.36328125" style="58" bestFit="1" customWidth="1"/>
    <col min="13577" max="13577" width="3.453125" style="58" bestFit="1" customWidth="1"/>
    <col min="13578" max="13578" width="3.6328125" style="58" bestFit="1" customWidth="1"/>
    <col min="13579" max="13579" width="11.36328125" style="58" customWidth="1"/>
    <col min="13580" max="13580" width="5.54296875" style="58" customWidth="1"/>
    <col min="13581" max="13581" width="6.08984375" style="58" customWidth="1"/>
    <col min="13582" max="13824" width="8.90625" style="58"/>
    <col min="13825" max="13825" width="25.36328125" style="58" customWidth="1"/>
    <col min="13826" max="13826" width="3.90625" style="58" bestFit="1" customWidth="1"/>
    <col min="13827" max="13827" width="4.08984375" style="58" bestFit="1" customWidth="1"/>
    <col min="13828" max="13828" width="4.36328125" style="58" bestFit="1" customWidth="1"/>
    <col min="13829" max="13829" width="6.36328125" style="58" bestFit="1" customWidth="1"/>
    <col min="13830" max="13830" width="11.08984375" style="58" customWidth="1"/>
    <col min="13831" max="13831" width="10.90625" style="58" customWidth="1"/>
    <col min="13832" max="13832" width="4.36328125" style="58" bestFit="1" customWidth="1"/>
    <col min="13833" max="13833" width="3.453125" style="58" bestFit="1" customWidth="1"/>
    <col min="13834" max="13834" width="3.6328125" style="58" bestFit="1" customWidth="1"/>
    <col min="13835" max="13835" width="11.36328125" style="58" customWidth="1"/>
    <col min="13836" max="13836" width="5.54296875" style="58" customWidth="1"/>
    <col min="13837" max="13837" width="6.08984375" style="58" customWidth="1"/>
    <col min="13838" max="14080" width="8.90625" style="58"/>
    <col min="14081" max="14081" width="25.36328125" style="58" customWidth="1"/>
    <col min="14082" max="14082" width="3.90625" style="58" bestFit="1" customWidth="1"/>
    <col min="14083" max="14083" width="4.08984375" style="58" bestFit="1" customWidth="1"/>
    <col min="14084" max="14084" width="4.36328125" style="58" bestFit="1" customWidth="1"/>
    <col min="14085" max="14085" width="6.36328125" style="58" bestFit="1" customWidth="1"/>
    <col min="14086" max="14086" width="11.08984375" style="58" customWidth="1"/>
    <col min="14087" max="14087" width="10.90625" style="58" customWidth="1"/>
    <col min="14088" max="14088" width="4.36328125" style="58" bestFit="1" customWidth="1"/>
    <col min="14089" max="14089" width="3.453125" style="58" bestFit="1" customWidth="1"/>
    <col min="14090" max="14090" width="3.6328125" style="58" bestFit="1" customWidth="1"/>
    <col min="14091" max="14091" width="11.36328125" style="58" customWidth="1"/>
    <col min="14092" max="14092" width="5.54296875" style="58" customWidth="1"/>
    <col min="14093" max="14093" width="6.08984375" style="58" customWidth="1"/>
    <col min="14094" max="14336" width="8.90625" style="58"/>
    <col min="14337" max="14337" width="25.36328125" style="58" customWidth="1"/>
    <col min="14338" max="14338" width="3.90625" style="58" bestFit="1" customWidth="1"/>
    <col min="14339" max="14339" width="4.08984375" style="58" bestFit="1" customWidth="1"/>
    <col min="14340" max="14340" width="4.36328125" style="58" bestFit="1" customWidth="1"/>
    <col min="14341" max="14341" width="6.36328125" style="58" bestFit="1" customWidth="1"/>
    <col min="14342" max="14342" width="11.08984375" style="58" customWidth="1"/>
    <col min="14343" max="14343" width="10.90625" style="58" customWidth="1"/>
    <col min="14344" max="14344" width="4.36328125" style="58" bestFit="1" customWidth="1"/>
    <col min="14345" max="14345" width="3.453125" style="58" bestFit="1" customWidth="1"/>
    <col min="14346" max="14346" width="3.6328125" style="58" bestFit="1" customWidth="1"/>
    <col min="14347" max="14347" width="11.36328125" style="58" customWidth="1"/>
    <col min="14348" max="14348" width="5.54296875" style="58" customWidth="1"/>
    <col min="14349" max="14349" width="6.08984375" style="58" customWidth="1"/>
    <col min="14350" max="14592" width="8.90625" style="58"/>
    <col min="14593" max="14593" width="25.36328125" style="58" customWidth="1"/>
    <col min="14594" max="14594" width="3.90625" style="58" bestFit="1" customWidth="1"/>
    <col min="14595" max="14595" width="4.08984375" style="58" bestFit="1" customWidth="1"/>
    <col min="14596" max="14596" width="4.36328125" style="58" bestFit="1" customWidth="1"/>
    <col min="14597" max="14597" width="6.36328125" style="58" bestFit="1" customWidth="1"/>
    <col min="14598" max="14598" width="11.08984375" style="58" customWidth="1"/>
    <col min="14599" max="14599" width="10.90625" style="58" customWidth="1"/>
    <col min="14600" max="14600" width="4.36328125" style="58" bestFit="1" customWidth="1"/>
    <col min="14601" max="14601" width="3.453125" style="58" bestFit="1" customWidth="1"/>
    <col min="14602" max="14602" width="3.6328125" style="58" bestFit="1" customWidth="1"/>
    <col min="14603" max="14603" width="11.36328125" style="58" customWidth="1"/>
    <col min="14604" max="14604" width="5.54296875" style="58" customWidth="1"/>
    <col min="14605" max="14605" width="6.08984375" style="58" customWidth="1"/>
    <col min="14606" max="14848" width="8.90625" style="58"/>
    <col min="14849" max="14849" width="25.36328125" style="58" customWidth="1"/>
    <col min="14850" max="14850" width="3.90625" style="58" bestFit="1" customWidth="1"/>
    <col min="14851" max="14851" width="4.08984375" style="58" bestFit="1" customWidth="1"/>
    <col min="14852" max="14852" width="4.36328125" style="58" bestFit="1" customWidth="1"/>
    <col min="14853" max="14853" width="6.36328125" style="58" bestFit="1" customWidth="1"/>
    <col min="14854" max="14854" width="11.08984375" style="58" customWidth="1"/>
    <col min="14855" max="14855" width="10.90625" style="58" customWidth="1"/>
    <col min="14856" max="14856" width="4.36328125" style="58" bestFit="1" customWidth="1"/>
    <col min="14857" max="14857" width="3.453125" style="58" bestFit="1" customWidth="1"/>
    <col min="14858" max="14858" width="3.6328125" style="58" bestFit="1" customWidth="1"/>
    <col min="14859" max="14859" width="11.36328125" style="58" customWidth="1"/>
    <col min="14860" max="14860" width="5.54296875" style="58" customWidth="1"/>
    <col min="14861" max="14861" width="6.08984375" style="58" customWidth="1"/>
    <col min="14862" max="15104" width="8.90625" style="58"/>
    <col min="15105" max="15105" width="25.36328125" style="58" customWidth="1"/>
    <col min="15106" max="15106" width="3.90625" style="58" bestFit="1" customWidth="1"/>
    <col min="15107" max="15107" width="4.08984375" style="58" bestFit="1" customWidth="1"/>
    <col min="15108" max="15108" width="4.36328125" style="58" bestFit="1" customWidth="1"/>
    <col min="15109" max="15109" width="6.36328125" style="58" bestFit="1" customWidth="1"/>
    <col min="15110" max="15110" width="11.08984375" style="58" customWidth="1"/>
    <col min="15111" max="15111" width="10.90625" style="58" customWidth="1"/>
    <col min="15112" max="15112" width="4.36328125" style="58" bestFit="1" customWidth="1"/>
    <col min="15113" max="15113" width="3.453125" style="58" bestFit="1" customWidth="1"/>
    <col min="15114" max="15114" width="3.6328125" style="58" bestFit="1" customWidth="1"/>
    <col min="15115" max="15115" width="11.36328125" style="58" customWidth="1"/>
    <col min="15116" max="15116" width="5.54296875" style="58" customWidth="1"/>
    <col min="15117" max="15117" width="6.08984375" style="58" customWidth="1"/>
    <col min="15118" max="15360" width="8.90625" style="58"/>
    <col min="15361" max="15361" width="25.36328125" style="58" customWidth="1"/>
    <col min="15362" max="15362" width="3.90625" style="58" bestFit="1" customWidth="1"/>
    <col min="15363" max="15363" width="4.08984375" style="58" bestFit="1" customWidth="1"/>
    <col min="15364" max="15364" width="4.36328125" style="58" bestFit="1" customWidth="1"/>
    <col min="15365" max="15365" width="6.36328125" style="58" bestFit="1" customWidth="1"/>
    <col min="15366" max="15366" width="11.08984375" style="58" customWidth="1"/>
    <col min="15367" max="15367" width="10.90625" style="58" customWidth="1"/>
    <col min="15368" max="15368" width="4.36328125" style="58" bestFit="1" customWidth="1"/>
    <col min="15369" max="15369" width="3.453125" style="58" bestFit="1" customWidth="1"/>
    <col min="15370" max="15370" width="3.6328125" style="58" bestFit="1" customWidth="1"/>
    <col min="15371" max="15371" width="11.36328125" style="58" customWidth="1"/>
    <col min="15372" max="15372" width="5.54296875" style="58" customWidth="1"/>
    <col min="15373" max="15373" width="6.08984375" style="58" customWidth="1"/>
    <col min="15374" max="15616" width="8.90625" style="58"/>
    <col min="15617" max="15617" width="25.36328125" style="58" customWidth="1"/>
    <col min="15618" max="15618" width="3.90625" style="58" bestFit="1" customWidth="1"/>
    <col min="15619" max="15619" width="4.08984375" style="58" bestFit="1" customWidth="1"/>
    <col min="15620" max="15620" width="4.36328125" style="58" bestFit="1" customWidth="1"/>
    <col min="15621" max="15621" width="6.36328125" style="58" bestFit="1" customWidth="1"/>
    <col min="15622" max="15622" width="11.08984375" style="58" customWidth="1"/>
    <col min="15623" max="15623" width="10.90625" style="58" customWidth="1"/>
    <col min="15624" max="15624" width="4.36328125" style="58" bestFit="1" customWidth="1"/>
    <col min="15625" max="15625" width="3.453125" style="58" bestFit="1" customWidth="1"/>
    <col min="15626" max="15626" width="3.6328125" style="58" bestFit="1" customWidth="1"/>
    <col min="15627" max="15627" width="11.36328125" style="58" customWidth="1"/>
    <col min="15628" max="15628" width="5.54296875" style="58" customWidth="1"/>
    <col min="15629" max="15629" width="6.08984375" style="58" customWidth="1"/>
    <col min="15630" max="15872" width="8.90625" style="58"/>
    <col min="15873" max="15873" width="25.36328125" style="58" customWidth="1"/>
    <col min="15874" max="15874" width="3.90625" style="58" bestFit="1" customWidth="1"/>
    <col min="15875" max="15875" width="4.08984375" style="58" bestFit="1" customWidth="1"/>
    <col min="15876" max="15876" width="4.36328125" style="58" bestFit="1" customWidth="1"/>
    <col min="15877" max="15877" width="6.36328125" style="58" bestFit="1" customWidth="1"/>
    <col min="15878" max="15878" width="11.08984375" style="58" customWidth="1"/>
    <col min="15879" max="15879" width="10.90625" style="58" customWidth="1"/>
    <col min="15880" max="15880" width="4.36328125" style="58" bestFit="1" customWidth="1"/>
    <col min="15881" max="15881" width="3.453125" style="58" bestFit="1" customWidth="1"/>
    <col min="15882" max="15882" width="3.6328125" style="58" bestFit="1" customWidth="1"/>
    <col min="15883" max="15883" width="11.36328125" style="58" customWidth="1"/>
    <col min="15884" max="15884" width="5.54296875" style="58" customWidth="1"/>
    <col min="15885" max="15885" width="6.08984375" style="58" customWidth="1"/>
    <col min="15886" max="16128" width="8.90625" style="58"/>
    <col min="16129" max="16129" width="25.36328125" style="58" customWidth="1"/>
    <col min="16130" max="16130" width="3.90625" style="58" bestFit="1" customWidth="1"/>
    <col min="16131" max="16131" width="4.08984375" style="58" bestFit="1" customWidth="1"/>
    <col min="16132" max="16132" width="4.36328125" style="58" bestFit="1" customWidth="1"/>
    <col min="16133" max="16133" width="6.36328125" style="58" bestFit="1" customWidth="1"/>
    <col min="16134" max="16134" width="11.08984375" style="58" customWidth="1"/>
    <col min="16135" max="16135" width="10.90625" style="58" customWidth="1"/>
    <col min="16136" max="16136" width="4.36328125" style="58" bestFit="1" customWidth="1"/>
    <col min="16137" max="16137" width="3.453125" style="58" bestFit="1" customWidth="1"/>
    <col min="16138" max="16138" width="3.6328125" style="58" bestFit="1" customWidth="1"/>
    <col min="16139" max="16139" width="11.36328125" style="58" customWidth="1"/>
    <col min="16140" max="16140" width="5.54296875" style="58" customWidth="1"/>
    <col min="16141" max="16141" width="6.08984375" style="58" customWidth="1"/>
    <col min="16142" max="16384" width="8.90625" style="58"/>
  </cols>
  <sheetData>
    <row r="1" spans="1:13" ht="12" thickBot="1" x14ac:dyDescent="0.3">
      <c r="G1" s="313" t="s">
        <v>1063</v>
      </c>
      <c r="H1" s="314"/>
      <c r="I1" s="315">
        <f>L2+L27+L33+L58+L65</f>
        <v>18.38</v>
      </c>
      <c r="K1" s="313" t="s">
        <v>1064</v>
      </c>
      <c r="L1" s="314"/>
      <c r="M1" s="315">
        <f>M2+K27/2+M49/2+M58/2+M65/2</f>
        <v>1310</v>
      </c>
    </row>
    <row r="2" spans="1:13" s="320" customFormat="1" ht="10.25" customHeight="1" thickBot="1" x14ac:dyDescent="0.35">
      <c r="A2" s="316" t="s">
        <v>1065</v>
      </c>
      <c r="B2" s="317"/>
      <c r="C2" s="317"/>
      <c r="D2" s="317"/>
      <c r="E2" s="317"/>
      <c r="F2" s="318" t="s">
        <v>1032</v>
      </c>
      <c r="G2" s="317"/>
      <c r="H2" s="317"/>
      <c r="I2" s="317"/>
      <c r="J2" s="317"/>
      <c r="K2" s="317"/>
      <c r="L2" s="319">
        <f>SUM(L4:L25)</f>
        <v>14.899999999999999</v>
      </c>
      <c r="M2" s="319">
        <f>SUM(M4:M25)</f>
        <v>1150</v>
      </c>
    </row>
    <row r="3" spans="1:13" s="320" customFormat="1" ht="10.25" customHeight="1" thickBot="1" x14ac:dyDescent="0.35">
      <c r="A3" s="321" t="s">
        <v>317</v>
      </c>
      <c r="B3" s="322" t="s">
        <v>1066</v>
      </c>
      <c r="C3" s="322" t="s">
        <v>499</v>
      </c>
      <c r="D3" s="322" t="s">
        <v>1067</v>
      </c>
      <c r="E3" s="322" t="s">
        <v>1068</v>
      </c>
      <c r="F3" s="322" t="s">
        <v>1069</v>
      </c>
      <c r="G3" s="322" t="s">
        <v>1070</v>
      </c>
      <c r="H3" s="322" t="s">
        <v>1071</v>
      </c>
      <c r="I3" s="322" t="s">
        <v>1072</v>
      </c>
      <c r="J3" s="322" t="s">
        <v>1073</v>
      </c>
      <c r="K3" s="322" t="s">
        <v>1074</v>
      </c>
      <c r="L3" s="322" t="s">
        <v>1075</v>
      </c>
      <c r="M3" s="323" t="s">
        <v>1076</v>
      </c>
    </row>
    <row r="4" spans="1:13" ht="10.25" customHeight="1" x14ac:dyDescent="0.25">
      <c r="A4" s="324" t="s">
        <v>1233</v>
      </c>
      <c r="B4" s="325">
        <v>1</v>
      </c>
      <c r="C4" s="325">
        <v>10</v>
      </c>
      <c r="D4" s="325">
        <v>500</v>
      </c>
      <c r="E4" s="325"/>
      <c r="F4" s="325"/>
      <c r="G4" s="325"/>
      <c r="H4" s="325"/>
      <c r="I4" s="325"/>
      <c r="J4" s="325"/>
      <c r="K4" s="325"/>
      <c r="L4" s="325">
        <f t="shared" ref="L4:L25" si="0">C4*B4</f>
        <v>10</v>
      </c>
      <c r="M4" s="326">
        <f t="shared" ref="M4:M25" si="1">D4*B4</f>
        <v>500</v>
      </c>
    </row>
    <row r="5" spans="1:13" ht="10.25" customHeight="1" x14ac:dyDescent="0.25">
      <c r="A5" s="666" t="s">
        <v>1629</v>
      </c>
      <c r="B5" s="328">
        <v>1</v>
      </c>
      <c r="C5" s="328">
        <v>0.1</v>
      </c>
      <c r="D5" s="328">
        <v>50</v>
      </c>
      <c r="E5" s="328"/>
      <c r="F5" s="328"/>
      <c r="G5" s="328"/>
      <c r="H5" s="328"/>
      <c r="I5" s="328"/>
      <c r="J5" s="328"/>
      <c r="K5" s="328"/>
      <c r="L5" s="328">
        <f t="shared" si="0"/>
        <v>0.1</v>
      </c>
      <c r="M5" s="329">
        <f t="shared" si="1"/>
        <v>50</v>
      </c>
    </row>
    <row r="6" spans="1:13" ht="10.25" customHeight="1" x14ac:dyDescent="0.25">
      <c r="A6" s="330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>
        <f t="shared" si="0"/>
        <v>0</v>
      </c>
      <c r="M6" s="332">
        <f t="shared" si="1"/>
        <v>0</v>
      </c>
    </row>
    <row r="7" spans="1:13" ht="10.25" customHeight="1" x14ac:dyDescent="0.25">
      <c r="A7" s="327" t="s">
        <v>1234</v>
      </c>
      <c r="B7" s="328">
        <v>1</v>
      </c>
      <c r="C7" s="328">
        <v>0.2</v>
      </c>
      <c r="D7" s="328">
        <v>100</v>
      </c>
      <c r="E7" s="328"/>
      <c r="F7" s="328"/>
      <c r="G7" s="328"/>
      <c r="H7" s="328"/>
      <c r="I7" s="328"/>
      <c r="J7" s="328"/>
      <c r="K7" s="328"/>
      <c r="L7" s="328">
        <f t="shared" si="0"/>
        <v>0.2</v>
      </c>
      <c r="M7" s="329">
        <f t="shared" si="1"/>
        <v>100</v>
      </c>
    </row>
    <row r="8" spans="1:13" ht="10.25" customHeight="1" x14ac:dyDescent="0.25">
      <c r="A8" s="330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>
        <f>C8*B8</f>
        <v>0</v>
      </c>
      <c r="M8" s="332">
        <f>D8*B8</f>
        <v>0</v>
      </c>
    </row>
    <row r="9" spans="1:13" ht="10.25" customHeight="1" x14ac:dyDescent="0.25">
      <c r="A9" s="327"/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>
        <f t="shared" si="0"/>
        <v>0</v>
      </c>
      <c r="M9" s="329">
        <f t="shared" si="1"/>
        <v>0</v>
      </c>
    </row>
    <row r="10" spans="1:13" ht="10.25" customHeight="1" x14ac:dyDescent="0.25">
      <c r="A10" s="330"/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>
        <f>C10*B10</f>
        <v>0</v>
      </c>
      <c r="M10" s="332">
        <f>D10*B10</f>
        <v>0</v>
      </c>
    </row>
    <row r="11" spans="1:13" ht="10.25" customHeight="1" x14ac:dyDescent="0.25">
      <c r="A11" s="327"/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>
        <f t="shared" si="0"/>
        <v>0</v>
      </c>
      <c r="M11" s="329">
        <f t="shared" si="1"/>
        <v>0</v>
      </c>
    </row>
    <row r="12" spans="1:13" ht="10.25" customHeight="1" x14ac:dyDescent="0.25">
      <c r="A12" s="330" t="s">
        <v>1235</v>
      </c>
      <c r="B12" s="331">
        <v>1</v>
      </c>
      <c r="C12" s="331">
        <v>4</v>
      </c>
      <c r="D12" s="331">
        <v>400</v>
      </c>
      <c r="E12" s="331"/>
      <c r="F12" s="331"/>
      <c r="G12" s="331"/>
      <c r="H12" s="331"/>
      <c r="I12" s="331"/>
      <c r="J12" s="331"/>
      <c r="K12" s="331"/>
      <c r="L12" s="331">
        <f t="shared" si="0"/>
        <v>4</v>
      </c>
      <c r="M12" s="332">
        <f t="shared" si="1"/>
        <v>400</v>
      </c>
    </row>
    <row r="13" spans="1:13" ht="10.25" customHeight="1" x14ac:dyDescent="0.25">
      <c r="A13" s="327"/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>
        <f t="shared" si="0"/>
        <v>0</v>
      </c>
      <c r="M13" s="329">
        <f t="shared" si="1"/>
        <v>0</v>
      </c>
    </row>
    <row r="14" spans="1:13" ht="10.25" customHeight="1" x14ac:dyDescent="0.25">
      <c r="A14" s="330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>
        <f t="shared" si="0"/>
        <v>0</v>
      </c>
      <c r="M14" s="332">
        <f t="shared" si="1"/>
        <v>0</v>
      </c>
    </row>
    <row r="15" spans="1:13" ht="10.25" customHeight="1" x14ac:dyDescent="0.25">
      <c r="A15" s="327"/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>
        <f t="shared" si="0"/>
        <v>0</v>
      </c>
      <c r="M15" s="329">
        <f t="shared" si="1"/>
        <v>0</v>
      </c>
    </row>
    <row r="16" spans="1:13" ht="10.25" customHeight="1" x14ac:dyDescent="0.25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>
        <f>C16*B16</f>
        <v>0</v>
      </c>
      <c r="M16" s="332">
        <f>D16*B16</f>
        <v>0</v>
      </c>
    </row>
    <row r="17" spans="1:13" ht="10.25" customHeight="1" x14ac:dyDescent="0.25">
      <c r="A17" s="327"/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>
        <f t="shared" si="0"/>
        <v>0</v>
      </c>
      <c r="M17" s="329">
        <f t="shared" si="1"/>
        <v>0</v>
      </c>
    </row>
    <row r="18" spans="1:13" ht="10.25" customHeight="1" x14ac:dyDescent="0.25">
      <c r="A18" s="330"/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>
        <f t="shared" si="0"/>
        <v>0</v>
      </c>
      <c r="M18" s="332">
        <f t="shared" si="1"/>
        <v>0</v>
      </c>
    </row>
    <row r="19" spans="1:13" ht="10.25" customHeight="1" x14ac:dyDescent="0.25">
      <c r="A19" s="327"/>
      <c r="B19" s="328"/>
      <c r="C19" s="328"/>
      <c r="D19" s="328"/>
      <c r="E19" s="328"/>
      <c r="F19" s="328"/>
      <c r="G19" s="328"/>
      <c r="H19" s="328"/>
      <c r="I19" s="328"/>
      <c r="J19" s="328"/>
      <c r="K19" s="328"/>
      <c r="L19" s="328">
        <f t="shared" si="0"/>
        <v>0</v>
      </c>
      <c r="M19" s="329">
        <f t="shared" si="1"/>
        <v>0</v>
      </c>
    </row>
    <row r="20" spans="1:13" ht="10.25" customHeight="1" x14ac:dyDescent="0.25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>
        <f t="shared" si="0"/>
        <v>0</v>
      </c>
      <c r="M20" s="332">
        <f t="shared" si="1"/>
        <v>0</v>
      </c>
    </row>
    <row r="21" spans="1:13" ht="10.25" customHeight="1" x14ac:dyDescent="0.25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>
        <f t="shared" si="0"/>
        <v>0</v>
      </c>
      <c r="M21" s="329">
        <f t="shared" si="1"/>
        <v>0</v>
      </c>
    </row>
    <row r="22" spans="1:13" ht="10.25" customHeight="1" x14ac:dyDescent="0.25">
      <c r="A22" s="330" t="s">
        <v>1236</v>
      </c>
      <c r="B22" s="331">
        <v>1</v>
      </c>
      <c r="C22" s="331">
        <v>0.1</v>
      </c>
      <c r="D22" s="331">
        <v>100</v>
      </c>
      <c r="E22" s="331"/>
      <c r="F22" s="331"/>
      <c r="G22" s="331"/>
      <c r="H22" s="331"/>
      <c r="I22" s="331"/>
      <c r="J22" s="331"/>
      <c r="K22" s="331"/>
      <c r="L22" s="331">
        <f t="shared" si="0"/>
        <v>0.1</v>
      </c>
      <c r="M22" s="332">
        <f t="shared" si="1"/>
        <v>100</v>
      </c>
    </row>
    <row r="23" spans="1:13" ht="10.25" customHeight="1" x14ac:dyDescent="0.25">
      <c r="A23" s="327"/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>
        <f t="shared" si="0"/>
        <v>0</v>
      </c>
      <c r="M23" s="329">
        <f t="shared" si="1"/>
        <v>0</v>
      </c>
    </row>
    <row r="24" spans="1:13" ht="10.25" customHeight="1" x14ac:dyDescent="0.25">
      <c r="A24" s="605" t="s">
        <v>1237</v>
      </c>
      <c r="B24" s="606">
        <v>1</v>
      </c>
      <c r="C24" s="331">
        <v>0.5</v>
      </c>
      <c r="D24" s="331"/>
      <c r="E24" s="331"/>
      <c r="F24" s="331"/>
      <c r="G24" s="331"/>
      <c r="H24" s="331"/>
      <c r="I24" s="331"/>
      <c r="J24" s="331"/>
      <c r="K24" s="331"/>
      <c r="L24" s="331">
        <f t="shared" si="0"/>
        <v>0.5</v>
      </c>
      <c r="M24" s="332">
        <f t="shared" si="1"/>
        <v>0</v>
      </c>
    </row>
    <row r="25" spans="1:13" ht="10.25" customHeight="1" thickBot="1" x14ac:dyDescent="0.3">
      <c r="A25" s="607"/>
      <c r="B25" s="608"/>
      <c r="C25" s="334"/>
      <c r="D25" s="334"/>
      <c r="E25" s="334"/>
      <c r="F25" s="334"/>
      <c r="G25" s="334"/>
      <c r="H25" s="334"/>
      <c r="I25" s="334"/>
      <c r="J25" s="334"/>
      <c r="K25" s="334"/>
      <c r="L25" s="334">
        <f t="shared" si="0"/>
        <v>0</v>
      </c>
      <c r="M25" s="335">
        <f t="shared" si="1"/>
        <v>0</v>
      </c>
    </row>
    <row r="26" spans="1:13" ht="10.25" customHeight="1" thickBot="1" x14ac:dyDescent="0.3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</row>
    <row r="27" spans="1:13" ht="10.25" customHeight="1" thickBot="1" x14ac:dyDescent="0.3">
      <c r="A27" s="316" t="s">
        <v>1077</v>
      </c>
      <c r="B27" s="317"/>
      <c r="C27" s="317"/>
      <c r="D27" s="317"/>
      <c r="E27" s="317"/>
      <c r="F27" s="318"/>
      <c r="G27" s="317" t="s">
        <v>1078</v>
      </c>
      <c r="H27" s="317">
        <v>4000</v>
      </c>
      <c r="I27" s="317"/>
      <c r="J27" s="338" t="s">
        <v>1079</v>
      </c>
      <c r="K27" s="339">
        <f>M27/2</f>
        <v>320</v>
      </c>
      <c r="L27" s="340">
        <f>SUM(L29:L47)</f>
        <v>3.4699999999999993</v>
      </c>
      <c r="M27" s="319">
        <f>SUM(M29:M47)</f>
        <v>640</v>
      </c>
    </row>
    <row r="28" spans="1:13" s="320" customFormat="1" ht="10.25" customHeight="1" thickBot="1" x14ac:dyDescent="0.35">
      <c r="A28" s="321" t="s">
        <v>317</v>
      </c>
      <c r="B28" s="322" t="s">
        <v>1066</v>
      </c>
      <c r="C28" s="322" t="s">
        <v>499</v>
      </c>
      <c r="D28" s="322" t="s">
        <v>1067</v>
      </c>
      <c r="E28" s="322" t="s">
        <v>1068</v>
      </c>
      <c r="F28" s="322" t="s">
        <v>1069</v>
      </c>
      <c r="G28" s="322" t="s">
        <v>1070</v>
      </c>
      <c r="H28" s="322" t="s">
        <v>1071</v>
      </c>
      <c r="I28" s="322" t="s">
        <v>1072</v>
      </c>
      <c r="J28" s="322" t="s">
        <v>1073</v>
      </c>
      <c r="K28" s="322" t="s">
        <v>1074</v>
      </c>
      <c r="L28" s="322" t="s">
        <v>1075</v>
      </c>
      <c r="M28" s="323" t="s">
        <v>1076</v>
      </c>
    </row>
    <row r="29" spans="1:13" ht="10.25" customHeight="1" x14ac:dyDescent="0.25">
      <c r="A29" s="324" t="s">
        <v>1238</v>
      </c>
      <c r="B29" s="325">
        <v>1</v>
      </c>
      <c r="C29" s="325">
        <v>0.1</v>
      </c>
      <c r="D29" s="325">
        <v>200</v>
      </c>
      <c r="E29" s="325"/>
      <c r="F29" s="325"/>
      <c r="G29" s="325"/>
      <c r="H29" s="325"/>
      <c r="I29" s="325"/>
      <c r="J29" s="325"/>
      <c r="K29" s="325"/>
      <c r="L29" s="325">
        <f t="shared" ref="L29:L46" si="2">C29*B29</f>
        <v>0.1</v>
      </c>
      <c r="M29" s="326">
        <f t="shared" ref="M29:M46" si="3">D29*B29</f>
        <v>200</v>
      </c>
    </row>
    <row r="30" spans="1:13" ht="10.25" customHeight="1" x14ac:dyDescent="0.25">
      <c r="A30" s="327" t="s">
        <v>1239</v>
      </c>
      <c r="B30" s="328">
        <v>1</v>
      </c>
      <c r="C30" s="328">
        <v>0.2</v>
      </c>
      <c r="D30" s="328">
        <v>150</v>
      </c>
      <c r="E30" s="328"/>
      <c r="F30" s="328"/>
      <c r="G30" s="328"/>
      <c r="H30" s="328"/>
      <c r="I30" s="328"/>
      <c r="J30" s="328"/>
      <c r="K30" s="328"/>
      <c r="L30" s="328">
        <f t="shared" si="2"/>
        <v>0.2</v>
      </c>
      <c r="M30" s="329">
        <f t="shared" si="3"/>
        <v>150</v>
      </c>
    </row>
    <row r="31" spans="1:13" ht="10.25" customHeight="1" x14ac:dyDescent="0.25">
      <c r="A31" s="330" t="s">
        <v>1240</v>
      </c>
      <c r="B31" s="331">
        <v>1</v>
      </c>
      <c r="C31" s="331">
        <v>3</v>
      </c>
      <c r="D31" s="331">
        <v>250</v>
      </c>
      <c r="E31" s="331"/>
      <c r="F31" s="331"/>
      <c r="G31" s="331"/>
      <c r="H31" s="331"/>
      <c r="I31" s="331"/>
      <c r="J31" s="331"/>
      <c r="K31" s="331"/>
      <c r="L31" s="331">
        <f>C31*B31</f>
        <v>3</v>
      </c>
      <c r="M31" s="332">
        <f>D31*B31</f>
        <v>250</v>
      </c>
    </row>
    <row r="32" spans="1:13" ht="10.25" customHeight="1" x14ac:dyDescent="0.25">
      <c r="A32" s="327" t="s">
        <v>1241</v>
      </c>
      <c r="B32" s="328">
        <v>3</v>
      </c>
      <c r="C32" s="328">
        <v>0.05</v>
      </c>
      <c r="D32" s="328">
        <v>10</v>
      </c>
      <c r="E32" s="328"/>
      <c r="F32" s="328"/>
      <c r="G32" s="328"/>
      <c r="H32" s="328"/>
      <c r="I32" s="328"/>
      <c r="J32" s="328"/>
      <c r="K32" s="328"/>
      <c r="L32" s="328">
        <f t="shared" si="2"/>
        <v>0.15000000000000002</v>
      </c>
      <c r="M32" s="329">
        <f t="shared" si="3"/>
        <v>30</v>
      </c>
    </row>
    <row r="33" spans="1:13" ht="10.25" customHeight="1" x14ac:dyDescent="0.25">
      <c r="A33" s="330" t="s">
        <v>1242</v>
      </c>
      <c r="B33" s="331">
        <v>1</v>
      </c>
      <c r="C33" s="331">
        <v>0.01</v>
      </c>
      <c r="D33" s="331"/>
      <c r="E33" s="331"/>
      <c r="F33" s="331" t="s">
        <v>1243</v>
      </c>
      <c r="G33" s="331" t="s">
        <v>1244</v>
      </c>
      <c r="H33" s="331"/>
      <c r="I33" s="331"/>
      <c r="J33" s="331"/>
      <c r="K33" s="331"/>
      <c r="L33" s="331">
        <f t="shared" si="2"/>
        <v>0.01</v>
      </c>
      <c r="M33" s="332">
        <f t="shared" si="3"/>
        <v>0</v>
      </c>
    </row>
    <row r="34" spans="1:13" ht="10.25" customHeight="1" x14ac:dyDescent="0.25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8">
        <f t="shared" si="2"/>
        <v>0</v>
      </c>
      <c r="M34" s="329">
        <f t="shared" si="3"/>
        <v>0</v>
      </c>
    </row>
    <row r="35" spans="1:13" ht="10.25" customHeight="1" x14ac:dyDescent="0.25">
      <c r="A35" s="672" t="s">
        <v>1548</v>
      </c>
      <c r="B35" s="331">
        <v>1</v>
      </c>
      <c r="C35" s="331">
        <v>0.01</v>
      </c>
      <c r="D35" s="331">
        <v>10</v>
      </c>
      <c r="E35" s="331">
        <v>3800</v>
      </c>
      <c r="F35" s="331" t="s">
        <v>1549</v>
      </c>
      <c r="G35" s="331" t="s">
        <v>1550</v>
      </c>
      <c r="H35" s="331"/>
      <c r="I35" s="331"/>
      <c r="J35" s="331"/>
      <c r="K35" s="331"/>
      <c r="L35" s="331">
        <f t="shared" si="2"/>
        <v>0.01</v>
      </c>
      <c r="M35" s="332">
        <f t="shared" si="3"/>
        <v>10</v>
      </c>
    </row>
    <row r="36" spans="1:13" ht="10.25" customHeight="1" x14ac:dyDescent="0.25">
      <c r="A36" s="327" t="s">
        <v>1551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>
        <f t="shared" si="2"/>
        <v>0</v>
      </c>
      <c r="M36" s="329">
        <f t="shared" si="3"/>
        <v>0</v>
      </c>
    </row>
    <row r="37" spans="1:13" ht="10.25" customHeight="1" x14ac:dyDescent="0.25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>
        <f t="shared" si="2"/>
        <v>0</v>
      </c>
      <c r="M37" s="332">
        <f t="shared" si="3"/>
        <v>0</v>
      </c>
    </row>
    <row r="38" spans="1:13" ht="10.25" customHeight="1" x14ac:dyDescent="0.25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>
        <f t="shared" si="2"/>
        <v>0</v>
      </c>
      <c r="M38" s="332">
        <f t="shared" si="3"/>
        <v>0</v>
      </c>
    </row>
    <row r="39" spans="1:13" ht="10.25" customHeight="1" x14ac:dyDescent="0.25">
      <c r="A39" s="330"/>
      <c r="B39" s="331"/>
      <c r="C39" s="331"/>
      <c r="D39" s="331"/>
      <c r="E39" s="331"/>
      <c r="F39" s="331"/>
      <c r="G39" s="331"/>
      <c r="H39" s="341"/>
      <c r="I39" s="341"/>
      <c r="J39" s="331"/>
      <c r="K39" s="341"/>
      <c r="L39" s="331">
        <f t="shared" si="2"/>
        <v>0</v>
      </c>
      <c r="M39" s="332">
        <f t="shared" si="3"/>
        <v>0</v>
      </c>
    </row>
    <row r="40" spans="1:13" ht="10.25" customHeight="1" x14ac:dyDescent="0.25">
      <c r="A40" s="330"/>
      <c r="B40" s="331"/>
      <c r="C40" s="331"/>
      <c r="D40" s="331"/>
      <c r="E40" s="331"/>
      <c r="F40" s="331"/>
      <c r="G40" s="331"/>
      <c r="H40" s="341"/>
      <c r="I40" s="331"/>
      <c r="J40" s="331"/>
      <c r="K40" s="331"/>
      <c r="L40" s="331">
        <f t="shared" si="2"/>
        <v>0</v>
      </c>
      <c r="M40" s="332">
        <f t="shared" si="3"/>
        <v>0</v>
      </c>
    </row>
    <row r="41" spans="1:13" ht="10.25" customHeight="1" x14ac:dyDescent="0.25">
      <c r="A41" s="330"/>
      <c r="B41" s="331"/>
      <c r="C41" s="331"/>
      <c r="D41" s="331"/>
      <c r="E41" s="331"/>
      <c r="F41" s="331"/>
      <c r="G41" s="331"/>
      <c r="H41" s="341"/>
      <c r="I41" s="331"/>
      <c r="J41" s="331"/>
      <c r="K41" s="331"/>
      <c r="L41" s="331">
        <f t="shared" si="2"/>
        <v>0</v>
      </c>
      <c r="M41" s="332">
        <f t="shared" si="3"/>
        <v>0</v>
      </c>
    </row>
    <row r="42" spans="1:13" ht="10.25" customHeight="1" x14ac:dyDescent="0.25">
      <c r="A42" s="330"/>
      <c r="B42" s="331"/>
      <c r="C42" s="331"/>
      <c r="D42" s="331"/>
      <c r="E42" s="331"/>
      <c r="F42" s="331"/>
      <c r="G42" s="331"/>
      <c r="H42" s="341"/>
      <c r="I42" s="331"/>
      <c r="J42" s="331"/>
      <c r="K42" s="331"/>
      <c r="L42" s="331">
        <f t="shared" si="2"/>
        <v>0</v>
      </c>
      <c r="M42" s="332">
        <f t="shared" si="3"/>
        <v>0</v>
      </c>
    </row>
    <row r="43" spans="1:13" ht="10.25" customHeight="1" x14ac:dyDescent="0.25">
      <c r="A43" s="330"/>
      <c r="B43" s="331"/>
      <c r="C43" s="331"/>
      <c r="D43" s="331"/>
      <c r="E43" s="331"/>
      <c r="F43" s="331"/>
      <c r="G43" s="331"/>
      <c r="H43" s="341"/>
      <c r="I43" s="331"/>
      <c r="J43" s="331"/>
      <c r="K43" s="331"/>
      <c r="L43" s="331">
        <f t="shared" si="2"/>
        <v>0</v>
      </c>
      <c r="M43" s="332">
        <f t="shared" si="3"/>
        <v>0</v>
      </c>
    </row>
    <row r="44" spans="1:13" ht="10.25" customHeight="1" x14ac:dyDescent="0.25">
      <c r="A44" s="330"/>
      <c r="B44" s="331"/>
      <c r="C44" s="331"/>
      <c r="D44" s="331"/>
      <c r="E44" s="331"/>
      <c r="F44" s="331"/>
      <c r="G44" s="331"/>
      <c r="H44" s="341"/>
      <c r="I44" s="331"/>
      <c r="J44" s="331"/>
      <c r="K44" s="331"/>
      <c r="L44" s="331">
        <f t="shared" si="2"/>
        <v>0</v>
      </c>
      <c r="M44" s="332">
        <f t="shared" si="3"/>
        <v>0</v>
      </c>
    </row>
    <row r="45" spans="1:13" ht="10.25" customHeight="1" x14ac:dyDescent="0.25">
      <c r="A45" s="330"/>
      <c r="B45" s="331"/>
      <c r="C45" s="331"/>
      <c r="D45" s="331"/>
      <c r="E45" s="331"/>
      <c r="F45" s="331"/>
      <c r="G45" s="331"/>
      <c r="H45" s="341"/>
      <c r="I45" s="331"/>
      <c r="J45" s="331"/>
      <c r="K45" s="331"/>
      <c r="L45" s="331">
        <f t="shared" si="2"/>
        <v>0</v>
      </c>
      <c r="M45" s="332">
        <f t="shared" si="3"/>
        <v>0</v>
      </c>
    </row>
    <row r="46" spans="1:13" ht="10.25" customHeight="1" x14ac:dyDescent="0.25">
      <c r="A46" s="330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>
        <f t="shared" si="2"/>
        <v>0</v>
      </c>
      <c r="M46" s="332">
        <f t="shared" si="3"/>
        <v>0</v>
      </c>
    </row>
    <row r="47" spans="1:13" ht="10.25" customHeight="1" thickBot="1" x14ac:dyDescent="0.3">
      <c r="A47" s="363"/>
      <c r="B47" s="364"/>
      <c r="C47" s="364"/>
      <c r="D47" s="364"/>
      <c r="E47" s="334"/>
      <c r="F47" s="334"/>
      <c r="G47" s="334"/>
      <c r="H47" s="334"/>
      <c r="I47" s="334"/>
      <c r="J47" s="334"/>
      <c r="K47" s="334"/>
      <c r="L47" s="334">
        <f>C47*B47</f>
        <v>0</v>
      </c>
      <c r="M47" s="335">
        <f>D47*B47</f>
        <v>0</v>
      </c>
    </row>
    <row r="48" spans="1:13" ht="10.25" customHeight="1" thickBot="1" x14ac:dyDescent="0.3">
      <c r="A48" s="336"/>
      <c r="B48" s="336"/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36"/>
    </row>
    <row r="49" spans="1:13" ht="10.25" customHeight="1" thickBot="1" x14ac:dyDescent="0.3">
      <c r="A49" s="316" t="s">
        <v>1080</v>
      </c>
      <c r="B49" s="317"/>
      <c r="C49" s="317"/>
      <c r="D49" s="317"/>
      <c r="E49" s="317"/>
      <c r="F49" s="318"/>
      <c r="G49" s="317" t="s">
        <v>1078</v>
      </c>
      <c r="H49" s="317"/>
      <c r="I49" s="317"/>
      <c r="J49" s="338" t="s">
        <v>1079</v>
      </c>
      <c r="K49" s="337">
        <f>M49/2</f>
        <v>0</v>
      </c>
      <c r="L49" s="319">
        <f>SUM(L51:L56)</f>
        <v>0</v>
      </c>
      <c r="M49" s="319">
        <f>SUM(M51:M56)</f>
        <v>0</v>
      </c>
    </row>
    <row r="50" spans="1:13" s="320" customFormat="1" ht="10.25" customHeight="1" thickBot="1" x14ac:dyDescent="0.35">
      <c r="A50" s="321" t="s">
        <v>317</v>
      </c>
      <c r="B50" s="322" t="s">
        <v>1066</v>
      </c>
      <c r="C50" s="322" t="s">
        <v>499</v>
      </c>
      <c r="D50" s="322" t="s">
        <v>1067</v>
      </c>
      <c r="E50" s="322" t="s">
        <v>1068</v>
      </c>
      <c r="F50" s="322" t="s">
        <v>1069</v>
      </c>
      <c r="G50" s="322" t="s">
        <v>1070</v>
      </c>
      <c r="H50" s="322" t="s">
        <v>1071</v>
      </c>
      <c r="I50" s="322" t="s">
        <v>1072</v>
      </c>
      <c r="J50" s="322" t="s">
        <v>1073</v>
      </c>
      <c r="K50" s="322" t="s">
        <v>1074</v>
      </c>
      <c r="L50" s="322" t="s">
        <v>1075</v>
      </c>
      <c r="M50" s="323" t="s">
        <v>1076</v>
      </c>
    </row>
    <row r="51" spans="1:13" ht="10.25" customHeight="1" x14ac:dyDescent="0.25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25"/>
      <c r="L51" s="325">
        <f>C51*B51</f>
        <v>0</v>
      </c>
      <c r="M51" s="326">
        <f>D51*B51</f>
        <v>0</v>
      </c>
    </row>
    <row r="52" spans="1:13" ht="10.25" customHeight="1" x14ac:dyDescent="0.25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>
        <f t="shared" ref="L52:L56" si="4">C52*B52</f>
        <v>0</v>
      </c>
      <c r="M52" s="329">
        <f t="shared" ref="M52:M56" si="5">D52*B52</f>
        <v>0</v>
      </c>
    </row>
    <row r="53" spans="1:13" ht="10.25" customHeight="1" x14ac:dyDescent="0.25">
      <c r="A53" s="330"/>
      <c r="B53" s="331"/>
      <c r="C53" s="331"/>
      <c r="D53" s="331"/>
      <c r="E53" s="331"/>
      <c r="F53" s="331"/>
      <c r="G53" s="331"/>
      <c r="H53" s="331"/>
      <c r="I53" s="331"/>
      <c r="J53" s="331"/>
      <c r="K53" s="331"/>
      <c r="L53" s="331">
        <f t="shared" si="4"/>
        <v>0</v>
      </c>
      <c r="M53" s="332">
        <f t="shared" si="5"/>
        <v>0</v>
      </c>
    </row>
    <row r="54" spans="1:13" ht="10.25" customHeight="1" x14ac:dyDescent="0.25">
      <c r="A54" s="327"/>
      <c r="B54" s="328"/>
      <c r="C54" s="328"/>
      <c r="D54" s="328"/>
      <c r="E54" s="328"/>
      <c r="F54" s="328"/>
      <c r="G54" s="328"/>
      <c r="H54" s="328"/>
      <c r="I54" s="328"/>
      <c r="J54" s="328"/>
      <c r="K54" s="328"/>
      <c r="L54" s="328">
        <f t="shared" si="4"/>
        <v>0</v>
      </c>
      <c r="M54" s="329">
        <f t="shared" si="5"/>
        <v>0</v>
      </c>
    </row>
    <row r="55" spans="1:13" ht="10.25" customHeight="1" x14ac:dyDescent="0.25">
      <c r="A55" s="330"/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>
        <f t="shared" si="4"/>
        <v>0</v>
      </c>
      <c r="M55" s="332">
        <f t="shared" si="5"/>
        <v>0</v>
      </c>
    </row>
    <row r="56" spans="1:13" ht="10.25" customHeight="1" thickBot="1" x14ac:dyDescent="0.3">
      <c r="A56" s="333"/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4">
        <f t="shared" si="4"/>
        <v>0</v>
      </c>
      <c r="M56" s="335">
        <f t="shared" si="5"/>
        <v>0</v>
      </c>
    </row>
    <row r="57" spans="1:13" ht="10.25" customHeight="1" thickBot="1" x14ac:dyDescent="0.3">
      <c r="A57" s="336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</row>
    <row r="58" spans="1:13" ht="10.25" customHeight="1" thickBot="1" x14ac:dyDescent="0.3">
      <c r="A58" s="316" t="s">
        <v>1081</v>
      </c>
      <c r="B58" s="317"/>
      <c r="C58" s="317"/>
      <c r="D58" s="317"/>
      <c r="E58" s="317"/>
      <c r="F58" s="337"/>
      <c r="G58" s="317" t="s">
        <v>1078</v>
      </c>
      <c r="H58" s="317"/>
      <c r="I58" s="317"/>
      <c r="J58" s="338" t="s">
        <v>1079</v>
      </c>
      <c r="K58" s="337">
        <f>M58/2</f>
        <v>0</v>
      </c>
      <c r="L58" s="319">
        <f>SUM(L60:L63)</f>
        <v>0</v>
      </c>
      <c r="M58" s="319">
        <f>SUM(M60:M63)</f>
        <v>0</v>
      </c>
    </row>
    <row r="59" spans="1:13" s="320" customFormat="1" ht="10.25" customHeight="1" thickBot="1" x14ac:dyDescent="0.35">
      <c r="A59" s="321" t="s">
        <v>317</v>
      </c>
      <c r="B59" s="322" t="s">
        <v>1066</v>
      </c>
      <c r="C59" s="322" t="s">
        <v>499</v>
      </c>
      <c r="D59" s="322" t="s">
        <v>1067</v>
      </c>
      <c r="E59" s="322" t="s">
        <v>1068</v>
      </c>
      <c r="F59" s="322" t="s">
        <v>1069</v>
      </c>
      <c r="G59" s="322" t="s">
        <v>1070</v>
      </c>
      <c r="H59" s="322" t="s">
        <v>1071</v>
      </c>
      <c r="I59" s="322" t="s">
        <v>1072</v>
      </c>
      <c r="J59" s="322" t="s">
        <v>1073</v>
      </c>
      <c r="K59" s="322" t="s">
        <v>1074</v>
      </c>
      <c r="L59" s="322" t="s">
        <v>1075</v>
      </c>
      <c r="M59" s="323" t="s">
        <v>1076</v>
      </c>
    </row>
    <row r="60" spans="1:13" ht="10.25" customHeight="1" x14ac:dyDescent="0.25">
      <c r="A60" s="324"/>
      <c r="B60" s="325"/>
      <c r="C60" s="325"/>
      <c r="D60" s="325"/>
      <c r="E60" s="325"/>
      <c r="F60" s="325"/>
      <c r="G60" s="325"/>
      <c r="H60" s="325"/>
      <c r="I60" s="325"/>
      <c r="J60" s="325"/>
      <c r="K60" s="325"/>
      <c r="L60" s="325">
        <f>C60*B60</f>
        <v>0</v>
      </c>
      <c r="M60" s="326">
        <f>D60*B60</f>
        <v>0</v>
      </c>
    </row>
    <row r="61" spans="1:13" ht="10.25" customHeight="1" x14ac:dyDescent="0.25">
      <c r="A61" s="327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>
        <f>C61*B61</f>
        <v>0</v>
      </c>
      <c r="M61" s="329">
        <f>D61*B61</f>
        <v>0</v>
      </c>
    </row>
    <row r="62" spans="1:13" ht="10.25" customHeight="1" x14ac:dyDescent="0.25">
      <c r="A62" s="330"/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>
        <f>C62*B62</f>
        <v>0</v>
      </c>
      <c r="M62" s="332">
        <f>D62*B62</f>
        <v>0</v>
      </c>
    </row>
    <row r="63" spans="1:13" ht="10.25" customHeight="1" thickBot="1" x14ac:dyDescent="0.3">
      <c r="A63" s="333"/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>
        <f>C63*B63</f>
        <v>0</v>
      </c>
      <c r="M63" s="335">
        <f>D63*B63</f>
        <v>0</v>
      </c>
    </row>
    <row r="64" spans="1:13" ht="10.25" customHeight="1" thickBot="1" x14ac:dyDescent="0.3">
      <c r="A64" s="336"/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</row>
    <row r="65" spans="1:13" ht="10.25" customHeight="1" thickBot="1" x14ac:dyDescent="0.3">
      <c r="A65" s="316" t="s">
        <v>1082</v>
      </c>
      <c r="B65" s="317"/>
      <c r="C65" s="317"/>
      <c r="D65" s="317"/>
      <c r="E65" s="317"/>
      <c r="F65" s="337"/>
      <c r="G65" s="317" t="s">
        <v>1078</v>
      </c>
      <c r="H65" s="317"/>
      <c r="I65" s="317"/>
      <c r="J65" s="338" t="s">
        <v>1079</v>
      </c>
      <c r="K65" s="337">
        <f>M65/2</f>
        <v>0</v>
      </c>
      <c r="L65" s="319">
        <f>SUM(L67:L70)</f>
        <v>0</v>
      </c>
      <c r="M65" s="319">
        <f>SUM(M67:M70)</f>
        <v>0</v>
      </c>
    </row>
    <row r="66" spans="1:13" s="320" customFormat="1" ht="10.25" customHeight="1" thickBot="1" x14ac:dyDescent="0.35">
      <c r="A66" s="321" t="s">
        <v>317</v>
      </c>
      <c r="B66" s="322" t="s">
        <v>1066</v>
      </c>
      <c r="C66" s="322" t="s">
        <v>499</v>
      </c>
      <c r="D66" s="322" t="s">
        <v>1067</v>
      </c>
      <c r="E66" s="322" t="s">
        <v>1068</v>
      </c>
      <c r="F66" s="322" t="s">
        <v>1069</v>
      </c>
      <c r="G66" s="322" t="s">
        <v>1070</v>
      </c>
      <c r="H66" s="322" t="s">
        <v>1071</v>
      </c>
      <c r="I66" s="322" t="s">
        <v>1072</v>
      </c>
      <c r="J66" s="322" t="s">
        <v>1073</v>
      </c>
      <c r="K66" s="322" t="s">
        <v>1074</v>
      </c>
      <c r="L66" s="322" t="s">
        <v>1075</v>
      </c>
      <c r="M66" s="323" t="s">
        <v>1076</v>
      </c>
    </row>
    <row r="67" spans="1:13" ht="10.25" customHeight="1" x14ac:dyDescent="0.25">
      <c r="A67" s="324"/>
      <c r="B67" s="325"/>
      <c r="C67" s="325"/>
      <c r="D67" s="325"/>
      <c r="E67" s="325"/>
      <c r="F67" s="325"/>
      <c r="G67" s="325"/>
      <c r="H67" s="325"/>
      <c r="I67" s="325"/>
      <c r="J67" s="325"/>
      <c r="K67" s="325"/>
      <c r="L67" s="325">
        <f>C67*B67</f>
        <v>0</v>
      </c>
      <c r="M67" s="326">
        <f>D67*B67</f>
        <v>0</v>
      </c>
    </row>
    <row r="68" spans="1:13" ht="10.25" customHeight="1" x14ac:dyDescent="0.25">
      <c r="A68" s="327"/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>
        <f>C68*B68</f>
        <v>0</v>
      </c>
      <c r="M68" s="329">
        <f>D68*B68</f>
        <v>0</v>
      </c>
    </row>
    <row r="69" spans="1:13" ht="10.25" customHeight="1" x14ac:dyDescent="0.25">
      <c r="A69" s="330"/>
      <c r="B69" s="331"/>
      <c r="C69" s="331"/>
      <c r="D69" s="331"/>
      <c r="E69" s="331"/>
      <c r="F69" s="331"/>
      <c r="G69" s="331"/>
      <c r="H69" s="331"/>
      <c r="I69" s="331"/>
      <c r="J69" s="331"/>
      <c r="K69" s="331"/>
      <c r="L69" s="331">
        <f>C69*B69</f>
        <v>0</v>
      </c>
      <c r="M69" s="332">
        <f>D69*B69</f>
        <v>0</v>
      </c>
    </row>
    <row r="70" spans="1:13" ht="10.25" customHeight="1" thickBot="1" x14ac:dyDescent="0.3">
      <c r="A70" s="333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>
        <f>C70*B70</f>
        <v>0</v>
      </c>
      <c r="M70" s="335">
        <f>D70*B70</f>
        <v>0</v>
      </c>
    </row>
    <row r="71" spans="1:13" s="658" customFormat="1" ht="10.5" x14ac:dyDescent="0.25">
      <c r="A71" s="660" t="s">
        <v>1596</v>
      </c>
    </row>
    <row r="72" spans="1:13" s="658" customFormat="1" ht="10.5" x14ac:dyDescent="0.25">
      <c r="A72" s="661" t="s">
        <v>1595</v>
      </c>
      <c r="B72" s="662" t="s">
        <v>1564</v>
      </c>
      <c r="C72" s="661"/>
      <c r="D72" s="661"/>
      <c r="E72" s="661"/>
      <c r="F72" s="661"/>
      <c r="G72" s="661"/>
      <c r="H72" s="661"/>
      <c r="I72" s="661"/>
      <c r="J72" s="661"/>
      <c r="K72" s="661"/>
    </row>
    <row r="73" spans="1:13" s="658" customFormat="1" ht="10" x14ac:dyDescent="0.2">
      <c r="A73" s="658" t="s">
        <v>1577</v>
      </c>
      <c r="B73" s="658" t="s">
        <v>1578</v>
      </c>
    </row>
    <row r="74" spans="1:13" s="658" customFormat="1" ht="10" x14ac:dyDescent="0.2">
      <c r="A74" s="658" t="s">
        <v>1570</v>
      </c>
      <c r="B74" s="659" t="s">
        <v>1565</v>
      </c>
    </row>
    <row r="75" spans="1:13" s="658" customFormat="1" ht="10" x14ac:dyDescent="0.2">
      <c r="A75" s="658" t="s">
        <v>1566</v>
      </c>
      <c r="B75" s="658">
        <v>16</v>
      </c>
    </row>
    <row r="76" spans="1:13" s="658" customFormat="1" ht="10" x14ac:dyDescent="0.2">
      <c r="A76" s="658" t="s">
        <v>1567</v>
      </c>
      <c r="B76" s="658">
        <v>72</v>
      </c>
    </row>
    <row r="77" spans="1:13" s="658" customFormat="1" ht="10" x14ac:dyDescent="0.2">
      <c r="A77" s="658" t="s">
        <v>1568</v>
      </c>
      <c r="B77" s="658">
        <v>13</v>
      </c>
    </row>
    <row r="78" spans="1:13" s="658" customFormat="1" ht="10" x14ac:dyDescent="0.2">
      <c r="A78" s="658" t="s">
        <v>1569</v>
      </c>
      <c r="B78" s="658" t="s">
        <v>1571</v>
      </c>
    </row>
    <row r="79" spans="1:13" s="658" customFormat="1" ht="10" x14ac:dyDescent="0.2">
      <c r="A79" s="658" t="s">
        <v>1572</v>
      </c>
      <c r="B79" s="658" t="s">
        <v>1573</v>
      </c>
    </row>
    <row r="80" spans="1:13" s="658" customFormat="1" ht="10" x14ac:dyDescent="0.2">
      <c r="A80" s="658" t="s">
        <v>1574</v>
      </c>
      <c r="B80" s="658">
        <v>50</v>
      </c>
    </row>
    <row r="81" spans="1:11" s="658" customFormat="1" ht="10" x14ac:dyDescent="0.2">
      <c r="A81" s="658" t="s">
        <v>1575</v>
      </c>
      <c r="B81" s="658" t="s">
        <v>1576</v>
      </c>
    </row>
    <row r="82" spans="1:11" s="658" customFormat="1" ht="10" x14ac:dyDescent="0.2">
      <c r="A82" s="658" t="s">
        <v>1579</v>
      </c>
      <c r="B82" s="658" t="s">
        <v>1582</v>
      </c>
    </row>
    <row r="83" spans="1:11" s="658" customFormat="1" ht="10.5" x14ac:dyDescent="0.25">
      <c r="A83" s="658" t="s">
        <v>1580</v>
      </c>
      <c r="B83" s="660" t="s">
        <v>1583</v>
      </c>
      <c r="F83" s="658" t="s">
        <v>1584</v>
      </c>
    </row>
    <row r="84" spans="1:11" s="658" customFormat="1" ht="10" x14ac:dyDescent="0.2">
      <c r="F84" s="658" t="s">
        <v>1585</v>
      </c>
    </row>
    <row r="85" spans="1:11" s="658" customFormat="1" ht="10.5" x14ac:dyDescent="0.25">
      <c r="A85" s="658" t="s">
        <v>1581</v>
      </c>
      <c r="B85" s="660" t="s">
        <v>1586</v>
      </c>
      <c r="F85" s="658" t="s">
        <v>1587</v>
      </c>
    </row>
    <row r="86" spans="1:11" x14ac:dyDescent="0.25">
      <c r="F86" s="658" t="s">
        <v>1588</v>
      </c>
    </row>
    <row r="88" spans="1:11" x14ac:dyDescent="0.25">
      <c r="A88" s="668" t="s">
        <v>1594</v>
      </c>
      <c r="B88" s="669" t="s">
        <v>1630</v>
      </c>
      <c r="C88" s="668"/>
      <c r="D88" s="668"/>
      <c r="E88" s="668"/>
      <c r="F88" s="661"/>
      <c r="G88" s="661"/>
      <c r="H88" s="661"/>
      <c r="I88" s="661"/>
      <c r="J88" s="661"/>
      <c r="K88" s="661"/>
    </row>
    <row r="89" spans="1:11" x14ac:dyDescent="0.25">
      <c r="A89" s="658" t="s">
        <v>1577</v>
      </c>
      <c r="B89" s="658" t="s">
        <v>1593</v>
      </c>
      <c r="C89" s="658"/>
      <c r="D89" s="658"/>
      <c r="E89" s="658"/>
      <c r="F89" s="658"/>
      <c r="G89" s="658"/>
      <c r="H89" s="658"/>
      <c r="I89" s="658"/>
      <c r="J89" s="658"/>
      <c r="K89" s="658"/>
    </row>
    <row r="90" spans="1:11" x14ac:dyDescent="0.25">
      <c r="A90" s="658" t="s">
        <v>1570</v>
      </c>
      <c r="B90" s="659" t="s">
        <v>1589</v>
      </c>
      <c r="C90" s="658"/>
      <c r="D90" s="658"/>
      <c r="E90" s="658"/>
      <c r="F90" s="658"/>
      <c r="G90" s="658"/>
      <c r="H90" s="658"/>
      <c r="I90" s="658"/>
      <c r="J90" s="658"/>
      <c r="K90" s="658"/>
    </row>
    <row r="91" spans="1:11" x14ac:dyDescent="0.25">
      <c r="A91" s="658" t="s">
        <v>1575</v>
      </c>
      <c r="B91" s="658" t="s">
        <v>1592</v>
      </c>
      <c r="C91" s="658"/>
      <c r="D91" s="658"/>
      <c r="E91" s="658"/>
      <c r="F91" s="658"/>
      <c r="G91" s="658"/>
      <c r="H91" s="658"/>
      <c r="I91" s="658"/>
      <c r="J91" s="658"/>
      <c r="K91" s="658"/>
    </row>
    <row r="92" spans="1:11" x14ac:dyDescent="0.25">
      <c r="A92" s="658" t="s">
        <v>1579</v>
      </c>
      <c r="B92" s="658" t="s">
        <v>1590</v>
      </c>
      <c r="C92" s="658"/>
      <c r="D92" s="658"/>
      <c r="E92" s="658"/>
      <c r="F92" s="658" t="s">
        <v>1591</v>
      </c>
      <c r="G92" s="658"/>
      <c r="H92" s="658"/>
      <c r="I92" s="658"/>
      <c r="J92" s="658"/>
      <c r="K92" s="658"/>
    </row>
    <row r="94" spans="1:11" x14ac:dyDescent="0.25">
      <c r="A94" s="661" t="s">
        <v>1597</v>
      </c>
      <c r="B94" s="662" t="s">
        <v>1598</v>
      </c>
      <c r="C94" s="661"/>
      <c r="D94" s="663"/>
      <c r="E94" s="663"/>
      <c r="F94" s="663"/>
      <c r="G94" s="663"/>
      <c r="H94" s="663"/>
      <c r="I94" s="663"/>
      <c r="J94" s="663"/>
      <c r="K94" s="663"/>
    </row>
    <row r="95" spans="1:11" x14ac:dyDescent="0.25">
      <c r="A95" s="658" t="s">
        <v>1577</v>
      </c>
      <c r="B95" s="658" t="s">
        <v>1599</v>
      </c>
      <c r="C95" s="658"/>
    </row>
    <row r="96" spans="1:11" x14ac:dyDescent="0.25">
      <c r="A96" s="658" t="s">
        <v>1570</v>
      </c>
      <c r="B96" s="659" t="s">
        <v>1589</v>
      </c>
      <c r="C96" s="658"/>
    </row>
    <row r="97" spans="1:3" s="658" customFormat="1" ht="10" x14ac:dyDescent="0.2">
      <c r="A97" s="658" t="s">
        <v>1569</v>
      </c>
      <c r="B97" s="658" t="s">
        <v>1601</v>
      </c>
    </row>
    <row r="98" spans="1:3" s="658" customFormat="1" ht="10" x14ac:dyDescent="0.2">
      <c r="A98" s="658" t="s">
        <v>1602</v>
      </c>
      <c r="B98" s="658" t="s">
        <v>1603</v>
      </c>
    </row>
    <row r="99" spans="1:3" s="658" customFormat="1" ht="10" x14ac:dyDescent="0.2">
      <c r="A99" s="658" t="s">
        <v>1574</v>
      </c>
      <c r="B99" s="658">
        <v>50</v>
      </c>
    </row>
    <row r="100" spans="1:3" x14ac:dyDescent="0.25">
      <c r="A100" s="658" t="s">
        <v>1575</v>
      </c>
      <c r="B100" s="658" t="s">
        <v>1604</v>
      </c>
      <c r="C100" s="658"/>
    </row>
    <row r="101" spans="1:3" x14ac:dyDescent="0.25">
      <c r="A101" s="658" t="s">
        <v>1579</v>
      </c>
      <c r="B101" s="658" t="s">
        <v>1600</v>
      </c>
      <c r="C101" s="658"/>
    </row>
  </sheetData>
  <pageMargins left="0.23622047244094491" right="0.23622047244094491" top="0.35433070866141736" bottom="0.35433070866141736" header="0.31496062992125984" footer="0.31496062992125984"/>
  <pageSetup orientation="portrait" r:id="rId1"/>
  <headerFooter>
    <oddFooter>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opLeftCell="A65" zoomScale="145" zoomScaleNormal="145" workbookViewId="0">
      <selection activeCell="A16" sqref="A16"/>
    </sheetView>
  </sheetViews>
  <sheetFormatPr baseColWidth="10" defaultColWidth="8.90625" defaultRowHeight="11.5" x14ac:dyDescent="0.25"/>
  <cols>
    <col min="1" max="1" width="18" style="345" bestFit="1" customWidth="1"/>
    <col min="2" max="2" width="3.90625" style="345" bestFit="1" customWidth="1"/>
    <col min="3" max="3" width="4.08984375" style="345" bestFit="1" customWidth="1"/>
    <col min="4" max="4" width="4.36328125" style="345" bestFit="1" customWidth="1"/>
    <col min="5" max="5" width="6.36328125" style="345" bestFit="1" customWidth="1"/>
    <col min="6" max="6" width="11.08984375" style="345" customWidth="1"/>
    <col min="7" max="7" width="10.90625" style="345" customWidth="1"/>
    <col min="8" max="8" width="4.36328125" style="345" bestFit="1" customWidth="1"/>
    <col min="9" max="9" width="3.453125" style="345" bestFit="1" customWidth="1"/>
    <col min="10" max="10" width="3.6328125" style="345" bestFit="1" customWidth="1"/>
    <col min="11" max="11" width="11.36328125" style="345" customWidth="1"/>
    <col min="12" max="12" width="5.54296875" style="345" customWidth="1"/>
    <col min="13" max="13" width="6.08984375" style="345" customWidth="1"/>
    <col min="14" max="256" width="8.90625" style="345"/>
    <col min="257" max="257" width="25.36328125" style="345" customWidth="1"/>
    <col min="258" max="258" width="3.90625" style="345" bestFit="1" customWidth="1"/>
    <col min="259" max="259" width="4.08984375" style="345" bestFit="1" customWidth="1"/>
    <col min="260" max="260" width="4.36328125" style="345" bestFit="1" customWidth="1"/>
    <col min="261" max="261" width="6.36328125" style="345" bestFit="1" customWidth="1"/>
    <col min="262" max="262" width="11.08984375" style="345" customWidth="1"/>
    <col min="263" max="263" width="10.90625" style="345" customWidth="1"/>
    <col min="264" max="264" width="4.36328125" style="345" bestFit="1" customWidth="1"/>
    <col min="265" max="265" width="3.453125" style="345" bestFit="1" customWidth="1"/>
    <col min="266" max="266" width="3.6328125" style="345" bestFit="1" customWidth="1"/>
    <col min="267" max="267" width="11.36328125" style="345" customWidth="1"/>
    <col min="268" max="268" width="5.54296875" style="345" customWidth="1"/>
    <col min="269" max="269" width="6.08984375" style="345" customWidth="1"/>
    <col min="270" max="512" width="8.90625" style="345"/>
    <col min="513" max="513" width="25.36328125" style="345" customWidth="1"/>
    <col min="514" max="514" width="3.90625" style="345" bestFit="1" customWidth="1"/>
    <col min="515" max="515" width="4.08984375" style="345" bestFit="1" customWidth="1"/>
    <col min="516" max="516" width="4.36328125" style="345" bestFit="1" customWidth="1"/>
    <col min="517" max="517" width="6.36328125" style="345" bestFit="1" customWidth="1"/>
    <col min="518" max="518" width="11.08984375" style="345" customWidth="1"/>
    <col min="519" max="519" width="10.90625" style="345" customWidth="1"/>
    <col min="520" max="520" width="4.36328125" style="345" bestFit="1" customWidth="1"/>
    <col min="521" max="521" width="3.453125" style="345" bestFit="1" customWidth="1"/>
    <col min="522" max="522" width="3.6328125" style="345" bestFit="1" customWidth="1"/>
    <col min="523" max="523" width="11.36328125" style="345" customWidth="1"/>
    <col min="524" max="524" width="5.54296875" style="345" customWidth="1"/>
    <col min="525" max="525" width="6.08984375" style="345" customWidth="1"/>
    <col min="526" max="768" width="8.90625" style="345"/>
    <col min="769" max="769" width="25.36328125" style="345" customWidth="1"/>
    <col min="770" max="770" width="3.90625" style="345" bestFit="1" customWidth="1"/>
    <col min="771" max="771" width="4.08984375" style="345" bestFit="1" customWidth="1"/>
    <col min="772" max="772" width="4.36328125" style="345" bestFit="1" customWidth="1"/>
    <col min="773" max="773" width="6.36328125" style="345" bestFit="1" customWidth="1"/>
    <col min="774" max="774" width="11.08984375" style="345" customWidth="1"/>
    <col min="775" max="775" width="10.90625" style="345" customWidth="1"/>
    <col min="776" max="776" width="4.36328125" style="345" bestFit="1" customWidth="1"/>
    <col min="777" max="777" width="3.453125" style="345" bestFit="1" customWidth="1"/>
    <col min="778" max="778" width="3.6328125" style="345" bestFit="1" customWidth="1"/>
    <col min="779" max="779" width="11.36328125" style="345" customWidth="1"/>
    <col min="780" max="780" width="5.54296875" style="345" customWidth="1"/>
    <col min="781" max="781" width="6.08984375" style="345" customWidth="1"/>
    <col min="782" max="1024" width="8.90625" style="345"/>
    <col min="1025" max="1025" width="25.36328125" style="345" customWidth="1"/>
    <col min="1026" max="1026" width="3.90625" style="345" bestFit="1" customWidth="1"/>
    <col min="1027" max="1027" width="4.08984375" style="345" bestFit="1" customWidth="1"/>
    <col min="1028" max="1028" width="4.36328125" style="345" bestFit="1" customWidth="1"/>
    <col min="1029" max="1029" width="6.36328125" style="345" bestFit="1" customWidth="1"/>
    <col min="1030" max="1030" width="11.08984375" style="345" customWidth="1"/>
    <col min="1031" max="1031" width="10.90625" style="345" customWidth="1"/>
    <col min="1032" max="1032" width="4.36328125" style="345" bestFit="1" customWidth="1"/>
    <col min="1033" max="1033" width="3.453125" style="345" bestFit="1" customWidth="1"/>
    <col min="1034" max="1034" width="3.6328125" style="345" bestFit="1" customWidth="1"/>
    <col min="1035" max="1035" width="11.36328125" style="345" customWidth="1"/>
    <col min="1036" max="1036" width="5.54296875" style="345" customWidth="1"/>
    <col min="1037" max="1037" width="6.08984375" style="345" customWidth="1"/>
    <col min="1038" max="1280" width="8.90625" style="345"/>
    <col min="1281" max="1281" width="25.36328125" style="345" customWidth="1"/>
    <col min="1282" max="1282" width="3.90625" style="345" bestFit="1" customWidth="1"/>
    <col min="1283" max="1283" width="4.08984375" style="345" bestFit="1" customWidth="1"/>
    <col min="1284" max="1284" width="4.36328125" style="345" bestFit="1" customWidth="1"/>
    <col min="1285" max="1285" width="6.36328125" style="345" bestFit="1" customWidth="1"/>
    <col min="1286" max="1286" width="11.08984375" style="345" customWidth="1"/>
    <col min="1287" max="1287" width="10.90625" style="345" customWidth="1"/>
    <col min="1288" max="1288" width="4.36328125" style="345" bestFit="1" customWidth="1"/>
    <col min="1289" max="1289" width="3.453125" style="345" bestFit="1" customWidth="1"/>
    <col min="1290" max="1290" width="3.6328125" style="345" bestFit="1" customWidth="1"/>
    <col min="1291" max="1291" width="11.36328125" style="345" customWidth="1"/>
    <col min="1292" max="1292" width="5.54296875" style="345" customWidth="1"/>
    <col min="1293" max="1293" width="6.08984375" style="345" customWidth="1"/>
    <col min="1294" max="1536" width="8.90625" style="345"/>
    <col min="1537" max="1537" width="25.36328125" style="345" customWidth="1"/>
    <col min="1538" max="1538" width="3.90625" style="345" bestFit="1" customWidth="1"/>
    <col min="1539" max="1539" width="4.08984375" style="345" bestFit="1" customWidth="1"/>
    <col min="1540" max="1540" width="4.36328125" style="345" bestFit="1" customWidth="1"/>
    <col min="1541" max="1541" width="6.36328125" style="345" bestFit="1" customWidth="1"/>
    <col min="1542" max="1542" width="11.08984375" style="345" customWidth="1"/>
    <col min="1543" max="1543" width="10.90625" style="345" customWidth="1"/>
    <col min="1544" max="1544" width="4.36328125" style="345" bestFit="1" customWidth="1"/>
    <col min="1545" max="1545" width="3.453125" style="345" bestFit="1" customWidth="1"/>
    <col min="1546" max="1546" width="3.6328125" style="345" bestFit="1" customWidth="1"/>
    <col min="1547" max="1547" width="11.36328125" style="345" customWidth="1"/>
    <col min="1548" max="1548" width="5.54296875" style="345" customWidth="1"/>
    <col min="1549" max="1549" width="6.08984375" style="345" customWidth="1"/>
    <col min="1550" max="1792" width="8.90625" style="345"/>
    <col min="1793" max="1793" width="25.36328125" style="345" customWidth="1"/>
    <col min="1794" max="1794" width="3.90625" style="345" bestFit="1" customWidth="1"/>
    <col min="1795" max="1795" width="4.08984375" style="345" bestFit="1" customWidth="1"/>
    <col min="1796" max="1796" width="4.36328125" style="345" bestFit="1" customWidth="1"/>
    <col min="1797" max="1797" width="6.36328125" style="345" bestFit="1" customWidth="1"/>
    <col min="1798" max="1798" width="11.08984375" style="345" customWidth="1"/>
    <col min="1799" max="1799" width="10.90625" style="345" customWidth="1"/>
    <col min="1800" max="1800" width="4.36328125" style="345" bestFit="1" customWidth="1"/>
    <col min="1801" max="1801" width="3.453125" style="345" bestFit="1" customWidth="1"/>
    <col min="1802" max="1802" width="3.6328125" style="345" bestFit="1" customWidth="1"/>
    <col min="1803" max="1803" width="11.36328125" style="345" customWidth="1"/>
    <col min="1804" max="1804" width="5.54296875" style="345" customWidth="1"/>
    <col min="1805" max="1805" width="6.08984375" style="345" customWidth="1"/>
    <col min="1806" max="2048" width="8.90625" style="345"/>
    <col min="2049" max="2049" width="25.36328125" style="345" customWidth="1"/>
    <col min="2050" max="2050" width="3.90625" style="345" bestFit="1" customWidth="1"/>
    <col min="2051" max="2051" width="4.08984375" style="345" bestFit="1" customWidth="1"/>
    <col min="2052" max="2052" width="4.36328125" style="345" bestFit="1" customWidth="1"/>
    <col min="2053" max="2053" width="6.36328125" style="345" bestFit="1" customWidth="1"/>
    <col min="2054" max="2054" width="11.08984375" style="345" customWidth="1"/>
    <col min="2055" max="2055" width="10.90625" style="345" customWidth="1"/>
    <col min="2056" max="2056" width="4.36328125" style="345" bestFit="1" customWidth="1"/>
    <col min="2057" max="2057" width="3.453125" style="345" bestFit="1" customWidth="1"/>
    <col min="2058" max="2058" width="3.6328125" style="345" bestFit="1" customWidth="1"/>
    <col min="2059" max="2059" width="11.36328125" style="345" customWidth="1"/>
    <col min="2060" max="2060" width="5.54296875" style="345" customWidth="1"/>
    <col min="2061" max="2061" width="6.08984375" style="345" customWidth="1"/>
    <col min="2062" max="2304" width="8.90625" style="345"/>
    <col min="2305" max="2305" width="25.36328125" style="345" customWidth="1"/>
    <col min="2306" max="2306" width="3.90625" style="345" bestFit="1" customWidth="1"/>
    <col min="2307" max="2307" width="4.08984375" style="345" bestFit="1" customWidth="1"/>
    <col min="2308" max="2308" width="4.36328125" style="345" bestFit="1" customWidth="1"/>
    <col min="2309" max="2309" width="6.36328125" style="345" bestFit="1" customWidth="1"/>
    <col min="2310" max="2310" width="11.08984375" style="345" customWidth="1"/>
    <col min="2311" max="2311" width="10.90625" style="345" customWidth="1"/>
    <col min="2312" max="2312" width="4.36328125" style="345" bestFit="1" customWidth="1"/>
    <col min="2313" max="2313" width="3.453125" style="345" bestFit="1" customWidth="1"/>
    <col min="2314" max="2314" width="3.6328125" style="345" bestFit="1" customWidth="1"/>
    <col min="2315" max="2315" width="11.36328125" style="345" customWidth="1"/>
    <col min="2316" max="2316" width="5.54296875" style="345" customWidth="1"/>
    <col min="2317" max="2317" width="6.08984375" style="345" customWidth="1"/>
    <col min="2318" max="2560" width="8.90625" style="345"/>
    <col min="2561" max="2561" width="25.36328125" style="345" customWidth="1"/>
    <col min="2562" max="2562" width="3.90625" style="345" bestFit="1" customWidth="1"/>
    <col min="2563" max="2563" width="4.08984375" style="345" bestFit="1" customWidth="1"/>
    <col min="2564" max="2564" width="4.36328125" style="345" bestFit="1" customWidth="1"/>
    <col min="2565" max="2565" width="6.36328125" style="345" bestFit="1" customWidth="1"/>
    <col min="2566" max="2566" width="11.08984375" style="345" customWidth="1"/>
    <col min="2567" max="2567" width="10.90625" style="345" customWidth="1"/>
    <col min="2568" max="2568" width="4.36328125" style="345" bestFit="1" customWidth="1"/>
    <col min="2569" max="2569" width="3.453125" style="345" bestFit="1" customWidth="1"/>
    <col min="2570" max="2570" width="3.6328125" style="345" bestFit="1" customWidth="1"/>
    <col min="2571" max="2571" width="11.36328125" style="345" customWidth="1"/>
    <col min="2572" max="2572" width="5.54296875" style="345" customWidth="1"/>
    <col min="2573" max="2573" width="6.08984375" style="345" customWidth="1"/>
    <col min="2574" max="2816" width="8.90625" style="345"/>
    <col min="2817" max="2817" width="25.36328125" style="345" customWidth="1"/>
    <col min="2818" max="2818" width="3.90625" style="345" bestFit="1" customWidth="1"/>
    <col min="2819" max="2819" width="4.08984375" style="345" bestFit="1" customWidth="1"/>
    <col min="2820" max="2820" width="4.36328125" style="345" bestFit="1" customWidth="1"/>
    <col min="2821" max="2821" width="6.36328125" style="345" bestFit="1" customWidth="1"/>
    <col min="2822" max="2822" width="11.08984375" style="345" customWidth="1"/>
    <col min="2823" max="2823" width="10.90625" style="345" customWidth="1"/>
    <col min="2824" max="2824" width="4.36328125" style="345" bestFit="1" customWidth="1"/>
    <col min="2825" max="2825" width="3.453125" style="345" bestFit="1" customWidth="1"/>
    <col min="2826" max="2826" width="3.6328125" style="345" bestFit="1" customWidth="1"/>
    <col min="2827" max="2827" width="11.36328125" style="345" customWidth="1"/>
    <col min="2828" max="2828" width="5.54296875" style="345" customWidth="1"/>
    <col min="2829" max="2829" width="6.08984375" style="345" customWidth="1"/>
    <col min="2830" max="3072" width="8.90625" style="345"/>
    <col min="3073" max="3073" width="25.36328125" style="345" customWidth="1"/>
    <col min="3074" max="3074" width="3.90625" style="345" bestFit="1" customWidth="1"/>
    <col min="3075" max="3075" width="4.08984375" style="345" bestFit="1" customWidth="1"/>
    <col min="3076" max="3076" width="4.36328125" style="345" bestFit="1" customWidth="1"/>
    <col min="3077" max="3077" width="6.36328125" style="345" bestFit="1" customWidth="1"/>
    <col min="3078" max="3078" width="11.08984375" style="345" customWidth="1"/>
    <col min="3079" max="3079" width="10.90625" style="345" customWidth="1"/>
    <col min="3080" max="3080" width="4.36328125" style="345" bestFit="1" customWidth="1"/>
    <col min="3081" max="3081" width="3.453125" style="345" bestFit="1" customWidth="1"/>
    <col min="3082" max="3082" width="3.6328125" style="345" bestFit="1" customWidth="1"/>
    <col min="3083" max="3083" width="11.36328125" style="345" customWidth="1"/>
    <col min="3084" max="3084" width="5.54296875" style="345" customWidth="1"/>
    <col min="3085" max="3085" width="6.08984375" style="345" customWidth="1"/>
    <col min="3086" max="3328" width="8.90625" style="345"/>
    <col min="3329" max="3329" width="25.36328125" style="345" customWidth="1"/>
    <col min="3330" max="3330" width="3.90625" style="345" bestFit="1" customWidth="1"/>
    <col min="3331" max="3331" width="4.08984375" style="345" bestFit="1" customWidth="1"/>
    <col min="3332" max="3332" width="4.36328125" style="345" bestFit="1" customWidth="1"/>
    <col min="3333" max="3333" width="6.36328125" style="345" bestFit="1" customWidth="1"/>
    <col min="3334" max="3334" width="11.08984375" style="345" customWidth="1"/>
    <col min="3335" max="3335" width="10.90625" style="345" customWidth="1"/>
    <col min="3336" max="3336" width="4.36328125" style="345" bestFit="1" customWidth="1"/>
    <col min="3337" max="3337" width="3.453125" style="345" bestFit="1" customWidth="1"/>
    <col min="3338" max="3338" width="3.6328125" style="345" bestFit="1" customWidth="1"/>
    <col min="3339" max="3339" width="11.36328125" style="345" customWidth="1"/>
    <col min="3340" max="3340" width="5.54296875" style="345" customWidth="1"/>
    <col min="3341" max="3341" width="6.08984375" style="345" customWidth="1"/>
    <col min="3342" max="3584" width="8.90625" style="345"/>
    <col min="3585" max="3585" width="25.36328125" style="345" customWidth="1"/>
    <col min="3586" max="3586" width="3.90625" style="345" bestFit="1" customWidth="1"/>
    <col min="3587" max="3587" width="4.08984375" style="345" bestFit="1" customWidth="1"/>
    <col min="3588" max="3588" width="4.36328125" style="345" bestFit="1" customWidth="1"/>
    <col min="3589" max="3589" width="6.36328125" style="345" bestFit="1" customWidth="1"/>
    <col min="3590" max="3590" width="11.08984375" style="345" customWidth="1"/>
    <col min="3591" max="3591" width="10.90625" style="345" customWidth="1"/>
    <col min="3592" max="3592" width="4.36328125" style="345" bestFit="1" customWidth="1"/>
    <col min="3593" max="3593" width="3.453125" style="345" bestFit="1" customWidth="1"/>
    <col min="3594" max="3594" width="3.6328125" style="345" bestFit="1" customWidth="1"/>
    <col min="3595" max="3595" width="11.36328125" style="345" customWidth="1"/>
    <col min="3596" max="3596" width="5.54296875" style="345" customWidth="1"/>
    <col min="3597" max="3597" width="6.08984375" style="345" customWidth="1"/>
    <col min="3598" max="3840" width="8.90625" style="345"/>
    <col min="3841" max="3841" width="25.36328125" style="345" customWidth="1"/>
    <col min="3842" max="3842" width="3.90625" style="345" bestFit="1" customWidth="1"/>
    <col min="3843" max="3843" width="4.08984375" style="345" bestFit="1" customWidth="1"/>
    <col min="3844" max="3844" width="4.36328125" style="345" bestFit="1" customWidth="1"/>
    <col min="3845" max="3845" width="6.36328125" style="345" bestFit="1" customWidth="1"/>
    <col min="3846" max="3846" width="11.08984375" style="345" customWidth="1"/>
    <col min="3847" max="3847" width="10.90625" style="345" customWidth="1"/>
    <col min="3848" max="3848" width="4.36328125" style="345" bestFit="1" customWidth="1"/>
    <col min="3849" max="3849" width="3.453125" style="345" bestFit="1" customWidth="1"/>
    <col min="3850" max="3850" width="3.6328125" style="345" bestFit="1" customWidth="1"/>
    <col min="3851" max="3851" width="11.36328125" style="345" customWidth="1"/>
    <col min="3852" max="3852" width="5.54296875" style="345" customWidth="1"/>
    <col min="3853" max="3853" width="6.08984375" style="345" customWidth="1"/>
    <col min="3854" max="4096" width="8.90625" style="345"/>
    <col min="4097" max="4097" width="25.36328125" style="345" customWidth="1"/>
    <col min="4098" max="4098" width="3.90625" style="345" bestFit="1" customWidth="1"/>
    <col min="4099" max="4099" width="4.08984375" style="345" bestFit="1" customWidth="1"/>
    <col min="4100" max="4100" width="4.36328125" style="345" bestFit="1" customWidth="1"/>
    <col min="4101" max="4101" width="6.36328125" style="345" bestFit="1" customWidth="1"/>
    <col min="4102" max="4102" width="11.08984375" style="345" customWidth="1"/>
    <col min="4103" max="4103" width="10.90625" style="345" customWidth="1"/>
    <col min="4104" max="4104" width="4.36328125" style="345" bestFit="1" customWidth="1"/>
    <col min="4105" max="4105" width="3.453125" style="345" bestFit="1" customWidth="1"/>
    <col min="4106" max="4106" width="3.6328125" style="345" bestFit="1" customWidth="1"/>
    <col min="4107" max="4107" width="11.36328125" style="345" customWidth="1"/>
    <col min="4108" max="4108" width="5.54296875" style="345" customWidth="1"/>
    <col min="4109" max="4109" width="6.08984375" style="345" customWidth="1"/>
    <col min="4110" max="4352" width="8.90625" style="345"/>
    <col min="4353" max="4353" width="25.36328125" style="345" customWidth="1"/>
    <col min="4354" max="4354" width="3.90625" style="345" bestFit="1" customWidth="1"/>
    <col min="4355" max="4355" width="4.08984375" style="345" bestFit="1" customWidth="1"/>
    <col min="4356" max="4356" width="4.36328125" style="345" bestFit="1" customWidth="1"/>
    <col min="4357" max="4357" width="6.36328125" style="345" bestFit="1" customWidth="1"/>
    <col min="4358" max="4358" width="11.08984375" style="345" customWidth="1"/>
    <col min="4359" max="4359" width="10.90625" style="345" customWidth="1"/>
    <col min="4360" max="4360" width="4.36328125" style="345" bestFit="1" customWidth="1"/>
    <col min="4361" max="4361" width="3.453125" style="345" bestFit="1" customWidth="1"/>
    <col min="4362" max="4362" width="3.6328125" style="345" bestFit="1" customWidth="1"/>
    <col min="4363" max="4363" width="11.36328125" style="345" customWidth="1"/>
    <col min="4364" max="4364" width="5.54296875" style="345" customWidth="1"/>
    <col min="4365" max="4365" width="6.08984375" style="345" customWidth="1"/>
    <col min="4366" max="4608" width="8.90625" style="345"/>
    <col min="4609" max="4609" width="25.36328125" style="345" customWidth="1"/>
    <col min="4610" max="4610" width="3.90625" style="345" bestFit="1" customWidth="1"/>
    <col min="4611" max="4611" width="4.08984375" style="345" bestFit="1" customWidth="1"/>
    <col min="4612" max="4612" width="4.36328125" style="345" bestFit="1" customWidth="1"/>
    <col min="4613" max="4613" width="6.36328125" style="345" bestFit="1" customWidth="1"/>
    <col min="4614" max="4614" width="11.08984375" style="345" customWidth="1"/>
    <col min="4615" max="4615" width="10.90625" style="345" customWidth="1"/>
    <col min="4616" max="4616" width="4.36328125" style="345" bestFit="1" customWidth="1"/>
    <col min="4617" max="4617" width="3.453125" style="345" bestFit="1" customWidth="1"/>
    <col min="4618" max="4618" width="3.6328125" style="345" bestFit="1" customWidth="1"/>
    <col min="4619" max="4619" width="11.36328125" style="345" customWidth="1"/>
    <col min="4620" max="4620" width="5.54296875" style="345" customWidth="1"/>
    <col min="4621" max="4621" width="6.08984375" style="345" customWidth="1"/>
    <col min="4622" max="4864" width="8.90625" style="345"/>
    <col min="4865" max="4865" width="25.36328125" style="345" customWidth="1"/>
    <col min="4866" max="4866" width="3.90625" style="345" bestFit="1" customWidth="1"/>
    <col min="4867" max="4867" width="4.08984375" style="345" bestFit="1" customWidth="1"/>
    <col min="4868" max="4868" width="4.36328125" style="345" bestFit="1" customWidth="1"/>
    <col min="4869" max="4869" width="6.36328125" style="345" bestFit="1" customWidth="1"/>
    <col min="4870" max="4870" width="11.08984375" style="345" customWidth="1"/>
    <col min="4871" max="4871" width="10.90625" style="345" customWidth="1"/>
    <col min="4872" max="4872" width="4.36328125" style="345" bestFit="1" customWidth="1"/>
    <col min="4873" max="4873" width="3.453125" style="345" bestFit="1" customWidth="1"/>
    <col min="4874" max="4874" width="3.6328125" style="345" bestFit="1" customWidth="1"/>
    <col min="4875" max="4875" width="11.36328125" style="345" customWidth="1"/>
    <col min="4876" max="4876" width="5.54296875" style="345" customWidth="1"/>
    <col min="4877" max="4877" width="6.08984375" style="345" customWidth="1"/>
    <col min="4878" max="5120" width="8.90625" style="345"/>
    <col min="5121" max="5121" width="25.36328125" style="345" customWidth="1"/>
    <col min="5122" max="5122" width="3.90625" style="345" bestFit="1" customWidth="1"/>
    <col min="5123" max="5123" width="4.08984375" style="345" bestFit="1" customWidth="1"/>
    <col min="5124" max="5124" width="4.36328125" style="345" bestFit="1" customWidth="1"/>
    <col min="5125" max="5125" width="6.36328125" style="345" bestFit="1" customWidth="1"/>
    <col min="5126" max="5126" width="11.08984375" style="345" customWidth="1"/>
    <col min="5127" max="5127" width="10.90625" style="345" customWidth="1"/>
    <col min="5128" max="5128" width="4.36328125" style="345" bestFit="1" customWidth="1"/>
    <col min="5129" max="5129" width="3.453125" style="345" bestFit="1" customWidth="1"/>
    <col min="5130" max="5130" width="3.6328125" style="345" bestFit="1" customWidth="1"/>
    <col min="5131" max="5131" width="11.36328125" style="345" customWidth="1"/>
    <col min="5132" max="5132" width="5.54296875" style="345" customWidth="1"/>
    <col min="5133" max="5133" width="6.08984375" style="345" customWidth="1"/>
    <col min="5134" max="5376" width="8.90625" style="345"/>
    <col min="5377" max="5377" width="25.36328125" style="345" customWidth="1"/>
    <col min="5378" max="5378" width="3.90625" style="345" bestFit="1" customWidth="1"/>
    <col min="5379" max="5379" width="4.08984375" style="345" bestFit="1" customWidth="1"/>
    <col min="5380" max="5380" width="4.36328125" style="345" bestFit="1" customWidth="1"/>
    <col min="5381" max="5381" width="6.36328125" style="345" bestFit="1" customWidth="1"/>
    <col min="5382" max="5382" width="11.08984375" style="345" customWidth="1"/>
    <col min="5383" max="5383" width="10.90625" style="345" customWidth="1"/>
    <col min="5384" max="5384" width="4.36328125" style="345" bestFit="1" customWidth="1"/>
    <col min="5385" max="5385" width="3.453125" style="345" bestFit="1" customWidth="1"/>
    <col min="5386" max="5386" width="3.6328125" style="345" bestFit="1" customWidth="1"/>
    <col min="5387" max="5387" width="11.36328125" style="345" customWidth="1"/>
    <col min="5388" max="5388" width="5.54296875" style="345" customWidth="1"/>
    <col min="5389" max="5389" width="6.08984375" style="345" customWidth="1"/>
    <col min="5390" max="5632" width="8.90625" style="345"/>
    <col min="5633" max="5633" width="25.36328125" style="345" customWidth="1"/>
    <col min="5634" max="5634" width="3.90625" style="345" bestFit="1" customWidth="1"/>
    <col min="5635" max="5635" width="4.08984375" style="345" bestFit="1" customWidth="1"/>
    <col min="5636" max="5636" width="4.36328125" style="345" bestFit="1" customWidth="1"/>
    <col min="5637" max="5637" width="6.36328125" style="345" bestFit="1" customWidth="1"/>
    <col min="5638" max="5638" width="11.08984375" style="345" customWidth="1"/>
    <col min="5639" max="5639" width="10.90625" style="345" customWidth="1"/>
    <col min="5640" max="5640" width="4.36328125" style="345" bestFit="1" customWidth="1"/>
    <col min="5641" max="5641" width="3.453125" style="345" bestFit="1" customWidth="1"/>
    <col min="5642" max="5642" width="3.6328125" style="345" bestFit="1" customWidth="1"/>
    <col min="5643" max="5643" width="11.36328125" style="345" customWidth="1"/>
    <col min="5644" max="5644" width="5.54296875" style="345" customWidth="1"/>
    <col min="5645" max="5645" width="6.08984375" style="345" customWidth="1"/>
    <col min="5646" max="5888" width="8.90625" style="345"/>
    <col min="5889" max="5889" width="25.36328125" style="345" customWidth="1"/>
    <col min="5890" max="5890" width="3.90625" style="345" bestFit="1" customWidth="1"/>
    <col min="5891" max="5891" width="4.08984375" style="345" bestFit="1" customWidth="1"/>
    <col min="5892" max="5892" width="4.36328125" style="345" bestFit="1" customWidth="1"/>
    <col min="5893" max="5893" width="6.36328125" style="345" bestFit="1" customWidth="1"/>
    <col min="5894" max="5894" width="11.08984375" style="345" customWidth="1"/>
    <col min="5895" max="5895" width="10.90625" style="345" customWidth="1"/>
    <col min="5896" max="5896" width="4.36328125" style="345" bestFit="1" customWidth="1"/>
    <col min="5897" max="5897" width="3.453125" style="345" bestFit="1" customWidth="1"/>
    <col min="5898" max="5898" width="3.6328125" style="345" bestFit="1" customWidth="1"/>
    <col min="5899" max="5899" width="11.36328125" style="345" customWidth="1"/>
    <col min="5900" max="5900" width="5.54296875" style="345" customWidth="1"/>
    <col min="5901" max="5901" width="6.08984375" style="345" customWidth="1"/>
    <col min="5902" max="6144" width="8.90625" style="345"/>
    <col min="6145" max="6145" width="25.36328125" style="345" customWidth="1"/>
    <col min="6146" max="6146" width="3.90625" style="345" bestFit="1" customWidth="1"/>
    <col min="6147" max="6147" width="4.08984375" style="345" bestFit="1" customWidth="1"/>
    <col min="6148" max="6148" width="4.36328125" style="345" bestFit="1" customWidth="1"/>
    <col min="6149" max="6149" width="6.36328125" style="345" bestFit="1" customWidth="1"/>
    <col min="6150" max="6150" width="11.08984375" style="345" customWidth="1"/>
    <col min="6151" max="6151" width="10.90625" style="345" customWidth="1"/>
    <col min="6152" max="6152" width="4.36328125" style="345" bestFit="1" customWidth="1"/>
    <col min="6153" max="6153" width="3.453125" style="345" bestFit="1" customWidth="1"/>
    <col min="6154" max="6154" width="3.6328125" style="345" bestFit="1" customWidth="1"/>
    <col min="6155" max="6155" width="11.36328125" style="345" customWidth="1"/>
    <col min="6156" max="6156" width="5.54296875" style="345" customWidth="1"/>
    <col min="6157" max="6157" width="6.08984375" style="345" customWidth="1"/>
    <col min="6158" max="6400" width="8.90625" style="345"/>
    <col min="6401" max="6401" width="25.36328125" style="345" customWidth="1"/>
    <col min="6402" max="6402" width="3.90625" style="345" bestFit="1" customWidth="1"/>
    <col min="6403" max="6403" width="4.08984375" style="345" bestFit="1" customWidth="1"/>
    <col min="6404" max="6404" width="4.36328125" style="345" bestFit="1" customWidth="1"/>
    <col min="6405" max="6405" width="6.36328125" style="345" bestFit="1" customWidth="1"/>
    <col min="6406" max="6406" width="11.08984375" style="345" customWidth="1"/>
    <col min="6407" max="6407" width="10.90625" style="345" customWidth="1"/>
    <col min="6408" max="6408" width="4.36328125" style="345" bestFit="1" customWidth="1"/>
    <col min="6409" max="6409" width="3.453125" style="345" bestFit="1" customWidth="1"/>
    <col min="6410" max="6410" width="3.6328125" style="345" bestFit="1" customWidth="1"/>
    <col min="6411" max="6411" width="11.36328125" style="345" customWidth="1"/>
    <col min="6412" max="6412" width="5.54296875" style="345" customWidth="1"/>
    <col min="6413" max="6413" width="6.08984375" style="345" customWidth="1"/>
    <col min="6414" max="6656" width="8.90625" style="345"/>
    <col min="6657" max="6657" width="25.36328125" style="345" customWidth="1"/>
    <col min="6658" max="6658" width="3.90625" style="345" bestFit="1" customWidth="1"/>
    <col min="6659" max="6659" width="4.08984375" style="345" bestFit="1" customWidth="1"/>
    <col min="6660" max="6660" width="4.36328125" style="345" bestFit="1" customWidth="1"/>
    <col min="6661" max="6661" width="6.36328125" style="345" bestFit="1" customWidth="1"/>
    <col min="6662" max="6662" width="11.08984375" style="345" customWidth="1"/>
    <col min="6663" max="6663" width="10.90625" style="345" customWidth="1"/>
    <col min="6664" max="6664" width="4.36328125" style="345" bestFit="1" customWidth="1"/>
    <col min="6665" max="6665" width="3.453125" style="345" bestFit="1" customWidth="1"/>
    <col min="6666" max="6666" width="3.6328125" style="345" bestFit="1" customWidth="1"/>
    <col min="6667" max="6667" width="11.36328125" style="345" customWidth="1"/>
    <col min="6668" max="6668" width="5.54296875" style="345" customWidth="1"/>
    <col min="6669" max="6669" width="6.08984375" style="345" customWidth="1"/>
    <col min="6670" max="6912" width="8.90625" style="345"/>
    <col min="6913" max="6913" width="25.36328125" style="345" customWidth="1"/>
    <col min="6914" max="6914" width="3.90625" style="345" bestFit="1" customWidth="1"/>
    <col min="6915" max="6915" width="4.08984375" style="345" bestFit="1" customWidth="1"/>
    <col min="6916" max="6916" width="4.36328125" style="345" bestFit="1" customWidth="1"/>
    <col min="6917" max="6917" width="6.36328125" style="345" bestFit="1" customWidth="1"/>
    <col min="6918" max="6918" width="11.08984375" style="345" customWidth="1"/>
    <col min="6919" max="6919" width="10.90625" style="345" customWidth="1"/>
    <col min="6920" max="6920" width="4.36328125" style="345" bestFit="1" customWidth="1"/>
    <col min="6921" max="6921" width="3.453125" style="345" bestFit="1" customWidth="1"/>
    <col min="6922" max="6922" width="3.6328125" style="345" bestFit="1" customWidth="1"/>
    <col min="6923" max="6923" width="11.36328125" style="345" customWidth="1"/>
    <col min="6924" max="6924" width="5.54296875" style="345" customWidth="1"/>
    <col min="6925" max="6925" width="6.08984375" style="345" customWidth="1"/>
    <col min="6926" max="7168" width="8.90625" style="345"/>
    <col min="7169" max="7169" width="25.36328125" style="345" customWidth="1"/>
    <col min="7170" max="7170" width="3.90625" style="345" bestFit="1" customWidth="1"/>
    <col min="7171" max="7171" width="4.08984375" style="345" bestFit="1" customWidth="1"/>
    <col min="7172" max="7172" width="4.36328125" style="345" bestFit="1" customWidth="1"/>
    <col min="7173" max="7173" width="6.36328125" style="345" bestFit="1" customWidth="1"/>
    <col min="7174" max="7174" width="11.08984375" style="345" customWidth="1"/>
    <col min="7175" max="7175" width="10.90625" style="345" customWidth="1"/>
    <col min="7176" max="7176" width="4.36328125" style="345" bestFit="1" customWidth="1"/>
    <col min="7177" max="7177" width="3.453125" style="345" bestFit="1" customWidth="1"/>
    <col min="7178" max="7178" width="3.6328125" style="345" bestFit="1" customWidth="1"/>
    <col min="7179" max="7179" width="11.36328125" style="345" customWidth="1"/>
    <col min="7180" max="7180" width="5.54296875" style="345" customWidth="1"/>
    <col min="7181" max="7181" width="6.08984375" style="345" customWidth="1"/>
    <col min="7182" max="7424" width="8.90625" style="345"/>
    <col min="7425" max="7425" width="25.36328125" style="345" customWidth="1"/>
    <col min="7426" max="7426" width="3.90625" style="345" bestFit="1" customWidth="1"/>
    <col min="7427" max="7427" width="4.08984375" style="345" bestFit="1" customWidth="1"/>
    <col min="7428" max="7428" width="4.36328125" style="345" bestFit="1" customWidth="1"/>
    <col min="7429" max="7429" width="6.36328125" style="345" bestFit="1" customWidth="1"/>
    <col min="7430" max="7430" width="11.08984375" style="345" customWidth="1"/>
    <col min="7431" max="7431" width="10.90625" style="345" customWidth="1"/>
    <col min="7432" max="7432" width="4.36328125" style="345" bestFit="1" customWidth="1"/>
    <col min="7433" max="7433" width="3.453125" style="345" bestFit="1" customWidth="1"/>
    <col min="7434" max="7434" width="3.6328125" style="345" bestFit="1" customWidth="1"/>
    <col min="7435" max="7435" width="11.36328125" style="345" customWidth="1"/>
    <col min="7436" max="7436" width="5.54296875" style="345" customWidth="1"/>
    <col min="7437" max="7437" width="6.08984375" style="345" customWidth="1"/>
    <col min="7438" max="7680" width="8.90625" style="345"/>
    <col min="7681" max="7681" width="25.36328125" style="345" customWidth="1"/>
    <col min="7682" max="7682" width="3.90625" style="345" bestFit="1" customWidth="1"/>
    <col min="7683" max="7683" width="4.08984375" style="345" bestFit="1" customWidth="1"/>
    <col min="7684" max="7684" width="4.36328125" style="345" bestFit="1" customWidth="1"/>
    <col min="7685" max="7685" width="6.36328125" style="345" bestFit="1" customWidth="1"/>
    <col min="7686" max="7686" width="11.08984375" style="345" customWidth="1"/>
    <col min="7687" max="7687" width="10.90625" style="345" customWidth="1"/>
    <col min="7688" max="7688" width="4.36328125" style="345" bestFit="1" customWidth="1"/>
    <col min="7689" max="7689" width="3.453125" style="345" bestFit="1" customWidth="1"/>
    <col min="7690" max="7690" width="3.6328125" style="345" bestFit="1" customWidth="1"/>
    <col min="7691" max="7691" width="11.36328125" style="345" customWidth="1"/>
    <col min="7692" max="7692" width="5.54296875" style="345" customWidth="1"/>
    <col min="7693" max="7693" width="6.08984375" style="345" customWidth="1"/>
    <col min="7694" max="7936" width="8.90625" style="345"/>
    <col min="7937" max="7937" width="25.36328125" style="345" customWidth="1"/>
    <col min="7938" max="7938" width="3.90625" style="345" bestFit="1" customWidth="1"/>
    <col min="7939" max="7939" width="4.08984375" style="345" bestFit="1" customWidth="1"/>
    <col min="7940" max="7940" width="4.36328125" style="345" bestFit="1" customWidth="1"/>
    <col min="7941" max="7941" width="6.36328125" style="345" bestFit="1" customWidth="1"/>
    <col min="7942" max="7942" width="11.08984375" style="345" customWidth="1"/>
    <col min="7943" max="7943" width="10.90625" style="345" customWidth="1"/>
    <col min="7944" max="7944" width="4.36328125" style="345" bestFit="1" customWidth="1"/>
    <col min="7945" max="7945" width="3.453125" style="345" bestFit="1" customWidth="1"/>
    <col min="7946" max="7946" width="3.6328125" style="345" bestFit="1" customWidth="1"/>
    <col min="7947" max="7947" width="11.36328125" style="345" customWidth="1"/>
    <col min="7948" max="7948" width="5.54296875" style="345" customWidth="1"/>
    <col min="7949" max="7949" width="6.08984375" style="345" customWidth="1"/>
    <col min="7950" max="8192" width="8.90625" style="345"/>
    <col min="8193" max="8193" width="25.36328125" style="345" customWidth="1"/>
    <col min="8194" max="8194" width="3.90625" style="345" bestFit="1" customWidth="1"/>
    <col min="8195" max="8195" width="4.08984375" style="345" bestFit="1" customWidth="1"/>
    <col min="8196" max="8196" width="4.36328125" style="345" bestFit="1" customWidth="1"/>
    <col min="8197" max="8197" width="6.36328125" style="345" bestFit="1" customWidth="1"/>
    <col min="8198" max="8198" width="11.08984375" style="345" customWidth="1"/>
    <col min="8199" max="8199" width="10.90625" style="345" customWidth="1"/>
    <col min="8200" max="8200" width="4.36328125" style="345" bestFit="1" customWidth="1"/>
    <col min="8201" max="8201" width="3.453125" style="345" bestFit="1" customWidth="1"/>
    <col min="8202" max="8202" width="3.6328125" style="345" bestFit="1" customWidth="1"/>
    <col min="8203" max="8203" width="11.36328125" style="345" customWidth="1"/>
    <col min="8204" max="8204" width="5.54296875" style="345" customWidth="1"/>
    <col min="8205" max="8205" width="6.08984375" style="345" customWidth="1"/>
    <col min="8206" max="8448" width="8.90625" style="345"/>
    <col min="8449" max="8449" width="25.36328125" style="345" customWidth="1"/>
    <col min="8450" max="8450" width="3.90625" style="345" bestFit="1" customWidth="1"/>
    <col min="8451" max="8451" width="4.08984375" style="345" bestFit="1" customWidth="1"/>
    <col min="8452" max="8452" width="4.36328125" style="345" bestFit="1" customWidth="1"/>
    <col min="8453" max="8453" width="6.36328125" style="345" bestFit="1" customWidth="1"/>
    <col min="8454" max="8454" width="11.08984375" style="345" customWidth="1"/>
    <col min="8455" max="8455" width="10.90625" style="345" customWidth="1"/>
    <col min="8456" max="8456" width="4.36328125" style="345" bestFit="1" customWidth="1"/>
    <col min="8457" max="8457" width="3.453125" style="345" bestFit="1" customWidth="1"/>
    <col min="8458" max="8458" width="3.6328125" style="345" bestFit="1" customWidth="1"/>
    <col min="8459" max="8459" width="11.36328125" style="345" customWidth="1"/>
    <col min="8460" max="8460" width="5.54296875" style="345" customWidth="1"/>
    <col min="8461" max="8461" width="6.08984375" style="345" customWidth="1"/>
    <col min="8462" max="8704" width="8.90625" style="345"/>
    <col min="8705" max="8705" width="25.36328125" style="345" customWidth="1"/>
    <col min="8706" max="8706" width="3.90625" style="345" bestFit="1" customWidth="1"/>
    <col min="8707" max="8707" width="4.08984375" style="345" bestFit="1" customWidth="1"/>
    <col min="8708" max="8708" width="4.36328125" style="345" bestFit="1" customWidth="1"/>
    <col min="8709" max="8709" width="6.36328125" style="345" bestFit="1" customWidth="1"/>
    <col min="8710" max="8710" width="11.08984375" style="345" customWidth="1"/>
    <col min="8711" max="8711" width="10.90625" style="345" customWidth="1"/>
    <col min="8712" max="8712" width="4.36328125" style="345" bestFit="1" customWidth="1"/>
    <col min="8713" max="8713" width="3.453125" style="345" bestFit="1" customWidth="1"/>
    <col min="8714" max="8714" width="3.6328125" style="345" bestFit="1" customWidth="1"/>
    <col min="8715" max="8715" width="11.36328125" style="345" customWidth="1"/>
    <col min="8716" max="8716" width="5.54296875" style="345" customWidth="1"/>
    <col min="8717" max="8717" width="6.08984375" style="345" customWidth="1"/>
    <col min="8718" max="8960" width="8.90625" style="345"/>
    <col min="8961" max="8961" width="25.36328125" style="345" customWidth="1"/>
    <col min="8962" max="8962" width="3.90625" style="345" bestFit="1" customWidth="1"/>
    <col min="8963" max="8963" width="4.08984375" style="345" bestFit="1" customWidth="1"/>
    <col min="8964" max="8964" width="4.36328125" style="345" bestFit="1" customWidth="1"/>
    <col min="8965" max="8965" width="6.36328125" style="345" bestFit="1" customWidth="1"/>
    <col min="8966" max="8966" width="11.08984375" style="345" customWidth="1"/>
    <col min="8967" max="8967" width="10.90625" style="345" customWidth="1"/>
    <col min="8968" max="8968" width="4.36328125" style="345" bestFit="1" customWidth="1"/>
    <col min="8969" max="8969" width="3.453125" style="345" bestFit="1" customWidth="1"/>
    <col min="8970" max="8970" width="3.6328125" style="345" bestFit="1" customWidth="1"/>
    <col min="8971" max="8971" width="11.36328125" style="345" customWidth="1"/>
    <col min="8972" max="8972" width="5.54296875" style="345" customWidth="1"/>
    <col min="8973" max="8973" width="6.08984375" style="345" customWidth="1"/>
    <col min="8974" max="9216" width="8.90625" style="345"/>
    <col min="9217" max="9217" width="25.36328125" style="345" customWidth="1"/>
    <col min="9218" max="9218" width="3.90625" style="345" bestFit="1" customWidth="1"/>
    <col min="9219" max="9219" width="4.08984375" style="345" bestFit="1" customWidth="1"/>
    <col min="9220" max="9220" width="4.36328125" style="345" bestFit="1" customWidth="1"/>
    <col min="9221" max="9221" width="6.36328125" style="345" bestFit="1" customWidth="1"/>
    <col min="9222" max="9222" width="11.08984375" style="345" customWidth="1"/>
    <col min="9223" max="9223" width="10.90625" style="345" customWidth="1"/>
    <col min="9224" max="9224" width="4.36328125" style="345" bestFit="1" customWidth="1"/>
    <col min="9225" max="9225" width="3.453125" style="345" bestFit="1" customWidth="1"/>
    <col min="9226" max="9226" width="3.6328125" style="345" bestFit="1" customWidth="1"/>
    <col min="9227" max="9227" width="11.36328125" style="345" customWidth="1"/>
    <col min="9228" max="9228" width="5.54296875" style="345" customWidth="1"/>
    <col min="9229" max="9229" width="6.08984375" style="345" customWidth="1"/>
    <col min="9230" max="9472" width="8.90625" style="345"/>
    <col min="9473" max="9473" width="25.36328125" style="345" customWidth="1"/>
    <col min="9474" max="9474" width="3.90625" style="345" bestFit="1" customWidth="1"/>
    <col min="9475" max="9475" width="4.08984375" style="345" bestFit="1" customWidth="1"/>
    <col min="9476" max="9476" width="4.36328125" style="345" bestFit="1" customWidth="1"/>
    <col min="9477" max="9477" width="6.36328125" style="345" bestFit="1" customWidth="1"/>
    <col min="9478" max="9478" width="11.08984375" style="345" customWidth="1"/>
    <col min="9479" max="9479" width="10.90625" style="345" customWidth="1"/>
    <col min="9480" max="9480" width="4.36328125" style="345" bestFit="1" customWidth="1"/>
    <col min="9481" max="9481" width="3.453125" style="345" bestFit="1" customWidth="1"/>
    <col min="9482" max="9482" width="3.6328125" style="345" bestFit="1" customWidth="1"/>
    <col min="9483" max="9483" width="11.36328125" style="345" customWidth="1"/>
    <col min="9484" max="9484" width="5.54296875" style="345" customWidth="1"/>
    <col min="9485" max="9485" width="6.08984375" style="345" customWidth="1"/>
    <col min="9486" max="9728" width="8.90625" style="345"/>
    <col min="9729" max="9729" width="25.36328125" style="345" customWidth="1"/>
    <col min="9730" max="9730" width="3.90625" style="345" bestFit="1" customWidth="1"/>
    <col min="9731" max="9731" width="4.08984375" style="345" bestFit="1" customWidth="1"/>
    <col min="9732" max="9732" width="4.36328125" style="345" bestFit="1" customWidth="1"/>
    <col min="9733" max="9733" width="6.36328125" style="345" bestFit="1" customWidth="1"/>
    <col min="9734" max="9734" width="11.08984375" style="345" customWidth="1"/>
    <col min="9735" max="9735" width="10.90625" style="345" customWidth="1"/>
    <col min="9736" max="9736" width="4.36328125" style="345" bestFit="1" customWidth="1"/>
    <col min="9737" max="9737" width="3.453125" style="345" bestFit="1" customWidth="1"/>
    <col min="9738" max="9738" width="3.6328125" style="345" bestFit="1" customWidth="1"/>
    <col min="9739" max="9739" width="11.36328125" style="345" customWidth="1"/>
    <col min="9740" max="9740" width="5.54296875" style="345" customWidth="1"/>
    <col min="9741" max="9741" width="6.08984375" style="345" customWidth="1"/>
    <col min="9742" max="9984" width="8.90625" style="345"/>
    <col min="9985" max="9985" width="25.36328125" style="345" customWidth="1"/>
    <col min="9986" max="9986" width="3.90625" style="345" bestFit="1" customWidth="1"/>
    <col min="9987" max="9987" width="4.08984375" style="345" bestFit="1" customWidth="1"/>
    <col min="9988" max="9988" width="4.36328125" style="345" bestFit="1" customWidth="1"/>
    <col min="9989" max="9989" width="6.36328125" style="345" bestFit="1" customWidth="1"/>
    <col min="9990" max="9990" width="11.08984375" style="345" customWidth="1"/>
    <col min="9991" max="9991" width="10.90625" style="345" customWidth="1"/>
    <col min="9992" max="9992" width="4.36328125" style="345" bestFit="1" customWidth="1"/>
    <col min="9993" max="9993" width="3.453125" style="345" bestFit="1" customWidth="1"/>
    <col min="9994" max="9994" width="3.6328125" style="345" bestFit="1" customWidth="1"/>
    <col min="9995" max="9995" width="11.36328125" style="345" customWidth="1"/>
    <col min="9996" max="9996" width="5.54296875" style="345" customWidth="1"/>
    <col min="9997" max="9997" width="6.08984375" style="345" customWidth="1"/>
    <col min="9998" max="10240" width="8.90625" style="345"/>
    <col min="10241" max="10241" width="25.36328125" style="345" customWidth="1"/>
    <col min="10242" max="10242" width="3.90625" style="345" bestFit="1" customWidth="1"/>
    <col min="10243" max="10243" width="4.08984375" style="345" bestFit="1" customWidth="1"/>
    <col min="10244" max="10244" width="4.36328125" style="345" bestFit="1" customWidth="1"/>
    <col min="10245" max="10245" width="6.36328125" style="345" bestFit="1" customWidth="1"/>
    <col min="10246" max="10246" width="11.08984375" style="345" customWidth="1"/>
    <col min="10247" max="10247" width="10.90625" style="345" customWidth="1"/>
    <col min="10248" max="10248" width="4.36328125" style="345" bestFit="1" customWidth="1"/>
    <col min="10249" max="10249" width="3.453125" style="345" bestFit="1" customWidth="1"/>
    <col min="10250" max="10250" width="3.6328125" style="345" bestFit="1" customWidth="1"/>
    <col min="10251" max="10251" width="11.36328125" style="345" customWidth="1"/>
    <col min="10252" max="10252" width="5.54296875" style="345" customWidth="1"/>
    <col min="10253" max="10253" width="6.08984375" style="345" customWidth="1"/>
    <col min="10254" max="10496" width="8.90625" style="345"/>
    <col min="10497" max="10497" width="25.36328125" style="345" customWidth="1"/>
    <col min="10498" max="10498" width="3.90625" style="345" bestFit="1" customWidth="1"/>
    <col min="10499" max="10499" width="4.08984375" style="345" bestFit="1" customWidth="1"/>
    <col min="10500" max="10500" width="4.36328125" style="345" bestFit="1" customWidth="1"/>
    <col min="10501" max="10501" width="6.36328125" style="345" bestFit="1" customWidth="1"/>
    <col min="10502" max="10502" width="11.08984375" style="345" customWidth="1"/>
    <col min="10503" max="10503" width="10.90625" style="345" customWidth="1"/>
    <col min="10504" max="10504" width="4.36328125" style="345" bestFit="1" customWidth="1"/>
    <col min="10505" max="10505" width="3.453125" style="345" bestFit="1" customWidth="1"/>
    <col min="10506" max="10506" width="3.6328125" style="345" bestFit="1" customWidth="1"/>
    <col min="10507" max="10507" width="11.36328125" style="345" customWidth="1"/>
    <col min="10508" max="10508" width="5.54296875" style="345" customWidth="1"/>
    <col min="10509" max="10509" width="6.08984375" style="345" customWidth="1"/>
    <col min="10510" max="10752" width="8.90625" style="345"/>
    <col min="10753" max="10753" width="25.36328125" style="345" customWidth="1"/>
    <col min="10754" max="10754" width="3.90625" style="345" bestFit="1" customWidth="1"/>
    <col min="10755" max="10755" width="4.08984375" style="345" bestFit="1" customWidth="1"/>
    <col min="10756" max="10756" width="4.36328125" style="345" bestFit="1" customWidth="1"/>
    <col min="10757" max="10757" width="6.36328125" style="345" bestFit="1" customWidth="1"/>
    <col min="10758" max="10758" width="11.08984375" style="345" customWidth="1"/>
    <col min="10759" max="10759" width="10.90625" style="345" customWidth="1"/>
    <col min="10760" max="10760" width="4.36328125" style="345" bestFit="1" customWidth="1"/>
    <col min="10761" max="10761" width="3.453125" style="345" bestFit="1" customWidth="1"/>
    <col min="10762" max="10762" width="3.6328125" style="345" bestFit="1" customWidth="1"/>
    <col min="10763" max="10763" width="11.36328125" style="345" customWidth="1"/>
    <col min="10764" max="10764" width="5.54296875" style="345" customWidth="1"/>
    <col min="10765" max="10765" width="6.08984375" style="345" customWidth="1"/>
    <col min="10766" max="11008" width="8.90625" style="345"/>
    <col min="11009" max="11009" width="25.36328125" style="345" customWidth="1"/>
    <col min="11010" max="11010" width="3.90625" style="345" bestFit="1" customWidth="1"/>
    <col min="11011" max="11011" width="4.08984375" style="345" bestFit="1" customWidth="1"/>
    <col min="11012" max="11012" width="4.36328125" style="345" bestFit="1" customWidth="1"/>
    <col min="11013" max="11013" width="6.36328125" style="345" bestFit="1" customWidth="1"/>
    <col min="11014" max="11014" width="11.08984375" style="345" customWidth="1"/>
    <col min="11015" max="11015" width="10.90625" style="345" customWidth="1"/>
    <col min="11016" max="11016" width="4.36328125" style="345" bestFit="1" customWidth="1"/>
    <col min="11017" max="11017" width="3.453125" style="345" bestFit="1" customWidth="1"/>
    <col min="11018" max="11018" width="3.6328125" style="345" bestFit="1" customWidth="1"/>
    <col min="11019" max="11019" width="11.36328125" style="345" customWidth="1"/>
    <col min="11020" max="11020" width="5.54296875" style="345" customWidth="1"/>
    <col min="11021" max="11021" width="6.08984375" style="345" customWidth="1"/>
    <col min="11022" max="11264" width="8.90625" style="345"/>
    <col min="11265" max="11265" width="25.36328125" style="345" customWidth="1"/>
    <col min="11266" max="11266" width="3.90625" style="345" bestFit="1" customWidth="1"/>
    <col min="11267" max="11267" width="4.08984375" style="345" bestFit="1" customWidth="1"/>
    <col min="11268" max="11268" width="4.36328125" style="345" bestFit="1" customWidth="1"/>
    <col min="11269" max="11269" width="6.36328125" style="345" bestFit="1" customWidth="1"/>
    <col min="11270" max="11270" width="11.08984375" style="345" customWidth="1"/>
    <col min="11271" max="11271" width="10.90625" style="345" customWidth="1"/>
    <col min="11272" max="11272" width="4.36328125" style="345" bestFit="1" customWidth="1"/>
    <col min="11273" max="11273" width="3.453125" style="345" bestFit="1" customWidth="1"/>
    <col min="11274" max="11274" width="3.6328125" style="345" bestFit="1" customWidth="1"/>
    <col min="11275" max="11275" width="11.36328125" style="345" customWidth="1"/>
    <col min="11276" max="11276" width="5.54296875" style="345" customWidth="1"/>
    <col min="11277" max="11277" width="6.08984375" style="345" customWidth="1"/>
    <col min="11278" max="11520" width="8.90625" style="345"/>
    <col min="11521" max="11521" width="25.36328125" style="345" customWidth="1"/>
    <col min="11522" max="11522" width="3.90625" style="345" bestFit="1" customWidth="1"/>
    <col min="11523" max="11523" width="4.08984375" style="345" bestFit="1" customWidth="1"/>
    <col min="11524" max="11524" width="4.36328125" style="345" bestFit="1" customWidth="1"/>
    <col min="11525" max="11525" width="6.36328125" style="345" bestFit="1" customWidth="1"/>
    <col min="11526" max="11526" width="11.08984375" style="345" customWidth="1"/>
    <col min="11527" max="11527" width="10.90625" style="345" customWidth="1"/>
    <col min="11528" max="11528" width="4.36328125" style="345" bestFit="1" customWidth="1"/>
    <col min="11529" max="11529" width="3.453125" style="345" bestFit="1" customWidth="1"/>
    <col min="11530" max="11530" width="3.6328125" style="345" bestFit="1" customWidth="1"/>
    <col min="11531" max="11531" width="11.36328125" style="345" customWidth="1"/>
    <col min="11532" max="11532" width="5.54296875" style="345" customWidth="1"/>
    <col min="11533" max="11533" width="6.08984375" style="345" customWidth="1"/>
    <col min="11534" max="11776" width="8.90625" style="345"/>
    <col min="11777" max="11777" width="25.36328125" style="345" customWidth="1"/>
    <col min="11778" max="11778" width="3.90625" style="345" bestFit="1" customWidth="1"/>
    <col min="11779" max="11779" width="4.08984375" style="345" bestFit="1" customWidth="1"/>
    <col min="11780" max="11780" width="4.36328125" style="345" bestFit="1" customWidth="1"/>
    <col min="11781" max="11781" width="6.36328125" style="345" bestFit="1" customWidth="1"/>
    <col min="11782" max="11782" width="11.08984375" style="345" customWidth="1"/>
    <col min="11783" max="11783" width="10.90625" style="345" customWidth="1"/>
    <col min="11784" max="11784" width="4.36328125" style="345" bestFit="1" customWidth="1"/>
    <col min="11785" max="11785" width="3.453125" style="345" bestFit="1" customWidth="1"/>
    <col min="11786" max="11786" width="3.6328125" style="345" bestFit="1" customWidth="1"/>
    <col min="11787" max="11787" width="11.36328125" style="345" customWidth="1"/>
    <col min="11788" max="11788" width="5.54296875" style="345" customWidth="1"/>
    <col min="11789" max="11789" width="6.08984375" style="345" customWidth="1"/>
    <col min="11790" max="12032" width="8.90625" style="345"/>
    <col min="12033" max="12033" width="25.36328125" style="345" customWidth="1"/>
    <col min="12034" max="12034" width="3.90625" style="345" bestFit="1" customWidth="1"/>
    <col min="12035" max="12035" width="4.08984375" style="345" bestFit="1" customWidth="1"/>
    <col min="12036" max="12036" width="4.36328125" style="345" bestFit="1" customWidth="1"/>
    <col min="12037" max="12037" width="6.36328125" style="345" bestFit="1" customWidth="1"/>
    <col min="12038" max="12038" width="11.08984375" style="345" customWidth="1"/>
    <col min="12039" max="12039" width="10.90625" style="345" customWidth="1"/>
    <col min="12040" max="12040" width="4.36328125" style="345" bestFit="1" customWidth="1"/>
    <col min="12041" max="12041" width="3.453125" style="345" bestFit="1" customWidth="1"/>
    <col min="12042" max="12042" width="3.6328125" style="345" bestFit="1" customWidth="1"/>
    <col min="12043" max="12043" width="11.36328125" style="345" customWidth="1"/>
    <col min="12044" max="12044" width="5.54296875" style="345" customWidth="1"/>
    <col min="12045" max="12045" width="6.08984375" style="345" customWidth="1"/>
    <col min="12046" max="12288" width="8.90625" style="345"/>
    <col min="12289" max="12289" width="25.36328125" style="345" customWidth="1"/>
    <col min="12290" max="12290" width="3.90625" style="345" bestFit="1" customWidth="1"/>
    <col min="12291" max="12291" width="4.08984375" style="345" bestFit="1" customWidth="1"/>
    <col min="12292" max="12292" width="4.36328125" style="345" bestFit="1" customWidth="1"/>
    <col min="12293" max="12293" width="6.36328125" style="345" bestFit="1" customWidth="1"/>
    <col min="12294" max="12294" width="11.08984375" style="345" customWidth="1"/>
    <col min="12295" max="12295" width="10.90625" style="345" customWidth="1"/>
    <col min="12296" max="12296" width="4.36328125" style="345" bestFit="1" customWidth="1"/>
    <col min="12297" max="12297" width="3.453125" style="345" bestFit="1" customWidth="1"/>
    <col min="12298" max="12298" width="3.6328125" style="345" bestFit="1" customWidth="1"/>
    <col min="12299" max="12299" width="11.36328125" style="345" customWidth="1"/>
    <col min="12300" max="12300" width="5.54296875" style="345" customWidth="1"/>
    <col min="12301" max="12301" width="6.08984375" style="345" customWidth="1"/>
    <col min="12302" max="12544" width="8.90625" style="345"/>
    <col min="12545" max="12545" width="25.36328125" style="345" customWidth="1"/>
    <col min="12546" max="12546" width="3.90625" style="345" bestFit="1" customWidth="1"/>
    <col min="12547" max="12547" width="4.08984375" style="345" bestFit="1" customWidth="1"/>
    <col min="12548" max="12548" width="4.36328125" style="345" bestFit="1" customWidth="1"/>
    <col min="12549" max="12549" width="6.36328125" style="345" bestFit="1" customWidth="1"/>
    <col min="12550" max="12550" width="11.08984375" style="345" customWidth="1"/>
    <col min="12551" max="12551" width="10.90625" style="345" customWidth="1"/>
    <col min="12552" max="12552" width="4.36328125" style="345" bestFit="1" customWidth="1"/>
    <col min="12553" max="12553" width="3.453125" style="345" bestFit="1" customWidth="1"/>
    <col min="12554" max="12554" width="3.6328125" style="345" bestFit="1" customWidth="1"/>
    <col min="12555" max="12555" width="11.36328125" style="345" customWidth="1"/>
    <col min="12556" max="12556" width="5.54296875" style="345" customWidth="1"/>
    <col min="12557" max="12557" width="6.08984375" style="345" customWidth="1"/>
    <col min="12558" max="12800" width="8.90625" style="345"/>
    <col min="12801" max="12801" width="25.36328125" style="345" customWidth="1"/>
    <col min="12802" max="12802" width="3.90625" style="345" bestFit="1" customWidth="1"/>
    <col min="12803" max="12803" width="4.08984375" style="345" bestFit="1" customWidth="1"/>
    <col min="12804" max="12804" width="4.36328125" style="345" bestFit="1" customWidth="1"/>
    <col min="12805" max="12805" width="6.36328125" style="345" bestFit="1" customWidth="1"/>
    <col min="12806" max="12806" width="11.08984375" style="345" customWidth="1"/>
    <col min="12807" max="12807" width="10.90625" style="345" customWidth="1"/>
    <col min="12808" max="12808" width="4.36328125" style="345" bestFit="1" customWidth="1"/>
    <col min="12809" max="12809" width="3.453125" style="345" bestFit="1" customWidth="1"/>
    <col min="12810" max="12810" width="3.6328125" style="345" bestFit="1" customWidth="1"/>
    <col min="12811" max="12811" width="11.36328125" style="345" customWidth="1"/>
    <col min="12812" max="12812" width="5.54296875" style="345" customWidth="1"/>
    <col min="12813" max="12813" width="6.08984375" style="345" customWidth="1"/>
    <col min="12814" max="13056" width="8.90625" style="345"/>
    <col min="13057" max="13057" width="25.36328125" style="345" customWidth="1"/>
    <col min="13058" max="13058" width="3.90625" style="345" bestFit="1" customWidth="1"/>
    <col min="13059" max="13059" width="4.08984375" style="345" bestFit="1" customWidth="1"/>
    <col min="13060" max="13060" width="4.36328125" style="345" bestFit="1" customWidth="1"/>
    <col min="13061" max="13061" width="6.36328125" style="345" bestFit="1" customWidth="1"/>
    <col min="13062" max="13062" width="11.08984375" style="345" customWidth="1"/>
    <col min="13063" max="13063" width="10.90625" style="345" customWidth="1"/>
    <col min="13064" max="13064" width="4.36328125" style="345" bestFit="1" customWidth="1"/>
    <col min="13065" max="13065" width="3.453125" style="345" bestFit="1" customWidth="1"/>
    <col min="13066" max="13066" width="3.6328125" style="345" bestFit="1" customWidth="1"/>
    <col min="13067" max="13067" width="11.36328125" style="345" customWidth="1"/>
    <col min="13068" max="13068" width="5.54296875" style="345" customWidth="1"/>
    <col min="13069" max="13069" width="6.08984375" style="345" customWidth="1"/>
    <col min="13070" max="13312" width="8.90625" style="345"/>
    <col min="13313" max="13313" width="25.36328125" style="345" customWidth="1"/>
    <col min="13314" max="13314" width="3.90625" style="345" bestFit="1" customWidth="1"/>
    <col min="13315" max="13315" width="4.08984375" style="345" bestFit="1" customWidth="1"/>
    <col min="13316" max="13316" width="4.36328125" style="345" bestFit="1" customWidth="1"/>
    <col min="13317" max="13317" width="6.36328125" style="345" bestFit="1" customWidth="1"/>
    <col min="13318" max="13318" width="11.08984375" style="345" customWidth="1"/>
    <col min="13319" max="13319" width="10.90625" style="345" customWidth="1"/>
    <col min="13320" max="13320" width="4.36328125" style="345" bestFit="1" customWidth="1"/>
    <col min="13321" max="13321" width="3.453125" style="345" bestFit="1" customWidth="1"/>
    <col min="13322" max="13322" width="3.6328125" style="345" bestFit="1" customWidth="1"/>
    <col min="13323" max="13323" width="11.36328125" style="345" customWidth="1"/>
    <col min="13324" max="13324" width="5.54296875" style="345" customWidth="1"/>
    <col min="13325" max="13325" width="6.08984375" style="345" customWidth="1"/>
    <col min="13326" max="13568" width="8.90625" style="345"/>
    <col min="13569" max="13569" width="25.36328125" style="345" customWidth="1"/>
    <col min="13570" max="13570" width="3.90625" style="345" bestFit="1" customWidth="1"/>
    <col min="13571" max="13571" width="4.08984375" style="345" bestFit="1" customWidth="1"/>
    <col min="13572" max="13572" width="4.36328125" style="345" bestFit="1" customWidth="1"/>
    <col min="13573" max="13573" width="6.36328125" style="345" bestFit="1" customWidth="1"/>
    <col min="13574" max="13574" width="11.08984375" style="345" customWidth="1"/>
    <col min="13575" max="13575" width="10.90625" style="345" customWidth="1"/>
    <col min="13576" max="13576" width="4.36328125" style="345" bestFit="1" customWidth="1"/>
    <col min="13577" max="13577" width="3.453125" style="345" bestFit="1" customWidth="1"/>
    <col min="13578" max="13578" width="3.6328125" style="345" bestFit="1" customWidth="1"/>
    <col min="13579" max="13579" width="11.36328125" style="345" customWidth="1"/>
    <col min="13580" max="13580" width="5.54296875" style="345" customWidth="1"/>
    <col min="13581" max="13581" width="6.08984375" style="345" customWidth="1"/>
    <col min="13582" max="13824" width="8.90625" style="345"/>
    <col min="13825" max="13825" width="25.36328125" style="345" customWidth="1"/>
    <col min="13826" max="13826" width="3.90625" style="345" bestFit="1" customWidth="1"/>
    <col min="13827" max="13827" width="4.08984375" style="345" bestFit="1" customWidth="1"/>
    <col min="13828" max="13828" width="4.36328125" style="345" bestFit="1" customWidth="1"/>
    <col min="13829" max="13829" width="6.36328125" style="345" bestFit="1" customWidth="1"/>
    <col min="13830" max="13830" width="11.08984375" style="345" customWidth="1"/>
    <col min="13831" max="13831" width="10.90625" style="345" customWidth="1"/>
    <col min="13832" max="13832" width="4.36328125" style="345" bestFit="1" customWidth="1"/>
    <col min="13833" max="13833" width="3.453125" style="345" bestFit="1" customWidth="1"/>
    <col min="13834" max="13834" width="3.6328125" style="345" bestFit="1" customWidth="1"/>
    <col min="13835" max="13835" width="11.36328125" style="345" customWidth="1"/>
    <col min="13836" max="13836" width="5.54296875" style="345" customWidth="1"/>
    <col min="13837" max="13837" width="6.08984375" style="345" customWidth="1"/>
    <col min="13838" max="14080" width="8.90625" style="345"/>
    <col min="14081" max="14081" width="25.36328125" style="345" customWidth="1"/>
    <col min="14082" max="14082" width="3.90625" style="345" bestFit="1" customWidth="1"/>
    <col min="14083" max="14083" width="4.08984375" style="345" bestFit="1" customWidth="1"/>
    <col min="14084" max="14084" width="4.36328125" style="345" bestFit="1" customWidth="1"/>
    <col min="14085" max="14085" width="6.36328125" style="345" bestFit="1" customWidth="1"/>
    <col min="14086" max="14086" width="11.08984375" style="345" customWidth="1"/>
    <col min="14087" max="14087" width="10.90625" style="345" customWidth="1"/>
    <col min="14088" max="14088" width="4.36328125" style="345" bestFit="1" customWidth="1"/>
    <col min="14089" max="14089" width="3.453125" style="345" bestFit="1" customWidth="1"/>
    <col min="14090" max="14090" width="3.6328125" style="345" bestFit="1" customWidth="1"/>
    <col min="14091" max="14091" width="11.36328125" style="345" customWidth="1"/>
    <col min="14092" max="14092" width="5.54296875" style="345" customWidth="1"/>
    <col min="14093" max="14093" width="6.08984375" style="345" customWidth="1"/>
    <col min="14094" max="14336" width="8.90625" style="345"/>
    <col min="14337" max="14337" width="25.36328125" style="345" customWidth="1"/>
    <col min="14338" max="14338" width="3.90625" style="345" bestFit="1" customWidth="1"/>
    <col min="14339" max="14339" width="4.08984375" style="345" bestFit="1" customWidth="1"/>
    <col min="14340" max="14340" width="4.36328125" style="345" bestFit="1" customWidth="1"/>
    <col min="14341" max="14341" width="6.36328125" style="345" bestFit="1" customWidth="1"/>
    <col min="14342" max="14342" width="11.08984375" style="345" customWidth="1"/>
    <col min="14343" max="14343" width="10.90625" style="345" customWidth="1"/>
    <col min="14344" max="14344" width="4.36328125" style="345" bestFit="1" customWidth="1"/>
    <col min="14345" max="14345" width="3.453125" style="345" bestFit="1" customWidth="1"/>
    <col min="14346" max="14346" width="3.6328125" style="345" bestFit="1" customWidth="1"/>
    <col min="14347" max="14347" width="11.36328125" style="345" customWidth="1"/>
    <col min="14348" max="14348" width="5.54296875" style="345" customWidth="1"/>
    <col min="14349" max="14349" width="6.08984375" style="345" customWidth="1"/>
    <col min="14350" max="14592" width="8.90625" style="345"/>
    <col min="14593" max="14593" width="25.36328125" style="345" customWidth="1"/>
    <col min="14594" max="14594" width="3.90625" style="345" bestFit="1" customWidth="1"/>
    <col min="14595" max="14595" width="4.08984375" style="345" bestFit="1" customWidth="1"/>
    <col min="14596" max="14596" width="4.36328125" style="345" bestFit="1" customWidth="1"/>
    <col min="14597" max="14597" width="6.36328125" style="345" bestFit="1" customWidth="1"/>
    <col min="14598" max="14598" width="11.08984375" style="345" customWidth="1"/>
    <col min="14599" max="14599" width="10.90625" style="345" customWidth="1"/>
    <col min="14600" max="14600" width="4.36328125" style="345" bestFit="1" customWidth="1"/>
    <col min="14601" max="14601" width="3.453125" style="345" bestFit="1" customWidth="1"/>
    <col min="14602" max="14602" width="3.6328125" style="345" bestFit="1" customWidth="1"/>
    <col min="14603" max="14603" width="11.36328125" style="345" customWidth="1"/>
    <col min="14604" max="14604" width="5.54296875" style="345" customWidth="1"/>
    <col min="14605" max="14605" width="6.08984375" style="345" customWidth="1"/>
    <col min="14606" max="14848" width="8.90625" style="345"/>
    <col min="14849" max="14849" width="25.36328125" style="345" customWidth="1"/>
    <col min="14850" max="14850" width="3.90625" style="345" bestFit="1" customWidth="1"/>
    <col min="14851" max="14851" width="4.08984375" style="345" bestFit="1" customWidth="1"/>
    <col min="14852" max="14852" width="4.36328125" style="345" bestFit="1" customWidth="1"/>
    <col min="14853" max="14853" width="6.36328125" style="345" bestFit="1" customWidth="1"/>
    <col min="14854" max="14854" width="11.08984375" style="345" customWidth="1"/>
    <col min="14855" max="14855" width="10.90625" style="345" customWidth="1"/>
    <col min="14856" max="14856" width="4.36328125" style="345" bestFit="1" customWidth="1"/>
    <col min="14857" max="14857" width="3.453125" style="345" bestFit="1" customWidth="1"/>
    <col min="14858" max="14858" width="3.6328125" style="345" bestFit="1" customWidth="1"/>
    <col min="14859" max="14859" width="11.36328125" style="345" customWidth="1"/>
    <col min="14860" max="14860" width="5.54296875" style="345" customWidth="1"/>
    <col min="14861" max="14861" width="6.08984375" style="345" customWidth="1"/>
    <col min="14862" max="15104" width="8.90625" style="345"/>
    <col min="15105" max="15105" width="25.36328125" style="345" customWidth="1"/>
    <col min="15106" max="15106" width="3.90625" style="345" bestFit="1" customWidth="1"/>
    <col min="15107" max="15107" width="4.08984375" style="345" bestFit="1" customWidth="1"/>
    <col min="15108" max="15108" width="4.36328125" style="345" bestFit="1" customWidth="1"/>
    <col min="15109" max="15109" width="6.36328125" style="345" bestFit="1" customWidth="1"/>
    <col min="15110" max="15110" width="11.08984375" style="345" customWidth="1"/>
    <col min="15111" max="15111" width="10.90625" style="345" customWidth="1"/>
    <col min="15112" max="15112" width="4.36328125" style="345" bestFit="1" customWidth="1"/>
    <col min="15113" max="15113" width="3.453125" style="345" bestFit="1" customWidth="1"/>
    <col min="15114" max="15114" width="3.6328125" style="345" bestFit="1" customWidth="1"/>
    <col min="15115" max="15115" width="11.36328125" style="345" customWidth="1"/>
    <col min="15116" max="15116" width="5.54296875" style="345" customWidth="1"/>
    <col min="15117" max="15117" width="6.08984375" style="345" customWidth="1"/>
    <col min="15118" max="15360" width="8.90625" style="345"/>
    <col min="15361" max="15361" width="25.36328125" style="345" customWidth="1"/>
    <col min="15362" max="15362" width="3.90625" style="345" bestFit="1" customWidth="1"/>
    <col min="15363" max="15363" width="4.08984375" style="345" bestFit="1" customWidth="1"/>
    <col min="15364" max="15364" width="4.36328125" style="345" bestFit="1" customWidth="1"/>
    <col min="15365" max="15365" width="6.36328125" style="345" bestFit="1" customWidth="1"/>
    <col min="15366" max="15366" width="11.08984375" style="345" customWidth="1"/>
    <col min="15367" max="15367" width="10.90625" style="345" customWidth="1"/>
    <col min="15368" max="15368" width="4.36328125" style="345" bestFit="1" customWidth="1"/>
    <col min="15369" max="15369" width="3.453125" style="345" bestFit="1" customWidth="1"/>
    <col min="15370" max="15370" width="3.6328125" style="345" bestFit="1" customWidth="1"/>
    <col min="15371" max="15371" width="11.36328125" style="345" customWidth="1"/>
    <col min="15372" max="15372" width="5.54296875" style="345" customWidth="1"/>
    <col min="15373" max="15373" width="6.08984375" style="345" customWidth="1"/>
    <col min="15374" max="15616" width="8.90625" style="345"/>
    <col min="15617" max="15617" width="25.36328125" style="345" customWidth="1"/>
    <col min="15618" max="15618" width="3.90625" style="345" bestFit="1" customWidth="1"/>
    <col min="15619" max="15619" width="4.08984375" style="345" bestFit="1" customWidth="1"/>
    <col min="15620" max="15620" width="4.36328125" style="345" bestFit="1" customWidth="1"/>
    <col min="15621" max="15621" width="6.36328125" style="345" bestFit="1" customWidth="1"/>
    <col min="15622" max="15622" width="11.08984375" style="345" customWidth="1"/>
    <col min="15623" max="15623" width="10.90625" style="345" customWidth="1"/>
    <col min="15624" max="15624" width="4.36328125" style="345" bestFit="1" customWidth="1"/>
    <col min="15625" max="15625" width="3.453125" style="345" bestFit="1" customWidth="1"/>
    <col min="15626" max="15626" width="3.6328125" style="345" bestFit="1" customWidth="1"/>
    <col min="15627" max="15627" width="11.36328125" style="345" customWidth="1"/>
    <col min="15628" max="15628" width="5.54296875" style="345" customWidth="1"/>
    <col min="15629" max="15629" width="6.08984375" style="345" customWidth="1"/>
    <col min="15630" max="15872" width="8.90625" style="345"/>
    <col min="15873" max="15873" width="25.36328125" style="345" customWidth="1"/>
    <col min="15874" max="15874" width="3.90625" style="345" bestFit="1" customWidth="1"/>
    <col min="15875" max="15875" width="4.08984375" style="345" bestFit="1" customWidth="1"/>
    <col min="15876" max="15876" width="4.36328125" style="345" bestFit="1" customWidth="1"/>
    <col min="15877" max="15877" width="6.36328125" style="345" bestFit="1" customWidth="1"/>
    <col min="15878" max="15878" width="11.08984375" style="345" customWidth="1"/>
    <col min="15879" max="15879" width="10.90625" style="345" customWidth="1"/>
    <col min="15880" max="15880" width="4.36328125" style="345" bestFit="1" customWidth="1"/>
    <col min="15881" max="15881" width="3.453125" style="345" bestFit="1" customWidth="1"/>
    <col min="15882" max="15882" width="3.6328125" style="345" bestFit="1" customWidth="1"/>
    <col min="15883" max="15883" width="11.36328125" style="345" customWidth="1"/>
    <col min="15884" max="15884" width="5.54296875" style="345" customWidth="1"/>
    <col min="15885" max="15885" width="6.08984375" style="345" customWidth="1"/>
    <col min="15886" max="16128" width="8.90625" style="345"/>
    <col min="16129" max="16129" width="25.36328125" style="345" customWidth="1"/>
    <col min="16130" max="16130" width="3.90625" style="345" bestFit="1" customWidth="1"/>
    <col min="16131" max="16131" width="4.08984375" style="345" bestFit="1" customWidth="1"/>
    <col min="16132" max="16132" width="4.36328125" style="345" bestFit="1" customWidth="1"/>
    <col min="16133" max="16133" width="6.36328125" style="345" bestFit="1" customWidth="1"/>
    <col min="16134" max="16134" width="11.08984375" style="345" customWidth="1"/>
    <col min="16135" max="16135" width="10.90625" style="345" customWidth="1"/>
    <col min="16136" max="16136" width="4.36328125" style="345" bestFit="1" customWidth="1"/>
    <col min="16137" max="16137" width="3.453125" style="345" bestFit="1" customWidth="1"/>
    <col min="16138" max="16138" width="3.6328125" style="345" bestFit="1" customWidth="1"/>
    <col min="16139" max="16139" width="11.36328125" style="345" customWidth="1"/>
    <col min="16140" max="16140" width="5.54296875" style="345" customWidth="1"/>
    <col min="16141" max="16141" width="6.08984375" style="345" customWidth="1"/>
    <col min="16142" max="16384" width="8.90625" style="345"/>
  </cols>
  <sheetData>
    <row r="1" spans="1:13" ht="12" thickBot="1" x14ac:dyDescent="0.3">
      <c r="G1" s="346" t="s">
        <v>1063</v>
      </c>
      <c r="H1" s="347"/>
      <c r="I1" s="348">
        <f>L2+L27+L33+L56+L69</f>
        <v>25.000000000000007</v>
      </c>
      <c r="K1" s="346" t="s">
        <v>1064</v>
      </c>
      <c r="L1" s="347"/>
      <c r="M1" s="348">
        <f>M2+K27/2+M43/2+M56/2+M69/2</f>
        <v>3335</v>
      </c>
    </row>
    <row r="2" spans="1:13" s="353" customFormat="1" ht="10.25" customHeight="1" thickBot="1" x14ac:dyDescent="0.35">
      <c r="A2" s="349" t="s">
        <v>1065</v>
      </c>
      <c r="B2" s="350"/>
      <c r="C2" s="350"/>
      <c r="D2" s="350"/>
      <c r="E2" s="350"/>
      <c r="F2" s="351" t="s">
        <v>1032</v>
      </c>
      <c r="G2" s="350"/>
      <c r="H2" s="350"/>
      <c r="I2" s="350"/>
      <c r="J2" s="350"/>
      <c r="K2" s="350"/>
      <c r="L2" s="352">
        <f>SUM(L4:L25)</f>
        <v>19.600000000000009</v>
      </c>
      <c r="M2" s="352">
        <f>SUM(M4:M25)</f>
        <v>3110</v>
      </c>
    </row>
    <row r="3" spans="1:13" s="353" customFormat="1" ht="10.25" customHeight="1" thickBot="1" x14ac:dyDescent="0.35">
      <c r="A3" s="354" t="s">
        <v>317</v>
      </c>
      <c r="B3" s="355" t="s">
        <v>1066</v>
      </c>
      <c r="C3" s="355" t="s">
        <v>499</v>
      </c>
      <c r="D3" s="355" t="s">
        <v>1067</v>
      </c>
      <c r="E3" s="355" t="s">
        <v>1068</v>
      </c>
      <c r="F3" s="355" t="s">
        <v>1069</v>
      </c>
      <c r="G3" s="355" t="s">
        <v>1070</v>
      </c>
      <c r="H3" s="355" t="s">
        <v>1071</v>
      </c>
      <c r="I3" s="355" t="s">
        <v>1072</v>
      </c>
      <c r="J3" s="355" t="s">
        <v>1073</v>
      </c>
      <c r="K3" s="355" t="s">
        <v>1074</v>
      </c>
      <c r="L3" s="355" t="s">
        <v>1075</v>
      </c>
      <c r="M3" s="356" t="s">
        <v>1076</v>
      </c>
    </row>
    <row r="4" spans="1:13" ht="10.25" customHeight="1" x14ac:dyDescent="0.25">
      <c r="A4" s="612" t="s">
        <v>1233</v>
      </c>
      <c r="B4" s="358">
        <v>1</v>
      </c>
      <c r="C4" s="358">
        <v>10</v>
      </c>
      <c r="D4" s="358">
        <v>500</v>
      </c>
      <c r="E4" s="358"/>
      <c r="F4" s="358"/>
      <c r="G4" s="358"/>
      <c r="H4" s="358"/>
      <c r="I4" s="358"/>
      <c r="J4" s="358"/>
      <c r="K4" s="358"/>
      <c r="L4" s="358">
        <f t="shared" ref="L4:L25" si="0">C4*B4</f>
        <v>10</v>
      </c>
      <c r="M4" s="359">
        <f t="shared" ref="M4:M25" si="1">D4*B4</f>
        <v>500</v>
      </c>
    </row>
    <row r="5" spans="1:13" ht="10.25" customHeight="1" x14ac:dyDescent="0.25">
      <c r="A5" s="360" t="s">
        <v>1147</v>
      </c>
      <c r="B5" s="361">
        <v>1</v>
      </c>
      <c r="C5" s="361">
        <v>0.8</v>
      </c>
      <c r="D5" s="361">
        <v>300</v>
      </c>
      <c r="E5" s="361"/>
      <c r="F5" s="361"/>
      <c r="G5" s="361"/>
      <c r="H5" s="361"/>
      <c r="I5" s="361"/>
      <c r="J5" s="361"/>
      <c r="K5" s="361"/>
      <c r="L5" s="361">
        <f t="shared" si="0"/>
        <v>0.8</v>
      </c>
      <c r="M5" s="362">
        <f t="shared" si="1"/>
        <v>300</v>
      </c>
    </row>
    <row r="6" spans="1:13" ht="10.25" customHeight="1" x14ac:dyDescent="0.25">
      <c r="A6" s="363" t="s">
        <v>1294</v>
      </c>
      <c r="B6" s="364">
        <v>1</v>
      </c>
      <c r="C6" s="364">
        <v>0.5</v>
      </c>
      <c r="D6" s="364">
        <v>300</v>
      </c>
      <c r="E6" s="364"/>
      <c r="F6" s="364"/>
      <c r="G6" s="364"/>
      <c r="H6" s="364"/>
      <c r="I6" s="364"/>
      <c r="J6" s="364"/>
      <c r="K6" s="364"/>
      <c r="L6" s="364">
        <f t="shared" si="0"/>
        <v>0.5</v>
      </c>
      <c r="M6" s="365">
        <f t="shared" si="1"/>
        <v>300</v>
      </c>
    </row>
    <row r="7" spans="1:13" ht="10.25" customHeight="1" x14ac:dyDescent="0.25">
      <c r="A7" s="360" t="s">
        <v>1234</v>
      </c>
      <c r="B7" s="361">
        <v>1</v>
      </c>
      <c r="C7" s="361">
        <v>0.2</v>
      </c>
      <c r="D7" s="361">
        <v>200</v>
      </c>
      <c r="E7" s="361"/>
      <c r="F7" s="361"/>
      <c r="G7" s="361"/>
      <c r="H7" s="361"/>
      <c r="I7" s="361"/>
      <c r="J7" s="361"/>
      <c r="K7" s="361"/>
      <c r="L7" s="361">
        <f t="shared" si="0"/>
        <v>0.2</v>
      </c>
      <c r="M7" s="362">
        <f t="shared" si="1"/>
        <v>200</v>
      </c>
    </row>
    <row r="8" spans="1:13" ht="10.25" customHeight="1" x14ac:dyDescent="0.25">
      <c r="A8" s="611" t="s">
        <v>1295</v>
      </c>
      <c r="B8" s="364">
        <v>1</v>
      </c>
      <c r="C8" s="364">
        <v>2.5</v>
      </c>
      <c r="D8" s="364">
        <v>500</v>
      </c>
      <c r="E8" s="364"/>
      <c r="F8" s="364"/>
      <c r="G8" s="364"/>
      <c r="H8" s="364"/>
      <c r="I8" s="364"/>
      <c r="J8" s="364"/>
      <c r="K8" s="364"/>
      <c r="L8" s="364">
        <f t="shared" si="0"/>
        <v>2.5</v>
      </c>
      <c r="M8" s="365">
        <f t="shared" si="1"/>
        <v>500</v>
      </c>
    </row>
    <row r="9" spans="1:13" ht="10.25" customHeight="1" x14ac:dyDescent="0.25">
      <c r="A9" s="360" t="s">
        <v>1296</v>
      </c>
      <c r="B9" s="361">
        <v>1</v>
      </c>
      <c r="C9" s="361">
        <v>1</v>
      </c>
      <c r="D9" s="361">
        <v>200</v>
      </c>
      <c r="E9" s="361"/>
      <c r="F9" s="361"/>
      <c r="G9" s="361"/>
      <c r="H9" s="361"/>
      <c r="I9" s="361"/>
      <c r="J9" s="361"/>
      <c r="K9" s="361"/>
      <c r="L9" s="361">
        <f t="shared" si="0"/>
        <v>1</v>
      </c>
      <c r="M9" s="362">
        <f t="shared" si="1"/>
        <v>200</v>
      </c>
    </row>
    <row r="10" spans="1:13" ht="10.25" customHeight="1" x14ac:dyDescent="0.25">
      <c r="A10" s="363" t="s">
        <v>1297</v>
      </c>
      <c r="B10" s="364">
        <v>1</v>
      </c>
      <c r="C10" s="364">
        <v>0.3</v>
      </c>
      <c r="D10" s="364">
        <v>100</v>
      </c>
      <c r="E10" s="364"/>
      <c r="F10" s="364" t="s">
        <v>1298</v>
      </c>
      <c r="G10" s="364"/>
      <c r="H10" s="364"/>
      <c r="I10" s="364"/>
      <c r="J10" s="364"/>
      <c r="K10" s="364"/>
      <c r="L10" s="364">
        <f t="shared" si="0"/>
        <v>0.3</v>
      </c>
      <c r="M10" s="365">
        <f t="shared" si="1"/>
        <v>100</v>
      </c>
    </row>
    <row r="11" spans="1:13" ht="10.25" customHeight="1" x14ac:dyDescent="0.25">
      <c r="A11" s="360" t="s">
        <v>1299</v>
      </c>
      <c r="B11" s="361">
        <v>2</v>
      </c>
      <c r="C11" s="361">
        <v>0.5</v>
      </c>
      <c r="D11" s="361">
        <v>200</v>
      </c>
      <c r="E11" s="361"/>
      <c r="F11" s="361"/>
      <c r="G11" s="361"/>
      <c r="H11" s="361"/>
      <c r="I11" s="361"/>
      <c r="J11" s="361"/>
      <c r="K11" s="361"/>
      <c r="L11" s="361">
        <f t="shared" si="0"/>
        <v>1</v>
      </c>
      <c r="M11" s="362">
        <f t="shared" si="1"/>
        <v>400</v>
      </c>
    </row>
    <row r="12" spans="1:13" ht="10.25" customHeight="1" x14ac:dyDescent="0.25">
      <c r="A12" s="665" t="s">
        <v>1300</v>
      </c>
      <c r="B12" s="364">
        <v>1</v>
      </c>
      <c r="C12" s="364">
        <v>0.6</v>
      </c>
      <c r="D12" s="364">
        <v>100</v>
      </c>
      <c r="E12" s="364" t="s">
        <v>165</v>
      </c>
      <c r="F12" s="364" t="s">
        <v>1301</v>
      </c>
      <c r="G12" s="364" t="s">
        <v>1302</v>
      </c>
      <c r="H12" s="364" t="s">
        <v>1303</v>
      </c>
      <c r="I12" s="364"/>
      <c r="J12" s="364" t="s">
        <v>1304</v>
      </c>
      <c r="K12" s="364"/>
      <c r="L12" s="364">
        <f t="shared" si="0"/>
        <v>0.6</v>
      </c>
      <c r="M12" s="365">
        <f t="shared" si="1"/>
        <v>100</v>
      </c>
    </row>
    <row r="13" spans="1:13" ht="10.25" customHeight="1" x14ac:dyDescent="0.25">
      <c r="A13" s="664" t="s">
        <v>1305</v>
      </c>
      <c r="B13" s="361"/>
      <c r="C13" s="361"/>
      <c r="D13" s="361"/>
      <c r="E13" s="361"/>
      <c r="F13" s="361" t="s">
        <v>1306</v>
      </c>
      <c r="G13" s="361"/>
      <c r="H13" s="361"/>
      <c r="I13" s="361"/>
      <c r="J13" s="361"/>
      <c r="K13" s="361"/>
      <c r="L13" s="361">
        <f t="shared" si="0"/>
        <v>0</v>
      </c>
      <c r="M13" s="362">
        <f t="shared" si="1"/>
        <v>0</v>
      </c>
    </row>
    <row r="14" spans="1:13" ht="10.25" customHeight="1" x14ac:dyDescent="0.25">
      <c r="A14" s="611" t="s">
        <v>1307</v>
      </c>
      <c r="B14" s="364">
        <v>1</v>
      </c>
      <c r="C14" s="364">
        <v>0.1</v>
      </c>
      <c r="D14" s="364">
        <v>50</v>
      </c>
      <c r="E14" s="364"/>
      <c r="F14" s="602" t="s">
        <v>1308</v>
      </c>
      <c r="G14" s="603"/>
      <c r="H14" s="364"/>
      <c r="I14" s="364"/>
      <c r="J14" s="364"/>
      <c r="K14" s="364"/>
      <c r="L14" s="364">
        <f t="shared" si="0"/>
        <v>0.1</v>
      </c>
      <c r="M14" s="365">
        <f t="shared" si="1"/>
        <v>50</v>
      </c>
    </row>
    <row r="15" spans="1:13" ht="10.25" customHeight="1" x14ac:dyDescent="0.25">
      <c r="A15" s="611" t="s">
        <v>1309</v>
      </c>
      <c r="B15" s="361">
        <v>1</v>
      </c>
      <c r="C15" s="361">
        <v>0.8</v>
      </c>
      <c r="D15" s="361">
        <v>50</v>
      </c>
      <c r="E15" s="361"/>
      <c r="F15" s="361"/>
      <c r="G15" s="361"/>
      <c r="H15" s="361"/>
      <c r="I15" s="361"/>
      <c r="J15" s="361"/>
      <c r="K15" s="361"/>
      <c r="L15" s="361">
        <f t="shared" si="0"/>
        <v>0.8</v>
      </c>
      <c r="M15" s="362">
        <f t="shared" si="1"/>
        <v>50</v>
      </c>
    </row>
    <row r="16" spans="1:13" ht="10.25" customHeight="1" x14ac:dyDescent="0.25">
      <c r="A16" s="609" t="s">
        <v>1310</v>
      </c>
      <c r="B16" s="364">
        <v>1</v>
      </c>
      <c r="C16" s="364">
        <v>0.05</v>
      </c>
      <c r="D16" s="364">
        <v>100</v>
      </c>
      <c r="E16" s="364"/>
      <c r="F16" s="364" t="s">
        <v>1627</v>
      </c>
      <c r="G16" s="364"/>
      <c r="H16" s="364" t="s">
        <v>1026</v>
      </c>
      <c r="I16" s="364"/>
      <c r="J16" s="364"/>
      <c r="K16" s="364" t="s">
        <v>1311</v>
      </c>
      <c r="L16" s="364">
        <f t="shared" si="0"/>
        <v>0.05</v>
      </c>
      <c r="M16" s="365">
        <f t="shared" si="1"/>
        <v>100</v>
      </c>
    </row>
    <row r="17" spans="1:13" ht="10.25" customHeight="1" x14ac:dyDescent="0.25">
      <c r="A17" s="360" t="s">
        <v>1312</v>
      </c>
      <c r="B17" s="361">
        <v>2</v>
      </c>
      <c r="C17" s="361">
        <v>0.3</v>
      </c>
      <c r="D17" s="361">
        <v>50</v>
      </c>
      <c r="E17" s="361"/>
      <c r="F17" s="361"/>
      <c r="G17" s="361"/>
      <c r="H17" s="361"/>
      <c r="I17" s="361"/>
      <c r="J17" s="361"/>
      <c r="K17" s="361"/>
      <c r="L17" s="361">
        <f t="shared" si="0"/>
        <v>0.6</v>
      </c>
      <c r="M17" s="362">
        <f t="shared" si="1"/>
        <v>100</v>
      </c>
    </row>
    <row r="18" spans="1:13" ht="10.25" customHeight="1" x14ac:dyDescent="0.25">
      <c r="A18" s="363" t="s">
        <v>1613</v>
      </c>
      <c r="B18" s="364">
        <v>1</v>
      </c>
      <c r="C18" s="364">
        <v>0.05</v>
      </c>
      <c r="D18" s="364">
        <v>10</v>
      </c>
      <c r="E18" s="364"/>
      <c r="F18" s="364" t="s">
        <v>1547</v>
      </c>
      <c r="G18" s="364"/>
      <c r="H18" s="364"/>
      <c r="I18" s="364"/>
      <c r="J18" s="364"/>
      <c r="K18" s="364"/>
      <c r="L18" s="364">
        <f t="shared" si="0"/>
        <v>0.05</v>
      </c>
      <c r="M18" s="365">
        <f t="shared" si="1"/>
        <v>10</v>
      </c>
    </row>
    <row r="19" spans="1:13" ht="10.25" customHeight="1" x14ac:dyDescent="0.25">
      <c r="A19" s="360"/>
      <c r="B19" s="361"/>
      <c r="C19" s="361"/>
      <c r="D19" s="361"/>
      <c r="E19" s="361"/>
      <c r="F19" s="361"/>
      <c r="G19" s="361"/>
      <c r="H19" s="361"/>
      <c r="I19" s="361"/>
      <c r="J19" s="361"/>
      <c r="K19" s="361"/>
      <c r="L19" s="361">
        <f t="shared" si="0"/>
        <v>0</v>
      </c>
      <c r="M19" s="362">
        <f t="shared" si="1"/>
        <v>0</v>
      </c>
    </row>
    <row r="20" spans="1:13" ht="10.25" customHeight="1" x14ac:dyDescent="0.25">
      <c r="A20" s="363"/>
      <c r="B20" s="364"/>
      <c r="C20" s="364"/>
      <c r="D20" s="364"/>
      <c r="E20" s="364"/>
      <c r="F20" s="364"/>
      <c r="G20" s="364"/>
      <c r="H20" s="364"/>
      <c r="I20" s="364"/>
      <c r="J20" s="364"/>
      <c r="K20" s="364"/>
      <c r="L20" s="364">
        <f t="shared" si="0"/>
        <v>0</v>
      </c>
      <c r="M20" s="365">
        <f t="shared" si="1"/>
        <v>0</v>
      </c>
    </row>
    <row r="21" spans="1:13" ht="10.25" customHeight="1" x14ac:dyDescent="0.25">
      <c r="A21" s="609" t="s">
        <v>1313</v>
      </c>
      <c r="B21" s="361">
        <v>1</v>
      </c>
      <c r="C21" s="361">
        <v>1</v>
      </c>
      <c r="D21" s="361">
        <v>100</v>
      </c>
      <c r="E21" s="361"/>
      <c r="F21" s="361"/>
      <c r="G21" s="361"/>
      <c r="H21" s="361"/>
      <c r="I21" s="361"/>
      <c r="J21" s="361"/>
      <c r="K21" s="361"/>
      <c r="L21" s="361">
        <f t="shared" si="0"/>
        <v>1</v>
      </c>
      <c r="M21" s="362">
        <f t="shared" si="1"/>
        <v>100</v>
      </c>
    </row>
    <row r="22" spans="1:13" ht="10.25" customHeight="1" x14ac:dyDescent="0.25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>
        <f t="shared" si="0"/>
        <v>0</v>
      </c>
      <c r="M22" s="365">
        <f t="shared" si="1"/>
        <v>0</v>
      </c>
    </row>
    <row r="23" spans="1:13" ht="10.25" customHeight="1" x14ac:dyDescent="0.25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>
        <f t="shared" si="0"/>
        <v>0</v>
      </c>
      <c r="M23" s="362">
        <f t="shared" si="1"/>
        <v>0</v>
      </c>
    </row>
    <row r="24" spans="1:13" ht="10.25" customHeight="1" x14ac:dyDescent="0.25">
      <c r="A24" s="609" t="s">
        <v>1236</v>
      </c>
      <c r="B24" s="361">
        <v>1</v>
      </c>
      <c r="C24" s="361">
        <v>0.1</v>
      </c>
      <c r="D24" s="361">
        <v>100</v>
      </c>
      <c r="E24" s="364"/>
      <c r="F24" s="364"/>
      <c r="G24" s="364"/>
      <c r="H24" s="364"/>
      <c r="I24" s="364"/>
      <c r="J24" s="364"/>
      <c r="K24" s="364"/>
      <c r="L24" s="364">
        <f t="shared" si="0"/>
        <v>0.1</v>
      </c>
      <c r="M24" s="365">
        <f t="shared" si="1"/>
        <v>100</v>
      </c>
    </row>
    <row r="25" spans="1:13" ht="10.25" customHeight="1" thickBot="1" x14ac:dyDescent="0.3">
      <c r="A25" s="366"/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>
        <f t="shared" si="0"/>
        <v>0</v>
      </c>
      <c r="M25" s="368">
        <f t="shared" si="1"/>
        <v>0</v>
      </c>
    </row>
    <row r="26" spans="1:13" ht="10.25" customHeight="1" thickBot="1" x14ac:dyDescent="0.3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</row>
    <row r="27" spans="1:13" ht="10.25" customHeight="1" thickBot="1" x14ac:dyDescent="0.3">
      <c r="A27" s="349" t="s">
        <v>1077</v>
      </c>
      <c r="B27" s="350"/>
      <c r="C27" s="350"/>
      <c r="D27" s="350"/>
      <c r="E27" s="350"/>
      <c r="F27" s="351" t="s">
        <v>1337</v>
      </c>
      <c r="G27" s="350" t="s">
        <v>1078</v>
      </c>
      <c r="H27" s="350"/>
      <c r="I27" s="350"/>
      <c r="J27" s="371" t="s">
        <v>1079</v>
      </c>
      <c r="K27" s="370">
        <f>M27/2</f>
        <v>450</v>
      </c>
      <c r="L27" s="352">
        <f>SUM(L29:L41)</f>
        <v>5.3699999999999992</v>
      </c>
      <c r="M27" s="352">
        <f>SUM(M29:M41)</f>
        <v>900</v>
      </c>
    </row>
    <row r="28" spans="1:13" s="353" customFormat="1" ht="10.25" customHeight="1" thickBot="1" x14ac:dyDescent="0.35">
      <c r="A28" s="354" t="s">
        <v>317</v>
      </c>
      <c r="B28" s="355" t="s">
        <v>1066</v>
      </c>
      <c r="C28" s="355" t="s">
        <v>499</v>
      </c>
      <c r="D28" s="355" t="s">
        <v>1067</v>
      </c>
      <c r="E28" s="355" t="s">
        <v>1068</v>
      </c>
      <c r="F28" s="355" t="s">
        <v>1069</v>
      </c>
      <c r="G28" s="355" t="s">
        <v>1070</v>
      </c>
      <c r="H28" s="355" t="s">
        <v>1071</v>
      </c>
      <c r="I28" s="355" t="s">
        <v>1072</v>
      </c>
      <c r="J28" s="355" t="s">
        <v>1073</v>
      </c>
      <c r="K28" s="355" t="s">
        <v>1074</v>
      </c>
      <c r="L28" s="355" t="s">
        <v>1075</v>
      </c>
      <c r="M28" s="356" t="s">
        <v>1076</v>
      </c>
    </row>
    <row r="29" spans="1:13" ht="10.25" customHeight="1" x14ac:dyDescent="0.25">
      <c r="A29" s="360" t="s">
        <v>1240</v>
      </c>
      <c r="B29" s="361">
        <v>1</v>
      </c>
      <c r="C29" s="358">
        <v>2</v>
      </c>
      <c r="D29" s="358">
        <v>200</v>
      </c>
      <c r="E29" s="358"/>
      <c r="F29" s="358"/>
      <c r="G29" s="358"/>
      <c r="H29" s="614"/>
      <c r="I29" s="358"/>
      <c r="J29" s="358"/>
      <c r="K29" s="358"/>
      <c r="L29" s="358">
        <f t="shared" ref="L29:L41" si="2">C29*B29</f>
        <v>2</v>
      </c>
      <c r="M29" s="359">
        <f t="shared" ref="M29:M41" si="3">D29*B29</f>
        <v>200</v>
      </c>
    </row>
    <row r="30" spans="1:13" ht="10.25" customHeight="1" x14ac:dyDescent="0.25">
      <c r="A30" s="363" t="s">
        <v>1314</v>
      </c>
      <c r="B30" s="364">
        <v>5</v>
      </c>
      <c r="C30" s="361">
        <v>0.1</v>
      </c>
      <c r="D30" s="361"/>
      <c r="E30" s="361"/>
      <c r="F30" s="361"/>
      <c r="G30" s="361"/>
      <c r="H30" s="361"/>
      <c r="I30" s="361"/>
      <c r="J30" s="361"/>
      <c r="K30" s="361"/>
      <c r="L30" s="361">
        <f t="shared" si="2"/>
        <v>0.5</v>
      </c>
      <c r="M30" s="362">
        <f t="shared" si="3"/>
        <v>0</v>
      </c>
    </row>
    <row r="31" spans="1:13" ht="10.25" customHeight="1" x14ac:dyDescent="0.25">
      <c r="A31" s="360" t="s">
        <v>1315</v>
      </c>
      <c r="B31" s="361">
        <v>0</v>
      </c>
      <c r="C31" s="364">
        <v>0.5</v>
      </c>
      <c r="D31" s="364"/>
      <c r="E31" s="364"/>
      <c r="F31" s="364"/>
      <c r="G31" s="364"/>
      <c r="H31" s="364"/>
      <c r="I31" s="364"/>
      <c r="J31" s="364"/>
      <c r="K31" s="364"/>
      <c r="L31" s="364">
        <f t="shared" si="2"/>
        <v>0</v>
      </c>
      <c r="M31" s="365">
        <f t="shared" si="3"/>
        <v>0</v>
      </c>
    </row>
    <row r="32" spans="1:13" ht="10.25" customHeight="1" x14ac:dyDescent="0.25">
      <c r="A32" s="363" t="s">
        <v>1316</v>
      </c>
      <c r="B32" s="364">
        <v>6</v>
      </c>
      <c r="C32" s="361">
        <v>0.05</v>
      </c>
      <c r="D32" s="361"/>
      <c r="E32" s="361"/>
      <c r="F32" s="361"/>
      <c r="G32" s="361"/>
      <c r="H32" s="376"/>
      <c r="I32" s="361"/>
      <c r="J32" s="361"/>
      <c r="K32" s="361"/>
      <c r="L32" s="361">
        <f t="shared" si="2"/>
        <v>0.30000000000000004</v>
      </c>
      <c r="M32" s="362">
        <f t="shared" si="3"/>
        <v>0</v>
      </c>
    </row>
    <row r="33" spans="1:13" ht="10.25" customHeight="1" x14ac:dyDescent="0.25">
      <c r="A33" s="363" t="s">
        <v>1317</v>
      </c>
      <c r="B33" s="364">
        <v>3</v>
      </c>
      <c r="C33" s="364">
        <v>0.01</v>
      </c>
      <c r="D33" s="364">
        <v>50</v>
      </c>
      <c r="E33" s="364">
        <v>3</v>
      </c>
      <c r="F33" s="364"/>
      <c r="G33" s="364"/>
      <c r="H33" s="372"/>
      <c r="I33" s="372"/>
      <c r="J33" s="364"/>
      <c r="K33" s="372"/>
      <c r="L33" s="364">
        <f t="shared" si="2"/>
        <v>0.03</v>
      </c>
      <c r="M33" s="365">
        <f t="shared" si="3"/>
        <v>150</v>
      </c>
    </row>
    <row r="34" spans="1:13" ht="10.25" customHeight="1" x14ac:dyDescent="0.25">
      <c r="A34" s="360" t="s">
        <v>1318</v>
      </c>
      <c r="B34" s="361">
        <v>1</v>
      </c>
      <c r="C34" s="361">
        <v>0.5</v>
      </c>
      <c r="D34" s="361">
        <v>250</v>
      </c>
      <c r="E34" s="361"/>
      <c r="F34" s="361"/>
      <c r="G34" s="361"/>
      <c r="H34" s="376"/>
      <c r="I34" s="361"/>
      <c r="J34" s="361"/>
      <c r="K34" s="361"/>
      <c r="L34" s="361">
        <f t="shared" si="2"/>
        <v>0.5</v>
      </c>
      <c r="M34" s="362">
        <f t="shared" si="3"/>
        <v>250</v>
      </c>
    </row>
    <row r="35" spans="1:13" ht="10.25" customHeight="1" x14ac:dyDescent="0.25">
      <c r="A35" s="363" t="s">
        <v>1319</v>
      </c>
      <c r="B35" s="364">
        <v>4</v>
      </c>
      <c r="C35" s="364">
        <v>0.01</v>
      </c>
      <c r="D35" s="364"/>
      <c r="E35" s="364"/>
      <c r="F35" s="364"/>
      <c r="G35" s="364"/>
      <c r="H35" s="364"/>
      <c r="I35" s="364"/>
      <c r="J35" s="364"/>
      <c r="K35" s="364" t="s">
        <v>1320</v>
      </c>
      <c r="L35" s="364">
        <f t="shared" si="2"/>
        <v>0.04</v>
      </c>
      <c r="M35" s="365">
        <f t="shared" si="3"/>
        <v>0</v>
      </c>
    </row>
    <row r="36" spans="1:13" ht="10.25" customHeight="1" x14ac:dyDescent="0.25">
      <c r="A36" s="360" t="s">
        <v>1321</v>
      </c>
      <c r="B36" s="361">
        <v>2</v>
      </c>
      <c r="C36" s="361">
        <v>1</v>
      </c>
      <c r="D36" s="361">
        <v>150</v>
      </c>
      <c r="E36" s="361"/>
      <c r="F36" s="361"/>
      <c r="G36" s="361" t="s">
        <v>1322</v>
      </c>
      <c r="H36" s="361"/>
      <c r="I36" s="361"/>
      <c r="J36" s="361"/>
      <c r="K36" s="361"/>
      <c r="L36" s="361">
        <f t="shared" si="2"/>
        <v>2</v>
      </c>
      <c r="M36" s="362">
        <f t="shared" si="3"/>
        <v>300</v>
      </c>
    </row>
    <row r="37" spans="1:13" ht="10.25" customHeight="1" x14ac:dyDescent="0.25">
      <c r="A37" s="363" t="s">
        <v>1323</v>
      </c>
      <c r="B37" s="364"/>
      <c r="C37" s="364">
        <v>0.01</v>
      </c>
      <c r="D37" s="364">
        <v>1</v>
      </c>
      <c r="E37" s="364"/>
      <c r="F37" s="364"/>
      <c r="G37" s="364"/>
      <c r="H37" s="364"/>
      <c r="I37" s="364"/>
      <c r="J37" s="364"/>
      <c r="K37" s="364"/>
      <c r="L37" s="364">
        <f t="shared" si="2"/>
        <v>0</v>
      </c>
      <c r="M37" s="365">
        <f t="shared" si="3"/>
        <v>0</v>
      </c>
    </row>
    <row r="38" spans="1:13" ht="10.25" customHeight="1" x14ac:dyDescent="0.25">
      <c r="A38" s="363" t="s">
        <v>1324</v>
      </c>
      <c r="B38" s="364">
        <v>8</v>
      </c>
      <c r="C38" s="364">
        <v>0.1</v>
      </c>
      <c r="D38" s="364">
        <v>40</v>
      </c>
      <c r="E38" s="364"/>
      <c r="F38" s="364"/>
      <c r="G38" s="364"/>
      <c r="H38" s="364"/>
      <c r="I38" s="364"/>
      <c r="J38" s="364"/>
      <c r="K38" s="364"/>
      <c r="L38" s="364"/>
      <c r="M38" s="365"/>
    </row>
    <row r="39" spans="1:13" ht="10.25" customHeight="1" x14ac:dyDescent="0.25">
      <c r="A39" s="363" t="s">
        <v>1325</v>
      </c>
      <c r="B39" s="364">
        <v>10</v>
      </c>
      <c r="C39" s="364">
        <v>0.05</v>
      </c>
      <c r="D39" s="364">
        <v>10</v>
      </c>
      <c r="E39" s="364"/>
      <c r="F39" s="364"/>
      <c r="G39" s="364"/>
      <c r="H39" s="364"/>
      <c r="I39" s="364"/>
      <c r="J39" s="364"/>
      <c r="K39" s="364"/>
      <c r="L39" s="364"/>
      <c r="M39" s="365"/>
    </row>
    <row r="40" spans="1:13" ht="10.25" customHeight="1" x14ac:dyDescent="0.25">
      <c r="A40" s="363" t="s">
        <v>1326</v>
      </c>
      <c r="B40" s="364">
        <v>1</v>
      </c>
      <c r="C40" s="364"/>
      <c r="D40" s="364"/>
      <c r="E40" s="364"/>
      <c r="F40" s="364"/>
      <c r="G40" s="364" t="s">
        <v>1327</v>
      </c>
      <c r="H40" s="364"/>
      <c r="I40" s="364"/>
      <c r="J40" s="364"/>
      <c r="K40" s="364"/>
      <c r="L40" s="364"/>
      <c r="M40" s="365"/>
    </row>
    <row r="41" spans="1:13" ht="10.25" customHeight="1" thickBot="1" x14ac:dyDescent="0.3">
      <c r="A41" s="366"/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>
        <f t="shared" si="2"/>
        <v>0</v>
      </c>
      <c r="M41" s="368">
        <f t="shared" si="3"/>
        <v>0</v>
      </c>
    </row>
    <row r="42" spans="1:13" ht="10.25" customHeight="1" thickBot="1" x14ac:dyDescent="0.3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ht="10.25" customHeight="1" thickBot="1" x14ac:dyDescent="0.3">
      <c r="A43" s="349" t="s">
        <v>1080</v>
      </c>
      <c r="B43" s="350"/>
      <c r="C43" s="350"/>
      <c r="D43" s="350"/>
      <c r="E43" s="350"/>
      <c r="F43" s="370" t="s">
        <v>1336</v>
      </c>
      <c r="G43" s="350" t="s">
        <v>1078</v>
      </c>
      <c r="H43" s="350"/>
      <c r="I43" s="350"/>
      <c r="J43" s="371" t="s">
        <v>1079</v>
      </c>
      <c r="K43" s="370">
        <f>M43/2</f>
        <v>0</v>
      </c>
      <c r="L43" s="352">
        <f>SUM(L45:L54)</f>
        <v>0</v>
      </c>
      <c r="M43" s="352">
        <f>SUM(M45:M54)</f>
        <v>0</v>
      </c>
    </row>
    <row r="44" spans="1:13" s="353" customFormat="1" ht="10.25" customHeight="1" thickBot="1" x14ac:dyDescent="0.35">
      <c r="A44" s="354" t="s">
        <v>317</v>
      </c>
      <c r="B44" s="355" t="s">
        <v>1066</v>
      </c>
      <c r="C44" s="355" t="s">
        <v>499</v>
      </c>
      <c r="D44" s="355" t="s">
        <v>1067</v>
      </c>
      <c r="E44" s="355" t="s">
        <v>1068</v>
      </c>
      <c r="F44" s="355" t="s">
        <v>1069</v>
      </c>
      <c r="G44" s="355" t="s">
        <v>1070</v>
      </c>
      <c r="H44" s="355" t="s">
        <v>1071</v>
      </c>
      <c r="I44" s="355" t="s">
        <v>1072</v>
      </c>
      <c r="J44" s="355" t="s">
        <v>1073</v>
      </c>
      <c r="K44" s="355" t="s">
        <v>1074</v>
      </c>
      <c r="L44" s="355" t="s">
        <v>1075</v>
      </c>
      <c r="M44" s="356" t="s">
        <v>1076</v>
      </c>
    </row>
    <row r="45" spans="1:13" ht="10.25" customHeight="1" x14ac:dyDescent="0.25">
      <c r="A45" s="357" t="s">
        <v>1328</v>
      </c>
      <c r="B45" s="358">
        <v>0</v>
      </c>
      <c r="C45" s="358"/>
      <c r="D45" s="358"/>
      <c r="E45" s="358"/>
      <c r="F45" s="358"/>
      <c r="G45" s="358"/>
      <c r="H45" s="358"/>
      <c r="I45" s="358"/>
      <c r="J45" s="358"/>
      <c r="K45" s="358"/>
      <c r="L45" s="358">
        <f t="shared" ref="L45:L54" si="4">C45*B45</f>
        <v>0</v>
      </c>
      <c r="M45" s="359">
        <f t="shared" ref="M45:M54" si="5">D45*B45</f>
        <v>0</v>
      </c>
    </row>
    <row r="46" spans="1:13" ht="10.25" customHeight="1" x14ac:dyDescent="0.25">
      <c r="A46" s="360" t="s">
        <v>1329</v>
      </c>
      <c r="B46" s="361">
        <v>0</v>
      </c>
      <c r="C46" s="361"/>
      <c r="D46" s="361"/>
      <c r="E46" s="361"/>
      <c r="F46" s="361"/>
      <c r="G46" s="361"/>
      <c r="H46" s="361"/>
      <c r="I46" s="361"/>
      <c r="J46" s="361"/>
      <c r="K46" s="361"/>
      <c r="L46" s="361">
        <f t="shared" si="4"/>
        <v>0</v>
      </c>
      <c r="M46" s="362">
        <f t="shared" si="5"/>
        <v>0</v>
      </c>
    </row>
    <row r="47" spans="1:13" ht="10.25" customHeight="1" x14ac:dyDescent="0.25">
      <c r="A47" s="363" t="s">
        <v>1330</v>
      </c>
      <c r="B47" s="364">
        <v>0</v>
      </c>
      <c r="C47" s="364"/>
      <c r="D47" s="364"/>
      <c r="E47" s="364"/>
      <c r="F47" s="364"/>
      <c r="G47" s="364"/>
      <c r="H47" s="364"/>
      <c r="I47" s="364"/>
      <c r="J47" s="364"/>
      <c r="K47" s="364"/>
      <c r="L47" s="364">
        <f t="shared" si="4"/>
        <v>0</v>
      </c>
      <c r="M47" s="365">
        <f t="shared" si="5"/>
        <v>0</v>
      </c>
    </row>
    <row r="48" spans="1:13" ht="10.25" customHeight="1" x14ac:dyDescent="0.25">
      <c r="A48" s="360" t="s">
        <v>1331</v>
      </c>
      <c r="B48" s="361">
        <v>1</v>
      </c>
      <c r="C48" s="361"/>
      <c r="D48" s="361"/>
      <c r="E48" s="361"/>
      <c r="F48" s="361"/>
      <c r="G48" s="361"/>
      <c r="H48" s="361"/>
      <c r="I48" s="361"/>
      <c r="J48" s="361"/>
      <c r="K48" s="361"/>
      <c r="L48" s="361">
        <f t="shared" si="4"/>
        <v>0</v>
      </c>
      <c r="M48" s="362">
        <f t="shared" si="5"/>
        <v>0</v>
      </c>
    </row>
    <row r="49" spans="1:13" ht="10.25" customHeight="1" x14ac:dyDescent="0.25">
      <c r="A49" s="363" t="s">
        <v>1332</v>
      </c>
      <c r="B49" s="364">
        <v>1</v>
      </c>
      <c r="C49" s="364"/>
      <c r="D49" s="364"/>
      <c r="E49" s="364"/>
      <c r="F49" s="364"/>
      <c r="G49" s="364"/>
      <c r="H49" s="364"/>
      <c r="I49" s="364"/>
      <c r="J49" s="364"/>
      <c r="K49" s="364"/>
      <c r="L49" s="364">
        <f t="shared" si="4"/>
        <v>0</v>
      </c>
      <c r="M49" s="365">
        <f t="shared" si="5"/>
        <v>0</v>
      </c>
    </row>
    <row r="50" spans="1:13" ht="10.25" customHeight="1" x14ac:dyDescent="0.25">
      <c r="A50" s="360" t="s">
        <v>1333</v>
      </c>
      <c r="B50" s="361">
        <v>1</v>
      </c>
      <c r="C50" s="361"/>
      <c r="D50" s="361"/>
      <c r="E50" s="361"/>
      <c r="F50" s="361"/>
      <c r="G50" s="361"/>
      <c r="H50" s="361"/>
      <c r="I50" s="361"/>
      <c r="J50" s="361"/>
      <c r="K50" s="361"/>
      <c r="L50" s="361">
        <f t="shared" si="4"/>
        <v>0</v>
      </c>
      <c r="M50" s="362">
        <f t="shared" si="5"/>
        <v>0</v>
      </c>
    </row>
    <row r="51" spans="1:13" ht="10.25" customHeight="1" x14ac:dyDescent="0.25">
      <c r="A51" s="363" t="s">
        <v>1334</v>
      </c>
      <c r="B51" s="364">
        <v>3</v>
      </c>
      <c r="C51" s="364"/>
      <c r="D51" s="364"/>
      <c r="E51" s="364"/>
      <c r="F51" s="364"/>
      <c r="G51" s="364"/>
      <c r="H51" s="364"/>
      <c r="I51" s="364"/>
      <c r="J51" s="364"/>
      <c r="K51" s="364"/>
      <c r="L51" s="364">
        <f t="shared" si="4"/>
        <v>0</v>
      </c>
      <c r="M51" s="365">
        <f t="shared" si="5"/>
        <v>0</v>
      </c>
    </row>
    <row r="52" spans="1:13" ht="10.25" customHeight="1" x14ac:dyDescent="0.25">
      <c r="A52" s="360" t="s">
        <v>1335</v>
      </c>
      <c r="B52" s="361">
        <v>1</v>
      </c>
      <c r="C52" s="361"/>
      <c r="D52" s="361"/>
      <c r="E52" s="361"/>
      <c r="F52" s="361"/>
      <c r="G52" s="361"/>
      <c r="H52" s="361"/>
      <c r="I52" s="361"/>
      <c r="J52" s="361"/>
      <c r="K52" s="361"/>
      <c r="L52" s="361">
        <f t="shared" si="4"/>
        <v>0</v>
      </c>
      <c r="M52" s="362">
        <f t="shared" si="5"/>
        <v>0</v>
      </c>
    </row>
    <row r="53" spans="1:13" ht="10.25" customHeight="1" x14ac:dyDescent="0.25">
      <c r="A53" s="363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>
        <f t="shared" si="4"/>
        <v>0</v>
      </c>
      <c r="M53" s="365">
        <f t="shared" si="5"/>
        <v>0</v>
      </c>
    </row>
    <row r="54" spans="1:13" ht="10.25" customHeight="1" thickBot="1" x14ac:dyDescent="0.3">
      <c r="A54" s="366"/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7">
        <f t="shared" si="4"/>
        <v>0</v>
      </c>
      <c r="M54" s="368">
        <f t="shared" si="5"/>
        <v>0</v>
      </c>
    </row>
    <row r="55" spans="1:13" ht="10.25" customHeight="1" thickBot="1" x14ac:dyDescent="0.3">
      <c r="A55" s="369"/>
      <c r="B55" s="369"/>
      <c r="C55" s="369"/>
      <c r="D55" s="369"/>
      <c r="E55" s="369"/>
      <c r="F55" s="369"/>
      <c r="G55" s="369"/>
      <c r="H55" s="369"/>
      <c r="I55" s="369"/>
      <c r="J55" s="369"/>
      <c r="K55" s="369"/>
      <c r="L55" s="369"/>
      <c r="M55" s="369"/>
    </row>
    <row r="56" spans="1:13" ht="10.25" customHeight="1" thickBot="1" x14ac:dyDescent="0.3">
      <c r="A56" s="349" t="s">
        <v>1081</v>
      </c>
      <c r="B56" s="350"/>
      <c r="C56" s="350"/>
      <c r="D56" s="350"/>
      <c r="E56" s="350"/>
      <c r="F56" s="370"/>
      <c r="G56" s="350" t="s">
        <v>1078</v>
      </c>
      <c r="H56" s="350"/>
      <c r="I56" s="350"/>
      <c r="J56" s="371" t="s">
        <v>1079</v>
      </c>
      <c r="K56" s="370">
        <f>M56/2</f>
        <v>0</v>
      </c>
      <c r="L56" s="352">
        <f>SUM(L58:L67)</f>
        <v>0</v>
      </c>
      <c r="M56" s="352">
        <f>SUM(M58:M67)</f>
        <v>0</v>
      </c>
    </row>
    <row r="57" spans="1:13" s="353" customFormat="1" ht="10.25" customHeight="1" thickBot="1" x14ac:dyDescent="0.35">
      <c r="A57" s="354" t="s">
        <v>317</v>
      </c>
      <c r="B57" s="355" t="s">
        <v>1066</v>
      </c>
      <c r="C57" s="355" t="s">
        <v>499</v>
      </c>
      <c r="D57" s="355" t="s">
        <v>1067</v>
      </c>
      <c r="E57" s="355" t="s">
        <v>1068</v>
      </c>
      <c r="F57" s="355" t="s">
        <v>1069</v>
      </c>
      <c r="G57" s="355" t="s">
        <v>1070</v>
      </c>
      <c r="H57" s="355" t="s">
        <v>1071</v>
      </c>
      <c r="I57" s="355" t="s">
        <v>1072</v>
      </c>
      <c r="J57" s="355" t="s">
        <v>1073</v>
      </c>
      <c r="K57" s="355" t="s">
        <v>1074</v>
      </c>
      <c r="L57" s="355" t="s">
        <v>1075</v>
      </c>
      <c r="M57" s="356" t="s">
        <v>1076</v>
      </c>
    </row>
    <row r="58" spans="1:13" ht="10.25" customHeight="1" x14ac:dyDescent="0.25">
      <c r="A58" s="357"/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>
        <f t="shared" ref="L58:L67" si="6">C58*B58</f>
        <v>0</v>
      </c>
      <c r="M58" s="359">
        <f t="shared" ref="M58:M67" si="7">D58*B58</f>
        <v>0</v>
      </c>
    </row>
    <row r="59" spans="1:13" ht="10.25" customHeight="1" x14ac:dyDescent="0.25">
      <c r="A59" s="360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>
        <f t="shared" si="6"/>
        <v>0</v>
      </c>
      <c r="M59" s="362">
        <f t="shared" si="7"/>
        <v>0</v>
      </c>
    </row>
    <row r="60" spans="1:13" ht="10.25" customHeight="1" x14ac:dyDescent="0.25">
      <c r="A60" s="363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>
        <f t="shared" si="6"/>
        <v>0</v>
      </c>
      <c r="M60" s="365">
        <f t="shared" si="7"/>
        <v>0</v>
      </c>
    </row>
    <row r="61" spans="1:13" ht="10.25" customHeight="1" x14ac:dyDescent="0.25">
      <c r="A61" s="360"/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>
        <f t="shared" si="6"/>
        <v>0</v>
      </c>
      <c r="M61" s="362">
        <f t="shared" si="7"/>
        <v>0</v>
      </c>
    </row>
    <row r="62" spans="1:13" ht="10.25" customHeight="1" x14ac:dyDescent="0.25">
      <c r="A62" s="363"/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64">
        <f t="shared" si="6"/>
        <v>0</v>
      </c>
      <c r="M62" s="365">
        <f t="shared" si="7"/>
        <v>0</v>
      </c>
    </row>
    <row r="63" spans="1:13" ht="10.25" customHeight="1" x14ac:dyDescent="0.25">
      <c r="A63" s="360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>
        <f t="shared" si="6"/>
        <v>0</v>
      </c>
      <c r="M63" s="362">
        <f t="shared" si="7"/>
        <v>0</v>
      </c>
    </row>
    <row r="64" spans="1:13" ht="10.25" customHeight="1" x14ac:dyDescent="0.25">
      <c r="A64" s="363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>
        <f t="shared" si="6"/>
        <v>0</v>
      </c>
      <c r="M64" s="365">
        <f t="shared" si="7"/>
        <v>0</v>
      </c>
    </row>
    <row r="65" spans="1:13" ht="10.25" customHeight="1" x14ac:dyDescent="0.25">
      <c r="A65" s="360"/>
      <c r="B65" s="361"/>
      <c r="C65" s="361"/>
      <c r="D65" s="361"/>
      <c r="E65" s="361"/>
      <c r="F65" s="361"/>
      <c r="G65" s="361"/>
      <c r="H65" s="361"/>
      <c r="I65" s="361"/>
      <c r="J65" s="361"/>
      <c r="K65" s="361"/>
      <c r="L65" s="361">
        <f t="shared" si="6"/>
        <v>0</v>
      </c>
      <c r="M65" s="362">
        <f t="shared" si="7"/>
        <v>0</v>
      </c>
    </row>
    <row r="66" spans="1:13" ht="10.25" customHeight="1" x14ac:dyDescent="0.25">
      <c r="A66" s="363"/>
      <c r="B66" s="364"/>
      <c r="C66" s="364"/>
      <c r="D66" s="364"/>
      <c r="E66" s="364"/>
      <c r="F66" s="364"/>
      <c r="G66" s="364"/>
      <c r="H66" s="364"/>
      <c r="I66" s="364"/>
      <c r="J66" s="364"/>
      <c r="K66" s="364"/>
      <c r="L66" s="364">
        <f t="shared" si="6"/>
        <v>0</v>
      </c>
      <c r="M66" s="365">
        <f t="shared" si="7"/>
        <v>0</v>
      </c>
    </row>
    <row r="67" spans="1:13" ht="10.25" customHeight="1" thickBot="1" x14ac:dyDescent="0.3">
      <c r="A67" s="366"/>
      <c r="B67" s="367"/>
      <c r="C67" s="367"/>
      <c r="D67" s="367"/>
      <c r="E67" s="367"/>
      <c r="F67" s="367"/>
      <c r="G67" s="367"/>
      <c r="H67" s="367"/>
      <c r="I67" s="367"/>
      <c r="J67" s="367"/>
      <c r="K67" s="367"/>
      <c r="L67" s="367">
        <f t="shared" si="6"/>
        <v>0</v>
      </c>
      <c r="M67" s="368">
        <f t="shared" si="7"/>
        <v>0</v>
      </c>
    </row>
    <row r="68" spans="1:13" ht="10.25" customHeight="1" thickBot="1" x14ac:dyDescent="0.3">
      <c r="A68" s="369"/>
      <c r="B68" s="369"/>
      <c r="C68" s="369"/>
      <c r="D68" s="369"/>
      <c r="E68" s="369"/>
      <c r="F68" s="369"/>
      <c r="G68" s="369"/>
      <c r="H68" s="369"/>
      <c r="I68" s="369"/>
      <c r="J68" s="369"/>
      <c r="K68" s="369"/>
      <c r="L68" s="369"/>
      <c r="M68" s="369"/>
    </row>
    <row r="69" spans="1:13" ht="10.25" customHeight="1" thickBot="1" x14ac:dyDescent="0.3">
      <c r="A69" s="349" t="s">
        <v>1082</v>
      </c>
      <c r="B69" s="350"/>
      <c r="C69" s="350"/>
      <c r="D69" s="350"/>
      <c r="E69" s="350"/>
      <c r="F69" s="370" t="s">
        <v>944</v>
      </c>
      <c r="G69" s="350" t="s">
        <v>1078</v>
      </c>
      <c r="H69" s="350"/>
      <c r="I69" s="350"/>
      <c r="J69" s="371" t="s">
        <v>1079</v>
      </c>
      <c r="K69" s="370">
        <f>M69/2</f>
        <v>0</v>
      </c>
      <c r="L69" s="352">
        <f>SUM(L71:L76)</f>
        <v>0</v>
      </c>
      <c r="M69" s="352">
        <f>SUM(M71:M76)</f>
        <v>0</v>
      </c>
    </row>
    <row r="70" spans="1:13" s="353" customFormat="1" ht="10.25" customHeight="1" thickBot="1" x14ac:dyDescent="0.35">
      <c r="A70" s="354" t="s">
        <v>317</v>
      </c>
      <c r="B70" s="355" t="s">
        <v>1066</v>
      </c>
      <c r="C70" s="355" t="s">
        <v>499</v>
      </c>
      <c r="D70" s="355" t="s">
        <v>1067</v>
      </c>
      <c r="E70" s="355" t="s">
        <v>1068</v>
      </c>
      <c r="F70" s="355" t="s">
        <v>1069</v>
      </c>
      <c r="G70" s="355" t="s">
        <v>1070</v>
      </c>
      <c r="H70" s="355" t="s">
        <v>1071</v>
      </c>
      <c r="I70" s="355" t="s">
        <v>1072</v>
      </c>
      <c r="J70" s="355" t="s">
        <v>1073</v>
      </c>
      <c r="K70" s="355" t="s">
        <v>1074</v>
      </c>
      <c r="L70" s="355" t="s">
        <v>1075</v>
      </c>
      <c r="M70" s="356" t="s">
        <v>1076</v>
      </c>
    </row>
    <row r="71" spans="1:13" ht="10.25" customHeight="1" x14ac:dyDescent="0.25">
      <c r="A71" s="357"/>
      <c r="B71" s="358"/>
      <c r="C71" s="358"/>
      <c r="D71" s="358"/>
      <c r="E71" s="358"/>
      <c r="F71" s="358"/>
      <c r="G71" s="358"/>
      <c r="H71" s="358"/>
      <c r="I71" s="358"/>
      <c r="J71" s="358"/>
      <c r="K71" s="358"/>
      <c r="L71" s="358">
        <f t="shared" ref="L71:L76" si="8">C71*B71</f>
        <v>0</v>
      </c>
      <c r="M71" s="359">
        <f t="shared" ref="M71:M76" si="9">D71*B71</f>
        <v>0</v>
      </c>
    </row>
    <row r="72" spans="1:13" ht="10.25" customHeight="1" x14ac:dyDescent="0.25">
      <c r="A72" s="360"/>
      <c r="B72" s="361"/>
      <c r="C72" s="361"/>
      <c r="D72" s="361"/>
      <c r="E72" s="361"/>
      <c r="F72" s="361"/>
      <c r="G72" s="361"/>
      <c r="H72" s="361"/>
      <c r="I72" s="361"/>
      <c r="J72" s="361"/>
      <c r="K72" s="361"/>
      <c r="L72" s="361">
        <f t="shared" si="8"/>
        <v>0</v>
      </c>
      <c r="M72" s="362">
        <f t="shared" si="9"/>
        <v>0</v>
      </c>
    </row>
    <row r="73" spans="1:13" ht="10.25" customHeight="1" x14ac:dyDescent="0.25">
      <c r="A73" s="363"/>
      <c r="B73" s="364"/>
      <c r="C73" s="364"/>
      <c r="D73" s="364"/>
      <c r="E73" s="364"/>
      <c r="F73" s="364"/>
      <c r="G73" s="364"/>
      <c r="H73" s="364"/>
      <c r="I73" s="364"/>
      <c r="J73" s="364"/>
      <c r="K73" s="364"/>
      <c r="L73" s="364">
        <f t="shared" si="8"/>
        <v>0</v>
      </c>
      <c r="M73" s="365">
        <f t="shared" si="9"/>
        <v>0</v>
      </c>
    </row>
    <row r="74" spans="1:13" ht="10.25" customHeight="1" x14ac:dyDescent="0.25">
      <c r="A74" s="360"/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>
        <f t="shared" si="8"/>
        <v>0</v>
      </c>
      <c r="M74" s="362">
        <f t="shared" si="9"/>
        <v>0</v>
      </c>
    </row>
    <row r="75" spans="1:13" ht="10.25" customHeight="1" x14ac:dyDescent="0.25">
      <c r="A75" s="363"/>
      <c r="B75" s="364"/>
      <c r="C75" s="364"/>
      <c r="D75" s="364"/>
      <c r="E75" s="364"/>
      <c r="F75" s="364"/>
      <c r="G75" s="364"/>
      <c r="H75" s="364"/>
      <c r="I75" s="364"/>
      <c r="J75" s="364"/>
      <c r="K75" s="364"/>
      <c r="L75" s="364">
        <f t="shared" si="8"/>
        <v>0</v>
      </c>
      <c r="M75" s="365">
        <f t="shared" si="9"/>
        <v>0</v>
      </c>
    </row>
    <row r="76" spans="1:13" ht="10.25" customHeight="1" thickBot="1" x14ac:dyDescent="0.3">
      <c r="A76" s="366"/>
      <c r="B76" s="367"/>
      <c r="C76" s="367"/>
      <c r="D76" s="367"/>
      <c r="E76" s="367"/>
      <c r="F76" s="367"/>
      <c r="G76" s="367"/>
      <c r="H76" s="367"/>
      <c r="I76" s="367"/>
      <c r="J76" s="367"/>
      <c r="K76" s="367"/>
      <c r="L76" s="367">
        <f t="shared" si="8"/>
        <v>0</v>
      </c>
      <c r="M76" s="368">
        <f t="shared" si="9"/>
        <v>0</v>
      </c>
    </row>
    <row r="78" spans="1:13" x14ac:dyDescent="0.25">
      <c r="A78" s="660" t="s">
        <v>1596</v>
      </c>
      <c r="B78" s="658"/>
      <c r="C78" s="658"/>
      <c r="D78" s="658"/>
      <c r="E78" s="658"/>
      <c r="F78" s="658"/>
      <c r="G78" s="658"/>
      <c r="H78" s="658"/>
      <c r="I78" s="658"/>
      <c r="J78" s="658"/>
      <c r="K78" s="658"/>
    </row>
    <row r="79" spans="1:13" x14ac:dyDescent="0.25">
      <c r="A79" s="661" t="s">
        <v>1595</v>
      </c>
      <c r="B79" s="662" t="s">
        <v>1605</v>
      </c>
      <c r="C79" s="661"/>
      <c r="D79" s="661"/>
      <c r="E79" s="661"/>
      <c r="F79" s="661"/>
      <c r="G79" s="661"/>
      <c r="H79" s="661"/>
      <c r="I79" s="661"/>
      <c r="J79" s="661"/>
      <c r="K79" s="661"/>
    </row>
    <row r="80" spans="1:13" x14ac:dyDescent="0.25">
      <c r="A80" s="658" t="s">
        <v>1577</v>
      </c>
      <c r="B80" s="658" t="s">
        <v>1606</v>
      </c>
      <c r="C80" s="658"/>
      <c r="D80" s="658"/>
      <c r="E80" s="658"/>
      <c r="F80" s="658"/>
      <c r="G80" s="658"/>
      <c r="H80" s="658"/>
      <c r="I80" s="658"/>
      <c r="J80" s="658"/>
      <c r="K80" s="658"/>
    </row>
    <row r="81" spans="1:11" x14ac:dyDescent="0.25">
      <c r="A81" s="658" t="s">
        <v>1570</v>
      </c>
      <c r="B81" s="659" t="s">
        <v>1607</v>
      </c>
      <c r="C81" s="658"/>
      <c r="D81" s="658"/>
      <c r="E81" s="658"/>
      <c r="F81" s="658"/>
      <c r="G81" s="658"/>
      <c r="H81" s="658"/>
      <c r="I81" s="658"/>
      <c r="J81" s="658"/>
      <c r="K81" s="658"/>
    </row>
    <row r="82" spans="1:11" x14ac:dyDescent="0.25">
      <c r="A82" s="658" t="s">
        <v>1566</v>
      </c>
      <c r="B82" s="658">
        <v>12</v>
      </c>
      <c r="C82" s="658"/>
      <c r="D82" s="658"/>
      <c r="E82" s="658"/>
      <c r="F82" s="658"/>
      <c r="G82" s="658"/>
      <c r="H82" s="658"/>
      <c r="I82" s="658"/>
      <c r="J82" s="658"/>
      <c r="K82" s="658"/>
    </row>
    <row r="83" spans="1:11" x14ac:dyDescent="0.25">
      <c r="A83" s="658" t="s">
        <v>1567</v>
      </c>
      <c r="B83" s="658">
        <v>0</v>
      </c>
      <c r="C83" s="658"/>
      <c r="D83" s="658"/>
      <c r="E83" s="658"/>
      <c r="F83" s="658"/>
      <c r="G83" s="658"/>
      <c r="H83" s="658"/>
      <c r="I83" s="658"/>
      <c r="J83" s="658"/>
      <c r="K83" s="658"/>
    </row>
    <row r="84" spans="1:11" x14ac:dyDescent="0.25">
      <c r="A84" s="658" t="s">
        <v>1568</v>
      </c>
      <c r="B84" s="658">
        <v>0</v>
      </c>
      <c r="C84" s="658"/>
      <c r="D84" s="658"/>
      <c r="E84" s="658"/>
      <c r="F84" s="658"/>
      <c r="G84" s="658"/>
      <c r="H84" s="658"/>
      <c r="I84" s="658"/>
      <c r="J84" s="658"/>
      <c r="K84" s="658"/>
    </row>
    <row r="85" spans="1:11" x14ac:dyDescent="0.25">
      <c r="A85" s="658" t="s">
        <v>1569</v>
      </c>
      <c r="B85" s="658" t="s">
        <v>1608</v>
      </c>
      <c r="C85" s="658"/>
      <c r="D85" s="658"/>
      <c r="E85" s="658"/>
      <c r="F85" s="658"/>
      <c r="G85" s="658"/>
      <c r="H85" s="658"/>
      <c r="I85" s="658"/>
      <c r="J85" s="658"/>
      <c r="K85" s="658"/>
    </row>
    <row r="86" spans="1:11" x14ac:dyDescent="0.25">
      <c r="A86" s="658" t="s">
        <v>1602</v>
      </c>
      <c r="B86" s="658" t="s">
        <v>1610</v>
      </c>
      <c r="C86" s="658"/>
      <c r="D86" s="658"/>
      <c r="E86" s="658"/>
      <c r="F86" s="658"/>
      <c r="G86" s="658"/>
      <c r="H86" s="658"/>
      <c r="I86" s="658"/>
      <c r="J86" s="658"/>
      <c r="K86" s="658"/>
    </row>
    <row r="87" spans="1:11" x14ac:dyDescent="0.25">
      <c r="A87" s="658" t="s">
        <v>1574</v>
      </c>
      <c r="B87" s="658">
        <v>40</v>
      </c>
      <c r="C87" s="658"/>
      <c r="D87" s="658"/>
      <c r="E87" s="658"/>
      <c r="F87" s="658"/>
      <c r="G87" s="658"/>
      <c r="H87" s="658"/>
      <c r="I87" s="658"/>
      <c r="J87" s="658"/>
      <c r="K87" s="658"/>
    </row>
    <row r="88" spans="1:11" x14ac:dyDescent="0.25">
      <c r="A88" s="658" t="s">
        <v>1575</v>
      </c>
      <c r="B88" s="658" t="s">
        <v>1609</v>
      </c>
      <c r="C88" s="658"/>
      <c r="D88" s="658"/>
      <c r="E88" s="658"/>
      <c r="F88" s="658"/>
      <c r="G88" s="658"/>
      <c r="H88" s="658"/>
      <c r="I88" s="658"/>
      <c r="J88" s="658"/>
      <c r="K88" s="658"/>
    </row>
    <row r="89" spans="1:11" x14ac:dyDescent="0.25">
      <c r="A89" s="658" t="s">
        <v>1579</v>
      </c>
      <c r="B89" s="658"/>
      <c r="C89" s="658"/>
      <c r="D89" s="658"/>
      <c r="E89" s="658"/>
      <c r="F89" s="658"/>
      <c r="G89" s="658"/>
      <c r="H89" s="658"/>
      <c r="I89" s="658"/>
      <c r="J89" s="658"/>
      <c r="K89" s="658"/>
    </row>
    <row r="90" spans="1:11" x14ac:dyDescent="0.25">
      <c r="A90" s="658" t="s">
        <v>1580</v>
      </c>
      <c r="B90" s="660" t="s">
        <v>1611</v>
      </c>
      <c r="C90" s="658"/>
      <c r="D90" s="658"/>
      <c r="E90" s="658"/>
      <c r="F90" s="658" t="s">
        <v>1612</v>
      </c>
      <c r="G90" s="658"/>
      <c r="H90" s="658"/>
      <c r="I90" s="658"/>
      <c r="J90" s="658"/>
      <c r="K90" s="658"/>
    </row>
    <row r="91" spans="1:11" x14ac:dyDescent="0.25">
      <c r="A91" s="658"/>
      <c r="B91" s="658"/>
      <c r="C91" s="658"/>
      <c r="D91" s="658"/>
      <c r="E91" s="658"/>
      <c r="F91" s="658"/>
      <c r="G91" s="658"/>
      <c r="H91" s="658"/>
      <c r="I91" s="658"/>
      <c r="J91" s="658"/>
      <c r="K91" s="658"/>
    </row>
    <row r="92" spans="1:11" x14ac:dyDescent="0.25">
      <c r="A92" s="658"/>
      <c r="B92" s="660"/>
      <c r="C92" s="658"/>
      <c r="D92" s="658"/>
      <c r="E92" s="658"/>
      <c r="F92" s="658"/>
      <c r="G92" s="658"/>
      <c r="H92" s="658"/>
      <c r="I92" s="658"/>
      <c r="J92" s="658"/>
      <c r="K92" s="658"/>
    </row>
    <row r="93" spans="1:11" x14ac:dyDescent="0.25">
      <c r="A93" s="58"/>
      <c r="B93" s="58"/>
      <c r="C93" s="58"/>
      <c r="D93" s="58"/>
      <c r="E93" s="58"/>
      <c r="F93" s="658"/>
      <c r="G93" s="58"/>
      <c r="H93" s="58"/>
      <c r="I93" s="58"/>
      <c r="J93" s="58"/>
      <c r="K93" s="58"/>
    </row>
  </sheetData>
  <pageMargins left="0.23622047244094491" right="0.23622047244094491" top="0.35433070866141736" bottom="0.35433070866141736" header="0.31496062992125984" footer="0.31496062992125984"/>
  <pageSetup orientation="portrait" r:id="rId1"/>
  <headerFooter>
    <oddFooter>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opLeftCell="A115" zoomScale="145" zoomScaleNormal="145" workbookViewId="0">
      <selection activeCell="B99" sqref="B99"/>
    </sheetView>
  </sheetViews>
  <sheetFormatPr baseColWidth="10" defaultColWidth="8.90625" defaultRowHeight="11.5" x14ac:dyDescent="0.25"/>
  <cols>
    <col min="1" max="1" width="25.36328125" style="345" customWidth="1"/>
    <col min="2" max="2" width="3.90625" style="345" bestFit="1" customWidth="1"/>
    <col min="3" max="3" width="4.08984375" style="345" bestFit="1" customWidth="1"/>
    <col min="4" max="4" width="4.36328125" style="345" bestFit="1" customWidth="1"/>
    <col min="5" max="5" width="6.36328125" style="345" bestFit="1" customWidth="1"/>
    <col min="6" max="6" width="11.08984375" style="345" customWidth="1"/>
    <col min="7" max="7" width="10.90625" style="345" customWidth="1"/>
    <col min="8" max="8" width="4.81640625" style="345" bestFit="1" customWidth="1"/>
    <col min="9" max="9" width="3.453125" style="345" bestFit="1" customWidth="1"/>
    <col min="10" max="10" width="3.6328125" style="345" bestFit="1" customWidth="1"/>
    <col min="11" max="11" width="11.36328125" style="345" customWidth="1"/>
    <col min="12" max="12" width="5.54296875" style="345" customWidth="1"/>
    <col min="13" max="13" width="6.08984375" style="345" customWidth="1"/>
    <col min="14" max="256" width="8.90625" style="345"/>
    <col min="257" max="257" width="25.36328125" style="345" customWidth="1"/>
    <col min="258" max="258" width="3.90625" style="345" bestFit="1" customWidth="1"/>
    <col min="259" max="259" width="4.08984375" style="345" bestFit="1" customWidth="1"/>
    <col min="260" max="260" width="4.36328125" style="345" bestFit="1" customWidth="1"/>
    <col min="261" max="261" width="6.36328125" style="345" bestFit="1" customWidth="1"/>
    <col min="262" max="262" width="11.08984375" style="345" customWidth="1"/>
    <col min="263" max="263" width="10.90625" style="345" customWidth="1"/>
    <col min="264" max="264" width="4.36328125" style="345" bestFit="1" customWidth="1"/>
    <col min="265" max="265" width="3.453125" style="345" bestFit="1" customWidth="1"/>
    <col min="266" max="266" width="3.6328125" style="345" bestFit="1" customWidth="1"/>
    <col min="267" max="267" width="11.36328125" style="345" customWidth="1"/>
    <col min="268" max="268" width="5.54296875" style="345" customWidth="1"/>
    <col min="269" max="269" width="6.08984375" style="345" customWidth="1"/>
    <col min="270" max="512" width="8.90625" style="345"/>
    <col min="513" max="513" width="25.36328125" style="345" customWidth="1"/>
    <col min="514" max="514" width="3.90625" style="345" bestFit="1" customWidth="1"/>
    <col min="515" max="515" width="4.08984375" style="345" bestFit="1" customWidth="1"/>
    <col min="516" max="516" width="4.36328125" style="345" bestFit="1" customWidth="1"/>
    <col min="517" max="517" width="6.36328125" style="345" bestFit="1" customWidth="1"/>
    <col min="518" max="518" width="11.08984375" style="345" customWidth="1"/>
    <col min="519" max="519" width="10.90625" style="345" customWidth="1"/>
    <col min="520" max="520" width="4.36328125" style="345" bestFit="1" customWidth="1"/>
    <col min="521" max="521" width="3.453125" style="345" bestFit="1" customWidth="1"/>
    <col min="522" max="522" width="3.6328125" style="345" bestFit="1" customWidth="1"/>
    <col min="523" max="523" width="11.36328125" style="345" customWidth="1"/>
    <col min="524" max="524" width="5.54296875" style="345" customWidth="1"/>
    <col min="525" max="525" width="6.08984375" style="345" customWidth="1"/>
    <col min="526" max="768" width="8.90625" style="345"/>
    <col min="769" max="769" width="25.36328125" style="345" customWidth="1"/>
    <col min="770" max="770" width="3.90625" style="345" bestFit="1" customWidth="1"/>
    <col min="771" max="771" width="4.08984375" style="345" bestFit="1" customWidth="1"/>
    <col min="772" max="772" width="4.36328125" style="345" bestFit="1" customWidth="1"/>
    <col min="773" max="773" width="6.36328125" style="345" bestFit="1" customWidth="1"/>
    <col min="774" max="774" width="11.08984375" style="345" customWidth="1"/>
    <col min="775" max="775" width="10.90625" style="345" customWidth="1"/>
    <col min="776" max="776" width="4.36328125" style="345" bestFit="1" customWidth="1"/>
    <col min="777" max="777" width="3.453125" style="345" bestFit="1" customWidth="1"/>
    <col min="778" max="778" width="3.6328125" style="345" bestFit="1" customWidth="1"/>
    <col min="779" max="779" width="11.36328125" style="345" customWidth="1"/>
    <col min="780" max="780" width="5.54296875" style="345" customWidth="1"/>
    <col min="781" max="781" width="6.08984375" style="345" customWidth="1"/>
    <col min="782" max="1024" width="8.90625" style="345"/>
    <col min="1025" max="1025" width="25.36328125" style="345" customWidth="1"/>
    <col min="1026" max="1026" width="3.90625" style="345" bestFit="1" customWidth="1"/>
    <col min="1027" max="1027" width="4.08984375" style="345" bestFit="1" customWidth="1"/>
    <col min="1028" max="1028" width="4.36328125" style="345" bestFit="1" customWidth="1"/>
    <col min="1029" max="1029" width="6.36328125" style="345" bestFit="1" customWidth="1"/>
    <col min="1030" max="1030" width="11.08984375" style="345" customWidth="1"/>
    <col min="1031" max="1031" width="10.90625" style="345" customWidth="1"/>
    <col min="1032" max="1032" width="4.36328125" style="345" bestFit="1" customWidth="1"/>
    <col min="1033" max="1033" width="3.453125" style="345" bestFit="1" customWidth="1"/>
    <col min="1034" max="1034" width="3.6328125" style="345" bestFit="1" customWidth="1"/>
    <col min="1035" max="1035" width="11.36328125" style="345" customWidth="1"/>
    <col min="1036" max="1036" width="5.54296875" style="345" customWidth="1"/>
    <col min="1037" max="1037" width="6.08984375" style="345" customWidth="1"/>
    <col min="1038" max="1280" width="8.90625" style="345"/>
    <col min="1281" max="1281" width="25.36328125" style="345" customWidth="1"/>
    <col min="1282" max="1282" width="3.90625" style="345" bestFit="1" customWidth="1"/>
    <col min="1283" max="1283" width="4.08984375" style="345" bestFit="1" customWidth="1"/>
    <col min="1284" max="1284" width="4.36328125" style="345" bestFit="1" customWidth="1"/>
    <col min="1285" max="1285" width="6.36328125" style="345" bestFit="1" customWidth="1"/>
    <col min="1286" max="1286" width="11.08984375" style="345" customWidth="1"/>
    <col min="1287" max="1287" width="10.90625" style="345" customWidth="1"/>
    <col min="1288" max="1288" width="4.36328125" style="345" bestFit="1" customWidth="1"/>
    <col min="1289" max="1289" width="3.453125" style="345" bestFit="1" customWidth="1"/>
    <col min="1290" max="1290" width="3.6328125" style="345" bestFit="1" customWidth="1"/>
    <col min="1291" max="1291" width="11.36328125" style="345" customWidth="1"/>
    <col min="1292" max="1292" width="5.54296875" style="345" customWidth="1"/>
    <col min="1293" max="1293" width="6.08984375" style="345" customWidth="1"/>
    <col min="1294" max="1536" width="8.90625" style="345"/>
    <col min="1537" max="1537" width="25.36328125" style="345" customWidth="1"/>
    <col min="1538" max="1538" width="3.90625" style="345" bestFit="1" customWidth="1"/>
    <col min="1539" max="1539" width="4.08984375" style="345" bestFit="1" customWidth="1"/>
    <col min="1540" max="1540" width="4.36328125" style="345" bestFit="1" customWidth="1"/>
    <col min="1541" max="1541" width="6.36328125" style="345" bestFit="1" customWidth="1"/>
    <col min="1542" max="1542" width="11.08984375" style="345" customWidth="1"/>
    <col min="1543" max="1543" width="10.90625" style="345" customWidth="1"/>
    <col min="1544" max="1544" width="4.36328125" style="345" bestFit="1" customWidth="1"/>
    <col min="1545" max="1545" width="3.453125" style="345" bestFit="1" customWidth="1"/>
    <col min="1546" max="1546" width="3.6328125" style="345" bestFit="1" customWidth="1"/>
    <col min="1547" max="1547" width="11.36328125" style="345" customWidth="1"/>
    <col min="1548" max="1548" width="5.54296875" style="345" customWidth="1"/>
    <col min="1549" max="1549" width="6.08984375" style="345" customWidth="1"/>
    <col min="1550" max="1792" width="8.90625" style="345"/>
    <col min="1793" max="1793" width="25.36328125" style="345" customWidth="1"/>
    <col min="1794" max="1794" width="3.90625" style="345" bestFit="1" customWidth="1"/>
    <col min="1795" max="1795" width="4.08984375" style="345" bestFit="1" customWidth="1"/>
    <col min="1796" max="1796" width="4.36328125" style="345" bestFit="1" customWidth="1"/>
    <col min="1797" max="1797" width="6.36328125" style="345" bestFit="1" customWidth="1"/>
    <col min="1798" max="1798" width="11.08984375" style="345" customWidth="1"/>
    <col min="1799" max="1799" width="10.90625" style="345" customWidth="1"/>
    <col min="1800" max="1800" width="4.36328125" style="345" bestFit="1" customWidth="1"/>
    <col min="1801" max="1801" width="3.453125" style="345" bestFit="1" customWidth="1"/>
    <col min="1802" max="1802" width="3.6328125" style="345" bestFit="1" customWidth="1"/>
    <col min="1803" max="1803" width="11.36328125" style="345" customWidth="1"/>
    <col min="1804" max="1804" width="5.54296875" style="345" customWidth="1"/>
    <col min="1805" max="1805" width="6.08984375" style="345" customWidth="1"/>
    <col min="1806" max="2048" width="8.90625" style="345"/>
    <col min="2049" max="2049" width="25.36328125" style="345" customWidth="1"/>
    <col min="2050" max="2050" width="3.90625" style="345" bestFit="1" customWidth="1"/>
    <col min="2051" max="2051" width="4.08984375" style="345" bestFit="1" customWidth="1"/>
    <col min="2052" max="2052" width="4.36328125" style="345" bestFit="1" customWidth="1"/>
    <col min="2053" max="2053" width="6.36328125" style="345" bestFit="1" customWidth="1"/>
    <col min="2054" max="2054" width="11.08984375" style="345" customWidth="1"/>
    <col min="2055" max="2055" width="10.90625" style="345" customWidth="1"/>
    <col min="2056" max="2056" width="4.36328125" style="345" bestFit="1" customWidth="1"/>
    <col min="2057" max="2057" width="3.453125" style="345" bestFit="1" customWidth="1"/>
    <col min="2058" max="2058" width="3.6328125" style="345" bestFit="1" customWidth="1"/>
    <col min="2059" max="2059" width="11.36328125" style="345" customWidth="1"/>
    <col min="2060" max="2060" width="5.54296875" style="345" customWidth="1"/>
    <col min="2061" max="2061" width="6.08984375" style="345" customWidth="1"/>
    <col min="2062" max="2304" width="8.90625" style="345"/>
    <col min="2305" max="2305" width="25.36328125" style="345" customWidth="1"/>
    <col min="2306" max="2306" width="3.90625" style="345" bestFit="1" customWidth="1"/>
    <col min="2307" max="2307" width="4.08984375" style="345" bestFit="1" customWidth="1"/>
    <col min="2308" max="2308" width="4.36328125" style="345" bestFit="1" customWidth="1"/>
    <col min="2309" max="2309" width="6.36328125" style="345" bestFit="1" customWidth="1"/>
    <col min="2310" max="2310" width="11.08984375" style="345" customWidth="1"/>
    <col min="2311" max="2311" width="10.90625" style="345" customWidth="1"/>
    <col min="2312" max="2312" width="4.36328125" style="345" bestFit="1" customWidth="1"/>
    <col min="2313" max="2313" width="3.453125" style="345" bestFit="1" customWidth="1"/>
    <col min="2314" max="2314" width="3.6328125" style="345" bestFit="1" customWidth="1"/>
    <col min="2315" max="2315" width="11.36328125" style="345" customWidth="1"/>
    <col min="2316" max="2316" width="5.54296875" style="345" customWidth="1"/>
    <col min="2317" max="2317" width="6.08984375" style="345" customWidth="1"/>
    <col min="2318" max="2560" width="8.90625" style="345"/>
    <col min="2561" max="2561" width="25.36328125" style="345" customWidth="1"/>
    <col min="2562" max="2562" width="3.90625" style="345" bestFit="1" customWidth="1"/>
    <col min="2563" max="2563" width="4.08984375" style="345" bestFit="1" customWidth="1"/>
    <col min="2564" max="2564" width="4.36328125" style="345" bestFit="1" customWidth="1"/>
    <col min="2565" max="2565" width="6.36328125" style="345" bestFit="1" customWidth="1"/>
    <col min="2566" max="2566" width="11.08984375" style="345" customWidth="1"/>
    <col min="2567" max="2567" width="10.90625" style="345" customWidth="1"/>
    <col min="2568" max="2568" width="4.36328125" style="345" bestFit="1" customWidth="1"/>
    <col min="2569" max="2569" width="3.453125" style="345" bestFit="1" customWidth="1"/>
    <col min="2570" max="2570" width="3.6328125" style="345" bestFit="1" customWidth="1"/>
    <col min="2571" max="2571" width="11.36328125" style="345" customWidth="1"/>
    <col min="2572" max="2572" width="5.54296875" style="345" customWidth="1"/>
    <col min="2573" max="2573" width="6.08984375" style="345" customWidth="1"/>
    <col min="2574" max="2816" width="8.90625" style="345"/>
    <col min="2817" max="2817" width="25.36328125" style="345" customWidth="1"/>
    <col min="2818" max="2818" width="3.90625" style="345" bestFit="1" customWidth="1"/>
    <col min="2819" max="2819" width="4.08984375" style="345" bestFit="1" customWidth="1"/>
    <col min="2820" max="2820" width="4.36328125" style="345" bestFit="1" customWidth="1"/>
    <col min="2821" max="2821" width="6.36328125" style="345" bestFit="1" customWidth="1"/>
    <col min="2822" max="2822" width="11.08984375" style="345" customWidth="1"/>
    <col min="2823" max="2823" width="10.90625" style="345" customWidth="1"/>
    <col min="2824" max="2824" width="4.36328125" style="345" bestFit="1" customWidth="1"/>
    <col min="2825" max="2825" width="3.453125" style="345" bestFit="1" customWidth="1"/>
    <col min="2826" max="2826" width="3.6328125" style="345" bestFit="1" customWidth="1"/>
    <col min="2827" max="2827" width="11.36328125" style="345" customWidth="1"/>
    <col min="2828" max="2828" width="5.54296875" style="345" customWidth="1"/>
    <col min="2829" max="2829" width="6.08984375" style="345" customWidth="1"/>
    <col min="2830" max="3072" width="8.90625" style="345"/>
    <col min="3073" max="3073" width="25.36328125" style="345" customWidth="1"/>
    <col min="3074" max="3074" width="3.90625" style="345" bestFit="1" customWidth="1"/>
    <col min="3075" max="3075" width="4.08984375" style="345" bestFit="1" customWidth="1"/>
    <col min="3076" max="3076" width="4.36328125" style="345" bestFit="1" customWidth="1"/>
    <col min="3077" max="3077" width="6.36328125" style="345" bestFit="1" customWidth="1"/>
    <col min="3078" max="3078" width="11.08984375" style="345" customWidth="1"/>
    <col min="3079" max="3079" width="10.90625" style="345" customWidth="1"/>
    <col min="3080" max="3080" width="4.36328125" style="345" bestFit="1" customWidth="1"/>
    <col min="3081" max="3081" width="3.453125" style="345" bestFit="1" customWidth="1"/>
    <col min="3082" max="3082" width="3.6328125" style="345" bestFit="1" customWidth="1"/>
    <col min="3083" max="3083" width="11.36328125" style="345" customWidth="1"/>
    <col min="3084" max="3084" width="5.54296875" style="345" customWidth="1"/>
    <col min="3085" max="3085" width="6.08984375" style="345" customWidth="1"/>
    <col min="3086" max="3328" width="8.90625" style="345"/>
    <col min="3329" max="3329" width="25.36328125" style="345" customWidth="1"/>
    <col min="3330" max="3330" width="3.90625" style="345" bestFit="1" customWidth="1"/>
    <col min="3331" max="3331" width="4.08984375" style="345" bestFit="1" customWidth="1"/>
    <col min="3332" max="3332" width="4.36328125" style="345" bestFit="1" customWidth="1"/>
    <col min="3333" max="3333" width="6.36328125" style="345" bestFit="1" customWidth="1"/>
    <col min="3334" max="3334" width="11.08984375" style="345" customWidth="1"/>
    <col min="3335" max="3335" width="10.90625" style="345" customWidth="1"/>
    <col min="3336" max="3336" width="4.36328125" style="345" bestFit="1" customWidth="1"/>
    <col min="3337" max="3337" width="3.453125" style="345" bestFit="1" customWidth="1"/>
    <col min="3338" max="3338" width="3.6328125" style="345" bestFit="1" customWidth="1"/>
    <col min="3339" max="3339" width="11.36328125" style="345" customWidth="1"/>
    <col min="3340" max="3340" width="5.54296875" style="345" customWidth="1"/>
    <col min="3341" max="3341" width="6.08984375" style="345" customWidth="1"/>
    <col min="3342" max="3584" width="8.90625" style="345"/>
    <col min="3585" max="3585" width="25.36328125" style="345" customWidth="1"/>
    <col min="3586" max="3586" width="3.90625" style="345" bestFit="1" customWidth="1"/>
    <col min="3587" max="3587" width="4.08984375" style="345" bestFit="1" customWidth="1"/>
    <col min="3588" max="3588" width="4.36328125" style="345" bestFit="1" customWidth="1"/>
    <col min="3589" max="3589" width="6.36328125" style="345" bestFit="1" customWidth="1"/>
    <col min="3590" max="3590" width="11.08984375" style="345" customWidth="1"/>
    <col min="3591" max="3591" width="10.90625" style="345" customWidth="1"/>
    <col min="3592" max="3592" width="4.36328125" style="345" bestFit="1" customWidth="1"/>
    <col min="3593" max="3593" width="3.453125" style="345" bestFit="1" customWidth="1"/>
    <col min="3594" max="3594" width="3.6328125" style="345" bestFit="1" customWidth="1"/>
    <col min="3595" max="3595" width="11.36328125" style="345" customWidth="1"/>
    <col min="3596" max="3596" width="5.54296875" style="345" customWidth="1"/>
    <col min="3597" max="3597" width="6.08984375" style="345" customWidth="1"/>
    <col min="3598" max="3840" width="8.90625" style="345"/>
    <col min="3841" max="3841" width="25.36328125" style="345" customWidth="1"/>
    <col min="3842" max="3842" width="3.90625" style="345" bestFit="1" customWidth="1"/>
    <col min="3843" max="3843" width="4.08984375" style="345" bestFit="1" customWidth="1"/>
    <col min="3844" max="3844" width="4.36328125" style="345" bestFit="1" customWidth="1"/>
    <col min="3845" max="3845" width="6.36328125" style="345" bestFit="1" customWidth="1"/>
    <col min="3846" max="3846" width="11.08984375" style="345" customWidth="1"/>
    <col min="3847" max="3847" width="10.90625" style="345" customWidth="1"/>
    <col min="3848" max="3848" width="4.36328125" style="345" bestFit="1" customWidth="1"/>
    <col min="3849" max="3849" width="3.453125" style="345" bestFit="1" customWidth="1"/>
    <col min="3850" max="3850" width="3.6328125" style="345" bestFit="1" customWidth="1"/>
    <col min="3851" max="3851" width="11.36328125" style="345" customWidth="1"/>
    <col min="3852" max="3852" width="5.54296875" style="345" customWidth="1"/>
    <col min="3853" max="3853" width="6.08984375" style="345" customWidth="1"/>
    <col min="3854" max="4096" width="8.90625" style="345"/>
    <col min="4097" max="4097" width="25.36328125" style="345" customWidth="1"/>
    <col min="4098" max="4098" width="3.90625" style="345" bestFit="1" customWidth="1"/>
    <col min="4099" max="4099" width="4.08984375" style="345" bestFit="1" customWidth="1"/>
    <col min="4100" max="4100" width="4.36328125" style="345" bestFit="1" customWidth="1"/>
    <col min="4101" max="4101" width="6.36328125" style="345" bestFit="1" customWidth="1"/>
    <col min="4102" max="4102" width="11.08984375" style="345" customWidth="1"/>
    <col min="4103" max="4103" width="10.90625" style="345" customWidth="1"/>
    <col min="4104" max="4104" width="4.36328125" style="345" bestFit="1" customWidth="1"/>
    <col min="4105" max="4105" width="3.453125" style="345" bestFit="1" customWidth="1"/>
    <col min="4106" max="4106" width="3.6328125" style="345" bestFit="1" customWidth="1"/>
    <col min="4107" max="4107" width="11.36328125" style="345" customWidth="1"/>
    <col min="4108" max="4108" width="5.54296875" style="345" customWidth="1"/>
    <col min="4109" max="4109" width="6.08984375" style="345" customWidth="1"/>
    <col min="4110" max="4352" width="8.90625" style="345"/>
    <col min="4353" max="4353" width="25.36328125" style="345" customWidth="1"/>
    <col min="4354" max="4354" width="3.90625" style="345" bestFit="1" customWidth="1"/>
    <col min="4355" max="4355" width="4.08984375" style="345" bestFit="1" customWidth="1"/>
    <col min="4356" max="4356" width="4.36328125" style="345" bestFit="1" customWidth="1"/>
    <col min="4357" max="4357" width="6.36328125" style="345" bestFit="1" customWidth="1"/>
    <col min="4358" max="4358" width="11.08984375" style="345" customWidth="1"/>
    <col min="4359" max="4359" width="10.90625" style="345" customWidth="1"/>
    <col min="4360" max="4360" width="4.36328125" style="345" bestFit="1" customWidth="1"/>
    <col min="4361" max="4361" width="3.453125" style="345" bestFit="1" customWidth="1"/>
    <col min="4362" max="4362" width="3.6328125" style="345" bestFit="1" customWidth="1"/>
    <col min="4363" max="4363" width="11.36328125" style="345" customWidth="1"/>
    <col min="4364" max="4364" width="5.54296875" style="345" customWidth="1"/>
    <col min="4365" max="4365" width="6.08984375" style="345" customWidth="1"/>
    <col min="4366" max="4608" width="8.90625" style="345"/>
    <col min="4609" max="4609" width="25.36328125" style="345" customWidth="1"/>
    <col min="4610" max="4610" width="3.90625" style="345" bestFit="1" customWidth="1"/>
    <col min="4611" max="4611" width="4.08984375" style="345" bestFit="1" customWidth="1"/>
    <col min="4612" max="4612" width="4.36328125" style="345" bestFit="1" customWidth="1"/>
    <col min="4613" max="4613" width="6.36328125" style="345" bestFit="1" customWidth="1"/>
    <col min="4614" max="4614" width="11.08984375" style="345" customWidth="1"/>
    <col min="4615" max="4615" width="10.90625" style="345" customWidth="1"/>
    <col min="4616" max="4616" width="4.36328125" style="345" bestFit="1" customWidth="1"/>
    <col min="4617" max="4617" width="3.453125" style="345" bestFit="1" customWidth="1"/>
    <col min="4618" max="4618" width="3.6328125" style="345" bestFit="1" customWidth="1"/>
    <col min="4619" max="4619" width="11.36328125" style="345" customWidth="1"/>
    <col min="4620" max="4620" width="5.54296875" style="345" customWidth="1"/>
    <col min="4621" max="4621" width="6.08984375" style="345" customWidth="1"/>
    <col min="4622" max="4864" width="8.90625" style="345"/>
    <col min="4865" max="4865" width="25.36328125" style="345" customWidth="1"/>
    <col min="4866" max="4866" width="3.90625" style="345" bestFit="1" customWidth="1"/>
    <col min="4867" max="4867" width="4.08984375" style="345" bestFit="1" customWidth="1"/>
    <col min="4868" max="4868" width="4.36328125" style="345" bestFit="1" customWidth="1"/>
    <col min="4869" max="4869" width="6.36328125" style="345" bestFit="1" customWidth="1"/>
    <col min="4870" max="4870" width="11.08984375" style="345" customWidth="1"/>
    <col min="4871" max="4871" width="10.90625" style="345" customWidth="1"/>
    <col min="4872" max="4872" width="4.36328125" style="345" bestFit="1" customWidth="1"/>
    <col min="4873" max="4873" width="3.453125" style="345" bestFit="1" customWidth="1"/>
    <col min="4874" max="4874" width="3.6328125" style="345" bestFit="1" customWidth="1"/>
    <col min="4875" max="4875" width="11.36328125" style="345" customWidth="1"/>
    <col min="4876" max="4876" width="5.54296875" style="345" customWidth="1"/>
    <col min="4877" max="4877" width="6.08984375" style="345" customWidth="1"/>
    <col min="4878" max="5120" width="8.90625" style="345"/>
    <col min="5121" max="5121" width="25.36328125" style="345" customWidth="1"/>
    <col min="5122" max="5122" width="3.90625" style="345" bestFit="1" customWidth="1"/>
    <col min="5123" max="5123" width="4.08984375" style="345" bestFit="1" customWidth="1"/>
    <col min="5124" max="5124" width="4.36328125" style="345" bestFit="1" customWidth="1"/>
    <col min="5125" max="5125" width="6.36328125" style="345" bestFit="1" customWidth="1"/>
    <col min="5126" max="5126" width="11.08984375" style="345" customWidth="1"/>
    <col min="5127" max="5127" width="10.90625" style="345" customWidth="1"/>
    <col min="5128" max="5128" width="4.36328125" style="345" bestFit="1" customWidth="1"/>
    <col min="5129" max="5129" width="3.453125" style="345" bestFit="1" customWidth="1"/>
    <col min="5130" max="5130" width="3.6328125" style="345" bestFit="1" customWidth="1"/>
    <col min="5131" max="5131" width="11.36328125" style="345" customWidth="1"/>
    <col min="5132" max="5132" width="5.54296875" style="345" customWidth="1"/>
    <col min="5133" max="5133" width="6.08984375" style="345" customWidth="1"/>
    <col min="5134" max="5376" width="8.90625" style="345"/>
    <col min="5377" max="5377" width="25.36328125" style="345" customWidth="1"/>
    <col min="5378" max="5378" width="3.90625" style="345" bestFit="1" customWidth="1"/>
    <col min="5379" max="5379" width="4.08984375" style="345" bestFit="1" customWidth="1"/>
    <col min="5380" max="5380" width="4.36328125" style="345" bestFit="1" customWidth="1"/>
    <col min="5381" max="5381" width="6.36328125" style="345" bestFit="1" customWidth="1"/>
    <col min="5382" max="5382" width="11.08984375" style="345" customWidth="1"/>
    <col min="5383" max="5383" width="10.90625" style="345" customWidth="1"/>
    <col min="5384" max="5384" width="4.36328125" style="345" bestFit="1" customWidth="1"/>
    <col min="5385" max="5385" width="3.453125" style="345" bestFit="1" customWidth="1"/>
    <col min="5386" max="5386" width="3.6328125" style="345" bestFit="1" customWidth="1"/>
    <col min="5387" max="5387" width="11.36328125" style="345" customWidth="1"/>
    <col min="5388" max="5388" width="5.54296875" style="345" customWidth="1"/>
    <col min="5389" max="5389" width="6.08984375" style="345" customWidth="1"/>
    <col min="5390" max="5632" width="8.90625" style="345"/>
    <col min="5633" max="5633" width="25.36328125" style="345" customWidth="1"/>
    <col min="5634" max="5634" width="3.90625" style="345" bestFit="1" customWidth="1"/>
    <col min="5635" max="5635" width="4.08984375" style="345" bestFit="1" customWidth="1"/>
    <col min="5636" max="5636" width="4.36328125" style="345" bestFit="1" customWidth="1"/>
    <col min="5637" max="5637" width="6.36328125" style="345" bestFit="1" customWidth="1"/>
    <col min="5638" max="5638" width="11.08984375" style="345" customWidth="1"/>
    <col min="5639" max="5639" width="10.90625" style="345" customWidth="1"/>
    <col min="5640" max="5640" width="4.36328125" style="345" bestFit="1" customWidth="1"/>
    <col min="5641" max="5641" width="3.453125" style="345" bestFit="1" customWidth="1"/>
    <col min="5642" max="5642" width="3.6328125" style="345" bestFit="1" customWidth="1"/>
    <col min="5643" max="5643" width="11.36328125" style="345" customWidth="1"/>
    <col min="5644" max="5644" width="5.54296875" style="345" customWidth="1"/>
    <col min="5645" max="5645" width="6.08984375" style="345" customWidth="1"/>
    <col min="5646" max="5888" width="8.90625" style="345"/>
    <col min="5889" max="5889" width="25.36328125" style="345" customWidth="1"/>
    <col min="5890" max="5890" width="3.90625" style="345" bestFit="1" customWidth="1"/>
    <col min="5891" max="5891" width="4.08984375" style="345" bestFit="1" customWidth="1"/>
    <col min="5892" max="5892" width="4.36328125" style="345" bestFit="1" customWidth="1"/>
    <col min="5893" max="5893" width="6.36328125" style="345" bestFit="1" customWidth="1"/>
    <col min="5894" max="5894" width="11.08984375" style="345" customWidth="1"/>
    <col min="5895" max="5895" width="10.90625" style="345" customWidth="1"/>
    <col min="5896" max="5896" width="4.36328125" style="345" bestFit="1" customWidth="1"/>
    <col min="5897" max="5897" width="3.453125" style="345" bestFit="1" customWidth="1"/>
    <col min="5898" max="5898" width="3.6328125" style="345" bestFit="1" customWidth="1"/>
    <col min="5899" max="5899" width="11.36328125" style="345" customWidth="1"/>
    <col min="5900" max="5900" width="5.54296875" style="345" customWidth="1"/>
    <col min="5901" max="5901" width="6.08984375" style="345" customWidth="1"/>
    <col min="5902" max="6144" width="8.90625" style="345"/>
    <col min="6145" max="6145" width="25.36328125" style="345" customWidth="1"/>
    <col min="6146" max="6146" width="3.90625" style="345" bestFit="1" customWidth="1"/>
    <col min="6147" max="6147" width="4.08984375" style="345" bestFit="1" customWidth="1"/>
    <col min="6148" max="6148" width="4.36328125" style="345" bestFit="1" customWidth="1"/>
    <col min="6149" max="6149" width="6.36328125" style="345" bestFit="1" customWidth="1"/>
    <col min="6150" max="6150" width="11.08984375" style="345" customWidth="1"/>
    <col min="6151" max="6151" width="10.90625" style="345" customWidth="1"/>
    <col min="6152" max="6152" width="4.36328125" style="345" bestFit="1" customWidth="1"/>
    <col min="6153" max="6153" width="3.453125" style="345" bestFit="1" customWidth="1"/>
    <col min="6154" max="6154" width="3.6328125" style="345" bestFit="1" customWidth="1"/>
    <col min="6155" max="6155" width="11.36328125" style="345" customWidth="1"/>
    <col min="6156" max="6156" width="5.54296875" style="345" customWidth="1"/>
    <col min="6157" max="6157" width="6.08984375" style="345" customWidth="1"/>
    <col min="6158" max="6400" width="8.90625" style="345"/>
    <col min="6401" max="6401" width="25.36328125" style="345" customWidth="1"/>
    <col min="6402" max="6402" width="3.90625" style="345" bestFit="1" customWidth="1"/>
    <col min="6403" max="6403" width="4.08984375" style="345" bestFit="1" customWidth="1"/>
    <col min="6404" max="6404" width="4.36328125" style="345" bestFit="1" customWidth="1"/>
    <col min="6405" max="6405" width="6.36328125" style="345" bestFit="1" customWidth="1"/>
    <col min="6406" max="6406" width="11.08984375" style="345" customWidth="1"/>
    <col min="6407" max="6407" width="10.90625" style="345" customWidth="1"/>
    <col min="6408" max="6408" width="4.36328125" style="345" bestFit="1" customWidth="1"/>
    <col min="6409" max="6409" width="3.453125" style="345" bestFit="1" customWidth="1"/>
    <col min="6410" max="6410" width="3.6328125" style="345" bestFit="1" customWidth="1"/>
    <col min="6411" max="6411" width="11.36328125" style="345" customWidth="1"/>
    <col min="6412" max="6412" width="5.54296875" style="345" customWidth="1"/>
    <col min="6413" max="6413" width="6.08984375" style="345" customWidth="1"/>
    <col min="6414" max="6656" width="8.90625" style="345"/>
    <col min="6657" max="6657" width="25.36328125" style="345" customWidth="1"/>
    <col min="6658" max="6658" width="3.90625" style="345" bestFit="1" customWidth="1"/>
    <col min="6659" max="6659" width="4.08984375" style="345" bestFit="1" customWidth="1"/>
    <col min="6660" max="6660" width="4.36328125" style="345" bestFit="1" customWidth="1"/>
    <col min="6661" max="6661" width="6.36328125" style="345" bestFit="1" customWidth="1"/>
    <col min="6662" max="6662" width="11.08984375" style="345" customWidth="1"/>
    <col min="6663" max="6663" width="10.90625" style="345" customWidth="1"/>
    <col min="6664" max="6664" width="4.36328125" style="345" bestFit="1" customWidth="1"/>
    <col min="6665" max="6665" width="3.453125" style="345" bestFit="1" customWidth="1"/>
    <col min="6666" max="6666" width="3.6328125" style="345" bestFit="1" customWidth="1"/>
    <col min="6667" max="6667" width="11.36328125" style="345" customWidth="1"/>
    <col min="6668" max="6668" width="5.54296875" style="345" customWidth="1"/>
    <col min="6669" max="6669" width="6.08984375" style="345" customWidth="1"/>
    <col min="6670" max="6912" width="8.90625" style="345"/>
    <col min="6913" max="6913" width="25.36328125" style="345" customWidth="1"/>
    <col min="6914" max="6914" width="3.90625" style="345" bestFit="1" customWidth="1"/>
    <col min="6915" max="6915" width="4.08984375" style="345" bestFit="1" customWidth="1"/>
    <col min="6916" max="6916" width="4.36328125" style="345" bestFit="1" customWidth="1"/>
    <col min="6917" max="6917" width="6.36328125" style="345" bestFit="1" customWidth="1"/>
    <col min="6918" max="6918" width="11.08984375" style="345" customWidth="1"/>
    <col min="6919" max="6919" width="10.90625" style="345" customWidth="1"/>
    <col min="6920" max="6920" width="4.36328125" style="345" bestFit="1" customWidth="1"/>
    <col min="6921" max="6921" width="3.453125" style="345" bestFit="1" customWidth="1"/>
    <col min="6922" max="6922" width="3.6328125" style="345" bestFit="1" customWidth="1"/>
    <col min="6923" max="6923" width="11.36328125" style="345" customWidth="1"/>
    <col min="6924" max="6924" width="5.54296875" style="345" customWidth="1"/>
    <col min="6925" max="6925" width="6.08984375" style="345" customWidth="1"/>
    <col min="6926" max="7168" width="8.90625" style="345"/>
    <col min="7169" max="7169" width="25.36328125" style="345" customWidth="1"/>
    <col min="7170" max="7170" width="3.90625" style="345" bestFit="1" customWidth="1"/>
    <col min="7171" max="7171" width="4.08984375" style="345" bestFit="1" customWidth="1"/>
    <col min="7172" max="7172" width="4.36328125" style="345" bestFit="1" customWidth="1"/>
    <col min="7173" max="7173" width="6.36328125" style="345" bestFit="1" customWidth="1"/>
    <col min="7174" max="7174" width="11.08984375" style="345" customWidth="1"/>
    <col min="7175" max="7175" width="10.90625" style="345" customWidth="1"/>
    <col min="7176" max="7176" width="4.36328125" style="345" bestFit="1" customWidth="1"/>
    <col min="7177" max="7177" width="3.453125" style="345" bestFit="1" customWidth="1"/>
    <col min="7178" max="7178" width="3.6328125" style="345" bestFit="1" customWidth="1"/>
    <col min="7179" max="7179" width="11.36328125" style="345" customWidth="1"/>
    <col min="7180" max="7180" width="5.54296875" style="345" customWidth="1"/>
    <col min="7181" max="7181" width="6.08984375" style="345" customWidth="1"/>
    <col min="7182" max="7424" width="8.90625" style="345"/>
    <col min="7425" max="7425" width="25.36328125" style="345" customWidth="1"/>
    <col min="7426" max="7426" width="3.90625" style="345" bestFit="1" customWidth="1"/>
    <col min="7427" max="7427" width="4.08984375" style="345" bestFit="1" customWidth="1"/>
    <col min="7428" max="7428" width="4.36328125" style="345" bestFit="1" customWidth="1"/>
    <col min="7429" max="7429" width="6.36328125" style="345" bestFit="1" customWidth="1"/>
    <col min="7430" max="7430" width="11.08984375" style="345" customWidth="1"/>
    <col min="7431" max="7431" width="10.90625" style="345" customWidth="1"/>
    <col min="7432" max="7432" width="4.36328125" style="345" bestFit="1" customWidth="1"/>
    <col min="7433" max="7433" width="3.453125" style="345" bestFit="1" customWidth="1"/>
    <col min="7434" max="7434" width="3.6328125" style="345" bestFit="1" customWidth="1"/>
    <col min="7435" max="7435" width="11.36328125" style="345" customWidth="1"/>
    <col min="7436" max="7436" width="5.54296875" style="345" customWidth="1"/>
    <col min="7437" max="7437" width="6.08984375" style="345" customWidth="1"/>
    <col min="7438" max="7680" width="8.90625" style="345"/>
    <col min="7681" max="7681" width="25.36328125" style="345" customWidth="1"/>
    <col min="7682" max="7682" width="3.90625" style="345" bestFit="1" customWidth="1"/>
    <col min="7683" max="7683" width="4.08984375" style="345" bestFit="1" customWidth="1"/>
    <col min="7684" max="7684" width="4.36328125" style="345" bestFit="1" customWidth="1"/>
    <col min="7685" max="7685" width="6.36328125" style="345" bestFit="1" customWidth="1"/>
    <col min="7686" max="7686" width="11.08984375" style="345" customWidth="1"/>
    <col min="7687" max="7687" width="10.90625" style="345" customWidth="1"/>
    <col min="7688" max="7688" width="4.36328125" style="345" bestFit="1" customWidth="1"/>
    <col min="7689" max="7689" width="3.453125" style="345" bestFit="1" customWidth="1"/>
    <col min="7690" max="7690" width="3.6328125" style="345" bestFit="1" customWidth="1"/>
    <col min="7691" max="7691" width="11.36328125" style="345" customWidth="1"/>
    <col min="7692" max="7692" width="5.54296875" style="345" customWidth="1"/>
    <col min="7693" max="7693" width="6.08984375" style="345" customWidth="1"/>
    <col min="7694" max="7936" width="8.90625" style="345"/>
    <col min="7937" max="7937" width="25.36328125" style="345" customWidth="1"/>
    <col min="7938" max="7938" width="3.90625" style="345" bestFit="1" customWidth="1"/>
    <col min="7939" max="7939" width="4.08984375" style="345" bestFit="1" customWidth="1"/>
    <col min="7940" max="7940" width="4.36328125" style="345" bestFit="1" customWidth="1"/>
    <col min="7941" max="7941" width="6.36328125" style="345" bestFit="1" customWidth="1"/>
    <col min="7942" max="7942" width="11.08984375" style="345" customWidth="1"/>
    <col min="7943" max="7943" width="10.90625" style="345" customWidth="1"/>
    <col min="7944" max="7944" width="4.36328125" style="345" bestFit="1" customWidth="1"/>
    <col min="7945" max="7945" width="3.453125" style="345" bestFit="1" customWidth="1"/>
    <col min="7946" max="7946" width="3.6328125" style="345" bestFit="1" customWidth="1"/>
    <col min="7947" max="7947" width="11.36328125" style="345" customWidth="1"/>
    <col min="7948" max="7948" width="5.54296875" style="345" customWidth="1"/>
    <col min="7949" max="7949" width="6.08984375" style="345" customWidth="1"/>
    <col min="7950" max="8192" width="8.90625" style="345"/>
    <col min="8193" max="8193" width="25.36328125" style="345" customWidth="1"/>
    <col min="8194" max="8194" width="3.90625" style="345" bestFit="1" customWidth="1"/>
    <col min="8195" max="8195" width="4.08984375" style="345" bestFit="1" customWidth="1"/>
    <col min="8196" max="8196" width="4.36328125" style="345" bestFit="1" customWidth="1"/>
    <col min="8197" max="8197" width="6.36328125" style="345" bestFit="1" customWidth="1"/>
    <col min="8198" max="8198" width="11.08984375" style="345" customWidth="1"/>
    <col min="8199" max="8199" width="10.90625" style="345" customWidth="1"/>
    <col min="8200" max="8200" width="4.36328125" style="345" bestFit="1" customWidth="1"/>
    <col min="8201" max="8201" width="3.453125" style="345" bestFit="1" customWidth="1"/>
    <col min="8202" max="8202" width="3.6328125" style="345" bestFit="1" customWidth="1"/>
    <col min="8203" max="8203" width="11.36328125" style="345" customWidth="1"/>
    <col min="8204" max="8204" width="5.54296875" style="345" customWidth="1"/>
    <col min="8205" max="8205" width="6.08984375" style="345" customWidth="1"/>
    <col min="8206" max="8448" width="8.90625" style="345"/>
    <col min="8449" max="8449" width="25.36328125" style="345" customWidth="1"/>
    <col min="8450" max="8450" width="3.90625" style="345" bestFit="1" customWidth="1"/>
    <col min="8451" max="8451" width="4.08984375" style="345" bestFit="1" customWidth="1"/>
    <col min="8452" max="8452" width="4.36328125" style="345" bestFit="1" customWidth="1"/>
    <col min="8453" max="8453" width="6.36328125" style="345" bestFit="1" customWidth="1"/>
    <col min="8454" max="8454" width="11.08984375" style="345" customWidth="1"/>
    <col min="8455" max="8455" width="10.90625" style="345" customWidth="1"/>
    <col min="8456" max="8456" width="4.36328125" style="345" bestFit="1" customWidth="1"/>
    <col min="8457" max="8457" width="3.453125" style="345" bestFit="1" customWidth="1"/>
    <col min="8458" max="8458" width="3.6328125" style="345" bestFit="1" customWidth="1"/>
    <col min="8459" max="8459" width="11.36328125" style="345" customWidth="1"/>
    <col min="8460" max="8460" width="5.54296875" style="345" customWidth="1"/>
    <col min="8461" max="8461" width="6.08984375" style="345" customWidth="1"/>
    <col min="8462" max="8704" width="8.90625" style="345"/>
    <col min="8705" max="8705" width="25.36328125" style="345" customWidth="1"/>
    <col min="8706" max="8706" width="3.90625" style="345" bestFit="1" customWidth="1"/>
    <col min="8707" max="8707" width="4.08984375" style="345" bestFit="1" customWidth="1"/>
    <col min="8708" max="8708" width="4.36328125" style="345" bestFit="1" customWidth="1"/>
    <col min="8709" max="8709" width="6.36328125" style="345" bestFit="1" customWidth="1"/>
    <col min="8710" max="8710" width="11.08984375" style="345" customWidth="1"/>
    <col min="8711" max="8711" width="10.90625" style="345" customWidth="1"/>
    <col min="8712" max="8712" width="4.36328125" style="345" bestFit="1" customWidth="1"/>
    <col min="8713" max="8713" width="3.453125" style="345" bestFit="1" customWidth="1"/>
    <col min="8714" max="8714" width="3.6328125" style="345" bestFit="1" customWidth="1"/>
    <col min="8715" max="8715" width="11.36328125" style="345" customWidth="1"/>
    <col min="8716" max="8716" width="5.54296875" style="345" customWidth="1"/>
    <col min="8717" max="8717" width="6.08984375" style="345" customWidth="1"/>
    <col min="8718" max="8960" width="8.90625" style="345"/>
    <col min="8961" max="8961" width="25.36328125" style="345" customWidth="1"/>
    <col min="8962" max="8962" width="3.90625" style="345" bestFit="1" customWidth="1"/>
    <col min="8963" max="8963" width="4.08984375" style="345" bestFit="1" customWidth="1"/>
    <col min="8964" max="8964" width="4.36328125" style="345" bestFit="1" customWidth="1"/>
    <col min="8965" max="8965" width="6.36328125" style="345" bestFit="1" customWidth="1"/>
    <col min="8966" max="8966" width="11.08984375" style="345" customWidth="1"/>
    <col min="8967" max="8967" width="10.90625" style="345" customWidth="1"/>
    <col min="8968" max="8968" width="4.36328125" style="345" bestFit="1" customWidth="1"/>
    <col min="8969" max="8969" width="3.453125" style="345" bestFit="1" customWidth="1"/>
    <col min="8970" max="8970" width="3.6328125" style="345" bestFit="1" customWidth="1"/>
    <col min="8971" max="8971" width="11.36328125" style="345" customWidth="1"/>
    <col min="8972" max="8972" width="5.54296875" style="345" customWidth="1"/>
    <col min="8973" max="8973" width="6.08984375" style="345" customWidth="1"/>
    <col min="8974" max="9216" width="8.90625" style="345"/>
    <col min="9217" max="9217" width="25.36328125" style="345" customWidth="1"/>
    <col min="9218" max="9218" width="3.90625" style="345" bestFit="1" customWidth="1"/>
    <col min="9219" max="9219" width="4.08984375" style="345" bestFit="1" customWidth="1"/>
    <col min="9220" max="9220" width="4.36328125" style="345" bestFit="1" customWidth="1"/>
    <col min="9221" max="9221" width="6.36328125" style="345" bestFit="1" customWidth="1"/>
    <col min="9222" max="9222" width="11.08984375" style="345" customWidth="1"/>
    <col min="9223" max="9223" width="10.90625" style="345" customWidth="1"/>
    <col min="9224" max="9224" width="4.36328125" style="345" bestFit="1" customWidth="1"/>
    <col min="9225" max="9225" width="3.453125" style="345" bestFit="1" customWidth="1"/>
    <col min="9226" max="9226" width="3.6328125" style="345" bestFit="1" customWidth="1"/>
    <col min="9227" max="9227" width="11.36328125" style="345" customWidth="1"/>
    <col min="9228" max="9228" width="5.54296875" style="345" customWidth="1"/>
    <col min="9229" max="9229" width="6.08984375" style="345" customWidth="1"/>
    <col min="9230" max="9472" width="8.90625" style="345"/>
    <col min="9473" max="9473" width="25.36328125" style="345" customWidth="1"/>
    <col min="9474" max="9474" width="3.90625" style="345" bestFit="1" customWidth="1"/>
    <col min="9475" max="9475" width="4.08984375" style="345" bestFit="1" customWidth="1"/>
    <col min="9476" max="9476" width="4.36328125" style="345" bestFit="1" customWidth="1"/>
    <col min="9477" max="9477" width="6.36328125" style="345" bestFit="1" customWidth="1"/>
    <col min="9478" max="9478" width="11.08984375" style="345" customWidth="1"/>
    <col min="9479" max="9479" width="10.90625" style="345" customWidth="1"/>
    <col min="9480" max="9480" width="4.36328125" style="345" bestFit="1" customWidth="1"/>
    <col min="9481" max="9481" width="3.453125" style="345" bestFit="1" customWidth="1"/>
    <col min="9482" max="9482" width="3.6328125" style="345" bestFit="1" customWidth="1"/>
    <col min="9483" max="9483" width="11.36328125" style="345" customWidth="1"/>
    <col min="9484" max="9484" width="5.54296875" style="345" customWidth="1"/>
    <col min="9485" max="9485" width="6.08984375" style="345" customWidth="1"/>
    <col min="9486" max="9728" width="8.90625" style="345"/>
    <col min="9729" max="9729" width="25.36328125" style="345" customWidth="1"/>
    <col min="9730" max="9730" width="3.90625" style="345" bestFit="1" customWidth="1"/>
    <col min="9731" max="9731" width="4.08984375" style="345" bestFit="1" customWidth="1"/>
    <col min="9732" max="9732" width="4.36328125" style="345" bestFit="1" customWidth="1"/>
    <col min="9733" max="9733" width="6.36328125" style="345" bestFit="1" customWidth="1"/>
    <col min="9734" max="9734" width="11.08984375" style="345" customWidth="1"/>
    <col min="9735" max="9735" width="10.90625" style="345" customWidth="1"/>
    <col min="9736" max="9736" width="4.36328125" style="345" bestFit="1" customWidth="1"/>
    <col min="9737" max="9737" width="3.453125" style="345" bestFit="1" customWidth="1"/>
    <col min="9738" max="9738" width="3.6328125" style="345" bestFit="1" customWidth="1"/>
    <col min="9739" max="9739" width="11.36328125" style="345" customWidth="1"/>
    <col min="9740" max="9740" width="5.54296875" style="345" customWidth="1"/>
    <col min="9741" max="9741" width="6.08984375" style="345" customWidth="1"/>
    <col min="9742" max="9984" width="8.90625" style="345"/>
    <col min="9985" max="9985" width="25.36328125" style="345" customWidth="1"/>
    <col min="9986" max="9986" width="3.90625" style="345" bestFit="1" customWidth="1"/>
    <col min="9987" max="9987" width="4.08984375" style="345" bestFit="1" customWidth="1"/>
    <col min="9988" max="9988" width="4.36328125" style="345" bestFit="1" customWidth="1"/>
    <col min="9989" max="9989" width="6.36328125" style="345" bestFit="1" customWidth="1"/>
    <col min="9990" max="9990" width="11.08984375" style="345" customWidth="1"/>
    <col min="9991" max="9991" width="10.90625" style="345" customWidth="1"/>
    <col min="9992" max="9992" width="4.36328125" style="345" bestFit="1" customWidth="1"/>
    <col min="9993" max="9993" width="3.453125" style="345" bestFit="1" customWidth="1"/>
    <col min="9994" max="9994" width="3.6328125" style="345" bestFit="1" customWidth="1"/>
    <col min="9995" max="9995" width="11.36328125" style="345" customWidth="1"/>
    <col min="9996" max="9996" width="5.54296875" style="345" customWidth="1"/>
    <col min="9997" max="9997" width="6.08984375" style="345" customWidth="1"/>
    <col min="9998" max="10240" width="8.90625" style="345"/>
    <col min="10241" max="10241" width="25.36328125" style="345" customWidth="1"/>
    <col min="10242" max="10242" width="3.90625" style="345" bestFit="1" customWidth="1"/>
    <col min="10243" max="10243" width="4.08984375" style="345" bestFit="1" customWidth="1"/>
    <col min="10244" max="10244" width="4.36328125" style="345" bestFit="1" customWidth="1"/>
    <col min="10245" max="10245" width="6.36328125" style="345" bestFit="1" customWidth="1"/>
    <col min="10246" max="10246" width="11.08984375" style="345" customWidth="1"/>
    <col min="10247" max="10247" width="10.90625" style="345" customWidth="1"/>
    <col min="10248" max="10248" width="4.36328125" style="345" bestFit="1" customWidth="1"/>
    <col min="10249" max="10249" width="3.453125" style="345" bestFit="1" customWidth="1"/>
    <col min="10250" max="10250" width="3.6328125" style="345" bestFit="1" customWidth="1"/>
    <col min="10251" max="10251" width="11.36328125" style="345" customWidth="1"/>
    <col min="10252" max="10252" width="5.54296875" style="345" customWidth="1"/>
    <col min="10253" max="10253" width="6.08984375" style="345" customWidth="1"/>
    <col min="10254" max="10496" width="8.90625" style="345"/>
    <col min="10497" max="10497" width="25.36328125" style="345" customWidth="1"/>
    <col min="10498" max="10498" width="3.90625" style="345" bestFit="1" customWidth="1"/>
    <col min="10499" max="10499" width="4.08984375" style="345" bestFit="1" customWidth="1"/>
    <col min="10500" max="10500" width="4.36328125" style="345" bestFit="1" customWidth="1"/>
    <col min="10501" max="10501" width="6.36328125" style="345" bestFit="1" customWidth="1"/>
    <col min="10502" max="10502" width="11.08984375" style="345" customWidth="1"/>
    <col min="10503" max="10503" width="10.90625" style="345" customWidth="1"/>
    <col min="10504" max="10504" width="4.36328125" style="345" bestFit="1" customWidth="1"/>
    <col min="10505" max="10505" width="3.453125" style="345" bestFit="1" customWidth="1"/>
    <col min="10506" max="10506" width="3.6328125" style="345" bestFit="1" customWidth="1"/>
    <col min="10507" max="10507" width="11.36328125" style="345" customWidth="1"/>
    <col min="10508" max="10508" width="5.54296875" style="345" customWidth="1"/>
    <col min="10509" max="10509" width="6.08984375" style="345" customWidth="1"/>
    <col min="10510" max="10752" width="8.90625" style="345"/>
    <col min="10753" max="10753" width="25.36328125" style="345" customWidth="1"/>
    <col min="10754" max="10754" width="3.90625" style="345" bestFit="1" customWidth="1"/>
    <col min="10755" max="10755" width="4.08984375" style="345" bestFit="1" customWidth="1"/>
    <col min="10756" max="10756" width="4.36328125" style="345" bestFit="1" customWidth="1"/>
    <col min="10757" max="10757" width="6.36328125" style="345" bestFit="1" customWidth="1"/>
    <col min="10758" max="10758" width="11.08984375" style="345" customWidth="1"/>
    <col min="10759" max="10759" width="10.90625" style="345" customWidth="1"/>
    <col min="10760" max="10760" width="4.36328125" style="345" bestFit="1" customWidth="1"/>
    <col min="10761" max="10761" width="3.453125" style="345" bestFit="1" customWidth="1"/>
    <col min="10762" max="10762" width="3.6328125" style="345" bestFit="1" customWidth="1"/>
    <col min="10763" max="10763" width="11.36328125" style="345" customWidth="1"/>
    <col min="10764" max="10764" width="5.54296875" style="345" customWidth="1"/>
    <col min="10765" max="10765" width="6.08984375" style="345" customWidth="1"/>
    <col min="10766" max="11008" width="8.90625" style="345"/>
    <col min="11009" max="11009" width="25.36328125" style="345" customWidth="1"/>
    <col min="11010" max="11010" width="3.90625" style="345" bestFit="1" customWidth="1"/>
    <col min="11011" max="11011" width="4.08984375" style="345" bestFit="1" customWidth="1"/>
    <col min="11012" max="11012" width="4.36328125" style="345" bestFit="1" customWidth="1"/>
    <col min="11013" max="11013" width="6.36328125" style="345" bestFit="1" customWidth="1"/>
    <col min="11014" max="11014" width="11.08984375" style="345" customWidth="1"/>
    <col min="11015" max="11015" width="10.90625" style="345" customWidth="1"/>
    <col min="11016" max="11016" width="4.36328125" style="345" bestFit="1" customWidth="1"/>
    <col min="11017" max="11017" width="3.453125" style="345" bestFit="1" customWidth="1"/>
    <col min="11018" max="11018" width="3.6328125" style="345" bestFit="1" customWidth="1"/>
    <col min="11019" max="11019" width="11.36328125" style="345" customWidth="1"/>
    <col min="11020" max="11020" width="5.54296875" style="345" customWidth="1"/>
    <col min="11021" max="11021" width="6.08984375" style="345" customWidth="1"/>
    <col min="11022" max="11264" width="8.90625" style="345"/>
    <col min="11265" max="11265" width="25.36328125" style="345" customWidth="1"/>
    <col min="11266" max="11266" width="3.90625" style="345" bestFit="1" customWidth="1"/>
    <col min="11267" max="11267" width="4.08984375" style="345" bestFit="1" customWidth="1"/>
    <col min="11268" max="11268" width="4.36328125" style="345" bestFit="1" customWidth="1"/>
    <col min="11269" max="11269" width="6.36328125" style="345" bestFit="1" customWidth="1"/>
    <col min="11270" max="11270" width="11.08984375" style="345" customWidth="1"/>
    <col min="11271" max="11271" width="10.90625" style="345" customWidth="1"/>
    <col min="11272" max="11272" width="4.36328125" style="345" bestFit="1" customWidth="1"/>
    <col min="11273" max="11273" width="3.453125" style="345" bestFit="1" customWidth="1"/>
    <col min="11274" max="11274" width="3.6328125" style="345" bestFit="1" customWidth="1"/>
    <col min="11275" max="11275" width="11.36328125" style="345" customWidth="1"/>
    <col min="11276" max="11276" width="5.54296875" style="345" customWidth="1"/>
    <col min="11277" max="11277" width="6.08984375" style="345" customWidth="1"/>
    <col min="11278" max="11520" width="8.90625" style="345"/>
    <col min="11521" max="11521" width="25.36328125" style="345" customWidth="1"/>
    <col min="11522" max="11522" width="3.90625" style="345" bestFit="1" customWidth="1"/>
    <col min="11523" max="11523" width="4.08984375" style="345" bestFit="1" customWidth="1"/>
    <col min="11524" max="11524" width="4.36328125" style="345" bestFit="1" customWidth="1"/>
    <col min="11525" max="11525" width="6.36328125" style="345" bestFit="1" customWidth="1"/>
    <col min="11526" max="11526" width="11.08984375" style="345" customWidth="1"/>
    <col min="11527" max="11527" width="10.90625" style="345" customWidth="1"/>
    <col min="11528" max="11528" width="4.36328125" style="345" bestFit="1" customWidth="1"/>
    <col min="11529" max="11529" width="3.453125" style="345" bestFit="1" customWidth="1"/>
    <col min="11530" max="11530" width="3.6328125" style="345" bestFit="1" customWidth="1"/>
    <col min="11531" max="11531" width="11.36328125" style="345" customWidth="1"/>
    <col min="11532" max="11532" width="5.54296875" style="345" customWidth="1"/>
    <col min="11533" max="11533" width="6.08984375" style="345" customWidth="1"/>
    <col min="11534" max="11776" width="8.90625" style="345"/>
    <col min="11777" max="11777" width="25.36328125" style="345" customWidth="1"/>
    <col min="11778" max="11778" width="3.90625" style="345" bestFit="1" customWidth="1"/>
    <col min="11779" max="11779" width="4.08984375" style="345" bestFit="1" customWidth="1"/>
    <col min="11780" max="11780" width="4.36328125" style="345" bestFit="1" customWidth="1"/>
    <col min="11781" max="11781" width="6.36328125" style="345" bestFit="1" customWidth="1"/>
    <col min="11782" max="11782" width="11.08984375" style="345" customWidth="1"/>
    <col min="11783" max="11783" width="10.90625" style="345" customWidth="1"/>
    <col min="11784" max="11784" width="4.36328125" style="345" bestFit="1" customWidth="1"/>
    <col min="11785" max="11785" width="3.453125" style="345" bestFit="1" customWidth="1"/>
    <col min="11786" max="11786" width="3.6328125" style="345" bestFit="1" customWidth="1"/>
    <col min="11787" max="11787" width="11.36328125" style="345" customWidth="1"/>
    <col min="11788" max="11788" width="5.54296875" style="345" customWidth="1"/>
    <col min="11789" max="11789" width="6.08984375" style="345" customWidth="1"/>
    <col min="11790" max="12032" width="8.90625" style="345"/>
    <col min="12033" max="12033" width="25.36328125" style="345" customWidth="1"/>
    <col min="12034" max="12034" width="3.90625" style="345" bestFit="1" customWidth="1"/>
    <col min="12035" max="12035" width="4.08984375" style="345" bestFit="1" customWidth="1"/>
    <col min="12036" max="12036" width="4.36328125" style="345" bestFit="1" customWidth="1"/>
    <col min="12037" max="12037" width="6.36328125" style="345" bestFit="1" customWidth="1"/>
    <col min="12038" max="12038" width="11.08984375" style="345" customWidth="1"/>
    <col min="12039" max="12039" width="10.90625" style="345" customWidth="1"/>
    <col min="12040" max="12040" width="4.36328125" style="345" bestFit="1" customWidth="1"/>
    <col min="12041" max="12041" width="3.453125" style="345" bestFit="1" customWidth="1"/>
    <col min="12042" max="12042" width="3.6328125" style="345" bestFit="1" customWidth="1"/>
    <col min="12043" max="12043" width="11.36328125" style="345" customWidth="1"/>
    <col min="12044" max="12044" width="5.54296875" style="345" customWidth="1"/>
    <col min="12045" max="12045" width="6.08984375" style="345" customWidth="1"/>
    <col min="12046" max="12288" width="8.90625" style="345"/>
    <col min="12289" max="12289" width="25.36328125" style="345" customWidth="1"/>
    <col min="12290" max="12290" width="3.90625" style="345" bestFit="1" customWidth="1"/>
    <col min="12291" max="12291" width="4.08984375" style="345" bestFit="1" customWidth="1"/>
    <col min="12292" max="12292" width="4.36328125" style="345" bestFit="1" customWidth="1"/>
    <col min="12293" max="12293" width="6.36328125" style="345" bestFit="1" customWidth="1"/>
    <col min="12294" max="12294" width="11.08984375" style="345" customWidth="1"/>
    <col min="12295" max="12295" width="10.90625" style="345" customWidth="1"/>
    <col min="12296" max="12296" width="4.36328125" style="345" bestFit="1" customWidth="1"/>
    <col min="12297" max="12297" width="3.453125" style="345" bestFit="1" customWidth="1"/>
    <col min="12298" max="12298" width="3.6328125" style="345" bestFit="1" customWidth="1"/>
    <col min="12299" max="12299" width="11.36328125" style="345" customWidth="1"/>
    <col min="12300" max="12300" width="5.54296875" style="345" customWidth="1"/>
    <col min="12301" max="12301" width="6.08984375" style="345" customWidth="1"/>
    <col min="12302" max="12544" width="8.90625" style="345"/>
    <col min="12545" max="12545" width="25.36328125" style="345" customWidth="1"/>
    <col min="12546" max="12546" width="3.90625" style="345" bestFit="1" customWidth="1"/>
    <col min="12547" max="12547" width="4.08984375" style="345" bestFit="1" customWidth="1"/>
    <col min="12548" max="12548" width="4.36328125" style="345" bestFit="1" customWidth="1"/>
    <col min="12549" max="12549" width="6.36328125" style="345" bestFit="1" customWidth="1"/>
    <col min="12550" max="12550" width="11.08984375" style="345" customWidth="1"/>
    <col min="12551" max="12551" width="10.90625" style="345" customWidth="1"/>
    <col min="12552" max="12552" width="4.36328125" style="345" bestFit="1" customWidth="1"/>
    <col min="12553" max="12553" width="3.453125" style="345" bestFit="1" customWidth="1"/>
    <col min="12554" max="12554" width="3.6328125" style="345" bestFit="1" customWidth="1"/>
    <col min="12555" max="12555" width="11.36328125" style="345" customWidth="1"/>
    <col min="12556" max="12556" width="5.54296875" style="345" customWidth="1"/>
    <col min="12557" max="12557" width="6.08984375" style="345" customWidth="1"/>
    <col min="12558" max="12800" width="8.90625" style="345"/>
    <col min="12801" max="12801" width="25.36328125" style="345" customWidth="1"/>
    <col min="12802" max="12802" width="3.90625" style="345" bestFit="1" customWidth="1"/>
    <col min="12803" max="12803" width="4.08984375" style="345" bestFit="1" customWidth="1"/>
    <col min="12804" max="12804" width="4.36328125" style="345" bestFit="1" customWidth="1"/>
    <col min="12805" max="12805" width="6.36328125" style="345" bestFit="1" customWidth="1"/>
    <col min="12806" max="12806" width="11.08984375" style="345" customWidth="1"/>
    <col min="12807" max="12807" width="10.90625" style="345" customWidth="1"/>
    <col min="12808" max="12808" width="4.36328125" style="345" bestFit="1" customWidth="1"/>
    <col min="12809" max="12809" width="3.453125" style="345" bestFit="1" customWidth="1"/>
    <col min="12810" max="12810" width="3.6328125" style="345" bestFit="1" customWidth="1"/>
    <col min="12811" max="12811" width="11.36328125" style="345" customWidth="1"/>
    <col min="12812" max="12812" width="5.54296875" style="345" customWidth="1"/>
    <col min="12813" max="12813" width="6.08984375" style="345" customWidth="1"/>
    <col min="12814" max="13056" width="8.90625" style="345"/>
    <col min="13057" max="13057" width="25.36328125" style="345" customWidth="1"/>
    <col min="13058" max="13058" width="3.90625" style="345" bestFit="1" customWidth="1"/>
    <col min="13059" max="13059" width="4.08984375" style="345" bestFit="1" customWidth="1"/>
    <col min="13060" max="13060" width="4.36328125" style="345" bestFit="1" customWidth="1"/>
    <col min="13061" max="13061" width="6.36328125" style="345" bestFit="1" customWidth="1"/>
    <col min="13062" max="13062" width="11.08984375" style="345" customWidth="1"/>
    <col min="13063" max="13063" width="10.90625" style="345" customWidth="1"/>
    <col min="13064" max="13064" width="4.36328125" style="345" bestFit="1" customWidth="1"/>
    <col min="13065" max="13065" width="3.453125" style="345" bestFit="1" customWidth="1"/>
    <col min="13066" max="13066" width="3.6328125" style="345" bestFit="1" customWidth="1"/>
    <col min="13067" max="13067" width="11.36328125" style="345" customWidth="1"/>
    <col min="13068" max="13068" width="5.54296875" style="345" customWidth="1"/>
    <col min="13069" max="13069" width="6.08984375" style="345" customWidth="1"/>
    <col min="13070" max="13312" width="8.90625" style="345"/>
    <col min="13313" max="13313" width="25.36328125" style="345" customWidth="1"/>
    <col min="13314" max="13314" width="3.90625" style="345" bestFit="1" customWidth="1"/>
    <col min="13315" max="13315" width="4.08984375" style="345" bestFit="1" customWidth="1"/>
    <col min="13316" max="13316" width="4.36328125" style="345" bestFit="1" customWidth="1"/>
    <col min="13317" max="13317" width="6.36328125" style="345" bestFit="1" customWidth="1"/>
    <col min="13318" max="13318" width="11.08984375" style="345" customWidth="1"/>
    <col min="13319" max="13319" width="10.90625" style="345" customWidth="1"/>
    <col min="13320" max="13320" width="4.36328125" style="345" bestFit="1" customWidth="1"/>
    <col min="13321" max="13321" width="3.453125" style="345" bestFit="1" customWidth="1"/>
    <col min="13322" max="13322" width="3.6328125" style="345" bestFit="1" customWidth="1"/>
    <col min="13323" max="13323" width="11.36328125" style="345" customWidth="1"/>
    <col min="13324" max="13324" width="5.54296875" style="345" customWidth="1"/>
    <col min="13325" max="13325" width="6.08984375" style="345" customWidth="1"/>
    <col min="13326" max="13568" width="8.90625" style="345"/>
    <col min="13569" max="13569" width="25.36328125" style="345" customWidth="1"/>
    <col min="13570" max="13570" width="3.90625" style="345" bestFit="1" customWidth="1"/>
    <col min="13571" max="13571" width="4.08984375" style="345" bestFit="1" customWidth="1"/>
    <col min="13572" max="13572" width="4.36328125" style="345" bestFit="1" customWidth="1"/>
    <col min="13573" max="13573" width="6.36328125" style="345" bestFit="1" customWidth="1"/>
    <col min="13574" max="13574" width="11.08984375" style="345" customWidth="1"/>
    <col min="13575" max="13575" width="10.90625" style="345" customWidth="1"/>
    <col min="13576" max="13576" width="4.36328125" style="345" bestFit="1" customWidth="1"/>
    <col min="13577" max="13577" width="3.453125" style="345" bestFit="1" customWidth="1"/>
    <col min="13578" max="13578" width="3.6328125" style="345" bestFit="1" customWidth="1"/>
    <col min="13579" max="13579" width="11.36328125" style="345" customWidth="1"/>
    <col min="13580" max="13580" width="5.54296875" style="345" customWidth="1"/>
    <col min="13581" max="13581" width="6.08984375" style="345" customWidth="1"/>
    <col min="13582" max="13824" width="8.90625" style="345"/>
    <col min="13825" max="13825" width="25.36328125" style="345" customWidth="1"/>
    <col min="13826" max="13826" width="3.90625" style="345" bestFit="1" customWidth="1"/>
    <col min="13827" max="13827" width="4.08984375" style="345" bestFit="1" customWidth="1"/>
    <col min="13828" max="13828" width="4.36328125" style="345" bestFit="1" customWidth="1"/>
    <col min="13829" max="13829" width="6.36328125" style="345" bestFit="1" customWidth="1"/>
    <col min="13830" max="13830" width="11.08984375" style="345" customWidth="1"/>
    <col min="13831" max="13831" width="10.90625" style="345" customWidth="1"/>
    <col min="13832" max="13832" width="4.36328125" style="345" bestFit="1" customWidth="1"/>
    <col min="13833" max="13833" width="3.453125" style="345" bestFit="1" customWidth="1"/>
    <col min="13834" max="13834" width="3.6328125" style="345" bestFit="1" customWidth="1"/>
    <col min="13835" max="13835" width="11.36328125" style="345" customWidth="1"/>
    <col min="13836" max="13836" width="5.54296875" style="345" customWidth="1"/>
    <col min="13837" max="13837" width="6.08984375" style="345" customWidth="1"/>
    <col min="13838" max="14080" width="8.90625" style="345"/>
    <col min="14081" max="14081" width="25.36328125" style="345" customWidth="1"/>
    <col min="14082" max="14082" width="3.90625" style="345" bestFit="1" customWidth="1"/>
    <col min="14083" max="14083" width="4.08984375" style="345" bestFit="1" customWidth="1"/>
    <col min="14084" max="14084" width="4.36328125" style="345" bestFit="1" customWidth="1"/>
    <col min="14085" max="14085" width="6.36328125" style="345" bestFit="1" customWidth="1"/>
    <col min="14086" max="14086" width="11.08984375" style="345" customWidth="1"/>
    <col min="14087" max="14087" width="10.90625" style="345" customWidth="1"/>
    <col min="14088" max="14088" width="4.36328125" style="345" bestFit="1" customWidth="1"/>
    <col min="14089" max="14089" width="3.453125" style="345" bestFit="1" customWidth="1"/>
    <col min="14090" max="14090" width="3.6328125" style="345" bestFit="1" customWidth="1"/>
    <col min="14091" max="14091" width="11.36328125" style="345" customWidth="1"/>
    <col min="14092" max="14092" width="5.54296875" style="345" customWidth="1"/>
    <col min="14093" max="14093" width="6.08984375" style="345" customWidth="1"/>
    <col min="14094" max="14336" width="8.90625" style="345"/>
    <col min="14337" max="14337" width="25.36328125" style="345" customWidth="1"/>
    <col min="14338" max="14338" width="3.90625" style="345" bestFit="1" customWidth="1"/>
    <col min="14339" max="14339" width="4.08984375" style="345" bestFit="1" customWidth="1"/>
    <col min="14340" max="14340" width="4.36328125" style="345" bestFit="1" customWidth="1"/>
    <col min="14341" max="14341" width="6.36328125" style="345" bestFit="1" customWidth="1"/>
    <col min="14342" max="14342" width="11.08984375" style="345" customWidth="1"/>
    <col min="14343" max="14343" width="10.90625" style="345" customWidth="1"/>
    <col min="14344" max="14344" width="4.36328125" style="345" bestFit="1" customWidth="1"/>
    <col min="14345" max="14345" width="3.453125" style="345" bestFit="1" customWidth="1"/>
    <col min="14346" max="14346" width="3.6328125" style="345" bestFit="1" customWidth="1"/>
    <col min="14347" max="14347" width="11.36328125" style="345" customWidth="1"/>
    <col min="14348" max="14348" width="5.54296875" style="345" customWidth="1"/>
    <col min="14349" max="14349" width="6.08984375" style="345" customWidth="1"/>
    <col min="14350" max="14592" width="8.90625" style="345"/>
    <col min="14593" max="14593" width="25.36328125" style="345" customWidth="1"/>
    <col min="14594" max="14594" width="3.90625" style="345" bestFit="1" customWidth="1"/>
    <col min="14595" max="14595" width="4.08984375" style="345" bestFit="1" customWidth="1"/>
    <col min="14596" max="14596" width="4.36328125" style="345" bestFit="1" customWidth="1"/>
    <col min="14597" max="14597" width="6.36328125" style="345" bestFit="1" customWidth="1"/>
    <col min="14598" max="14598" width="11.08984375" style="345" customWidth="1"/>
    <col min="14599" max="14599" width="10.90625" style="345" customWidth="1"/>
    <col min="14600" max="14600" width="4.36328125" style="345" bestFit="1" customWidth="1"/>
    <col min="14601" max="14601" width="3.453125" style="345" bestFit="1" customWidth="1"/>
    <col min="14602" max="14602" width="3.6328125" style="345" bestFit="1" customWidth="1"/>
    <col min="14603" max="14603" width="11.36328125" style="345" customWidth="1"/>
    <col min="14604" max="14604" width="5.54296875" style="345" customWidth="1"/>
    <col min="14605" max="14605" width="6.08984375" style="345" customWidth="1"/>
    <col min="14606" max="14848" width="8.90625" style="345"/>
    <col min="14849" max="14849" width="25.36328125" style="345" customWidth="1"/>
    <col min="14850" max="14850" width="3.90625" style="345" bestFit="1" customWidth="1"/>
    <col min="14851" max="14851" width="4.08984375" style="345" bestFit="1" customWidth="1"/>
    <col min="14852" max="14852" width="4.36328125" style="345" bestFit="1" customWidth="1"/>
    <col min="14853" max="14853" width="6.36328125" style="345" bestFit="1" customWidth="1"/>
    <col min="14854" max="14854" width="11.08984375" style="345" customWidth="1"/>
    <col min="14855" max="14855" width="10.90625" style="345" customWidth="1"/>
    <col min="14856" max="14856" width="4.36328125" style="345" bestFit="1" customWidth="1"/>
    <col min="14857" max="14857" width="3.453125" style="345" bestFit="1" customWidth="1"/>
    <col min="14858" max="14858" width="3.6328125" style="345" bestFit="1" customWidth="1"/>
    <col min="14859" max="14859" width="11.36328125" style="345" customWidth="1"/>
    <col min="14860" max="14860" width="5.54296875" style="345" customWidth="1"/>
    <col min="14861" max="14861" width="6.08984375" style="345" customWidth="1"/>
    <col min="14862" max="15104" width="8.90625" style="345"/>
    <col min="15105" max="15105" width="25.36328125" style="345" customWidth="1"/>
    <col min="15106" max="15106" width="3.90625" style="345" bestFit="1" customWidth="1"/>
    <col min="15107" max="15107" width="4.08984375" style="345" bestFit="1" customWidth="1"/>
    <col min="15108" max="15108" width="4.36328125" style="345" bestFit="1" customWidth="1"/>
    <col min="15109" max="15109" width="6.36328125" style="345" bestFit="1" customWidth="1"/>
    <col min="15110" max="15110" width="11.08984375" style="345" customWidth="1"/>
    <col min="15111" max="15111" width="10.90625" style="345" customWidth="1"/>
    <col min="15112" max="15112" width="4.36328125" style="345" bestFit="1" customWidth="1"/>
    <col min="15113" max="15113" width="3.453125" style="345" bestFit="1" customWidth="1"/>
    <col min="15114" max="15114" width="3.6328125" style="345" bestFit="1" customWidth="1"/>
    <col min="15115" max="15115" width="11.36328125" style="345" customWidth="1"/>
    <col min="15116" max="15116" width="5.54296875" style="345" customWidth="1"/>
    <col min="15117" max="15117" width="6.08984375" style="345" customWidth="1"/>
    <col min="15118" max="15360" width="8.90625" style="345"/>
    <col min="15361" max="15361" width="25.36328125" style="345" customWidth="1"/>
    <col min="15362" max="15362" width="3.90625" style="345" bestFit="1" customWidth="1"/>
    <col min="15363" max="15363" width="4.08984375" style="345" bestFit="1" customWidth="1"/>
    <col min="15364" max="15364" width="4.36328125" style="345" bestFit="1" customWidth="1"/>
    <col min="15365" max="15365" width="6.36328125" style="345" bestFit="1" customWidth="1"/>
    <col min="15366" max="15366" width="11.08984375" style="345" customWidth="1"/>
    <col min="15367" max="15367" width="10.90625" style="345" customWidth="1"/>
    <col min="15368" max="15368" width="4.36328125" style="345" bestFit="1" customWidth="1"/>
    <col min="15369" max="15369" width="3.453125" style="345" bestFit="1" customWidth="1"/>
    <col min="15370" max="15370" width="3.6328125" style="345" bestFit="1" customWidth="1"/>
    <col min="15371" max="15371" width="11.36328125" style="345" customWidth="1"/>
    <col min="15372" max="15372" width="5.54296875" style="345" customWidth="1"/>
    <col min="15373" max="15373" width="6.08984375" style="345" customWidth="1"/>
    <col min="15374" max="15616" width="8.90625" style="345"/>
    <col min="15617" max="15617" width="25.36328125" style="345" customWidth="1"/>
    <col min="15618" max="15618" width="3.90625" style="345" bestFit="1" customWidth="1"/>
    <col min="15619" max="15619" width="4.08984375" style="345" bestFit="1" customWidth="1"/>
    <col min="15620" max="15620" width="4.36328125" style="345" bestFit="1" customWidth="1"/>
    <col min="15621" max="15621" width="6.36328125" style="345" bestFit="1" customWidth="1"/>
    <col min="15622" max="15622" width="11.08984375" style="345" customWidth="1"/>
    <col min="15623" max="15623" width="10.90625" style="345" customWidth="1"/>
    <col min="15624" max="15624" width="4.36328125" style="345" bestFit="1" customWidth="1"/>
    <col min="15625" max="15625" width="3.453125" style="345" bestFit="1" customWidth="1"/>
    <col min="15626" max="15626" width="3.6328125" style="345" bestFit="1" customWidth="1"/>
    <col min="15627" max="15627" width="11.36328125" style="345" customWidth="1"/>
    <col min="15628" max="15628" width="5.54296875" style="345" customWidth="1"/>
    <col min="15629" max="15629" width="6.08984375" style="345" customWidth="1"/>
    <col min="15630" max="15872" width="8.90625" style="345"/>
    <col min="15873" max="15873" width="25.36328125" style="345" customWidth="1"/>
    <col min="15874" max="15874" width="3.90625" style="345" bestFit="1" customWidth="1"/>
    <col min="15875" max="15875" width="4.08984375" style="345" bestFit="1" customWidth="1"/>
    <col min="15876" max="15876" width="4.36328125" style="345" bestFit="1" customWidth="1"/>
    <col min="15877" max="15877" width="6.36328125" style="345" bestFit="1" customWidth="1"/>
    <col min="15878" max="15878" width="11.08984375" style="345" customWidth="1"/>
    <col min="15879" max="15879" width="10.90625" style="345" customWidth="1"/>
    <col min="15880" max="15880" width="4.36328125" style="345" bestFit="1" customWidth="1"/>
    <col min="15881" max="15881" width="3.453125" style="345" bestFit="1" customWidth="1"/>
    <col min="15882" max="15882" width="3.6328125" style="345" bestFit="1" customWidth="1"/>
    <col min="15883" max="15883" width="11.36328125" style="345" customWidth="1"/>
    <col min="15884" max="15884" width="5.54296875" style="345" customWidth="1"/>
    <col min="15885" max="15885" width="6.08984375" style="345" customWidth="1"/>
    <col min="15886" max="16128" width="8.90625" style="345"/>
    <col min="16129" max="16129" width="25.36328125" style="345" customWidth="1"/>
    <col min="16130" max="16130" width="3.90625" style="345" bestFit="1" customWidth="1"/>
    <col min="16131" max="16131" width="4.08984375" style="345" bestFit="1" customWidth="1"/>
    <col min="16132" max="16132" width="4.36328125" style="345" bestFit="1" customWidth="1"/>
    <col min="16133" max="16133" width="6.36328125" style="345" bestFit="1" customWidth="1"/>
    <col min="16134" max="16134" width="11.08984375" style="345" customWidth="1"/>
    <col min="16135" max="16135" width="10.90625" style="345" customWidth="1"/>
    <col min="16136" max="16136" width="4.36328125" style="345" bestFit="1" customWidth="1"/>
    <col min="16137" max="16137" width="3.453125" style="345" bestFit="1" customWidth="1"/>
    <col min="16138" max="16138" width="3.6328125" style="345" bestFit="1" customWidth="1"/>
    <col min="16139" max="16139" width="11.36328125" style="345" customWidth="1"/>
    <col min="16140" max="16140" width="5.54296875" style="345" customWidth="1"/>
    <col min="16141" max="16141" width="6.08984375" style="345" customWidth="1"/>
    <col min="16142" max="16384" width="8.90625" style="345"/>
  </cols>
  <sheetData>
    <row r="1" spans="1:13" ht="12" thickBot="1" x14ac:dyDescent="0.3">
      <c r="G1" s="346" t="s">
        <v>1063</v>
      </c>
      <c r="H1" s="347"/>
      <c r="I1" s="348">
        <f>L2+L27+L33+L97+L118</f>
        <v>56</v>
      </c>
      <c r="K1" s="346" t="s">
        <v>1064</v>
      </c>
      <c r="L1" s="347"/>
      <c r="M1" s="348">
        <f>M2+K27/2+M40/2+M97/2+M118/2</f>
        <v>12100</v>
      </c>
    </row>
    <row r="2" spans="1:13" s="353" customFormat="1" ht="10.25" customHeight="1" thickBot="1" x14ac:dyDescent="0.35">
      <c r="A2" s="349" t="s">
        <v>1065</v>
      </c>
      <c r="B2" s="350"/>
      <c r="C2" s="350"/>
      <c r="D2" s="350"/>
      <c r="E2" s="350"/>
      <c r="F2" s="351" t="s">
        <v>1032</v>
      </c>
      <c r="G2" s="350"/>
      <c r="H2" s="350"/>
      <c r="I2" s="350"/>
      <c r="J2" s="350"/>
      <c r="K2" s="350"/>
      <c r="L2" s="352">
        <f>SUM(L4:L25)</f>
        <v>17.899999999999999</v>
      </c>
      <c r="M2" s="352">
        <f>SUM(M4:M25)</f>
        <v>3450</v>
      </c>
    </row>
    <row r="3" spans="1:13" s="353" customFormat="1" ht="10.25" customHeight="1" thickBot="1" x14ac:dyDescent="0.35">
      <c r="A3" s="354" t="s">
        <v>317</v>
      </c>
      <c r="B3" s="355" t="s">
        <v>1066</v>
      </c>
      <c r="C3" s="355" t="s">
        <v>499</v>
      </c>
      <c r="D3" s="355" t="s">
        <v>1067</v>
      </c>
      <c r="E3" s="355" t="s">
        <v>1068</v>
      </c>
      <c r="F3" s="355" t="s">
        <v>1069</v>
      </c>
      <c r="G3" s="355" t="s">
        <v>1070</v>
      </c>
      <c r="H3" s="355" t="s">
        <v>1071</v>
      </c>
      <c r="I3" s="355" t="s">
        <v>1072</v>
      </c>
      <c r="J3" s="355" t="s">
        <v>1073</v>
      </c>
      <c r="K3" s="355" t="s">
        <v>1074</v>
      </c>
      <c r="L3" s="355" t="s">
        <v>1075</v>
      </c>
      <c r="M3" s="356" t="s">
        <v>1076</v>
      </c>
    </row>
    <row r="4" spans="1:13" ht="10.25" customHeight="1" x14ac:dyDescent="0.25">
      <c r="A4" s="357" t="s">
        <v>1393</v>
      </c>
      <c r="B4" s="358">
        <v>1</v>
      </c>
      <c r="C4" s="358">
        <v>8</v>
      </c>
      <c r="D4" s="358">
        <v>500</v>
      </c>
      <c r="E4" s="358"/>
      <c r="F4" s="358"/>
      <c r="G4" s="358"/>
      <c r="H4" s="358"/>
      <c r="I4" s="358"/>
      <c r="J4" s="358"/>
      <c r="K4" s="358"/>
      <c r="L4" s="358">
        <f t="shared" ref="L4:L25" si="0">C4*B4</f>
        <v>8</v>
      </c>
      <c r="M4" s="359">
        <f t="shared" ref="M4:M25" si="1">D4*B4</f>
        <v>500</v>
      </c>
    </row>
    <row r="5" spans="1:13" ht="10.25" customHeight="1" x14ac:dyDescent="0.25">
      <c r="A5" s="360" t="s">
        <v>1394</v>
      </c>
      <c r="B5" s="361">
        <v>1</v>
      </c>
      <c r="C5" s="361">
        <v>1.5</v>
      </c>
      <c r="D5" s="361">
        <v>600</v>
      </c>
      <c r="E5" s="361"/>
      <c r="F5" s="361"/>
      <c r="G5" s="361"/>
      <c r="H5" s="361"/>
      <c r="I5" s="361"/>
      <c r="J5" s="361"/>
      <c r="K5" s="361"/>
      <c r="L5" s="361">
        <f t="shared" si="0"/>
        <v>1.5</v>
      </c>
      <c r="M5" s="362">
        <f t="shared" si="1"/>
        <v>600</v>
      </c>
    </row>
    <row r="6" spans="1:13" ht="10.25" customHeight="1" x14ac:dyDescent="0.25">
      <c r="A6" s="363" t="s">
        <v>1395</v>
      </c>
      <c r="B6" s="364">
        <v>1</v>
      </c>
      <c r="C6" s="364">
        <v>5</v>
      </c>
      <c r="D6" s="364">
        <v>1000</v>
      </c>
      <c r="E6" s="364"/>
      <c r="F6" s="364"/>
      <c r="G6" s="364"/>
      <c r="H6" s="364" t="s">
        <v>1396</v>
      </c>
      <c r="I6" s="364"/>
      <c r="J6" s="364"/>
      <c r="K6" s="364" t="s">
        <v>1397</v>
      </c>
      <c r="L6" s="364">
        <f t="shared" si="0"/>
        <v>5</v>
      </c>
      <c r="M6" s="365">
        <f t="shared" si="1"/>
        <v>1000</v>
      </c>
    </row>
    <row r="7" spans="1:13" ht="10.25" customHeight="1" x14ac:dyDescent="0.25">
      <c r="A7" s="360"/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>
        <f t="shared" si="0"/>
        <v>0</v>
      </c>
      <c r="M7" s="362">
        <f t="shared" si="1"/>
        <v>0</v>
      </c>
    </row>
    <row r="8" spans="1:13" ht="10.25" customHeight="1" x14ac:dyDescent="0.25">
      <c r="A8" s="363" t="s">
        <v>1296</v>
      </c>
      <c r="B8" s="364">
        <v>1</v>
      </c>
      <c r="C8" s="364">
        <v>0.2</v>
      </c>
      <c r="D8" s="364">
        <v>100</v>
      </c>
      <c r="E8" s="364"/>
      <c r="F8" s="364"/>
      <c r="G8" s="364"/>
      <c r="H8" s="372"/>
      <c r="I8" s="364"/>
      <c r="J8" s="364"/>
      <c r="K8" s="364"/>
      <c r="L8" s="364">
        <f t="shared" si="0"/>
        <v>0.2</v>
      </c>
      <c r="M8" s="365">
        <f t="shared" si="1"/>
        <v>100</v>
      </c>
    </row>
    <row r="9" spans="1:13" ht="10.25" customHeight="1" x14ac:dyDescent="0.25">
      <c r="A9" s="360" t="s">
        <v>1398</v>
      </c>
      <c r="B9" s="361">
        <v>1</v>
      </c>
      <c r="C9" s="361">
        <v>0.1</v>
      </c>
      <c r="D9" s="361">
        <v>100</v>
      </c>
      <c r="E9" s="361"/>
      <c r="F9" s="361"/>
      <c r="G9" s="361"/>
      <c r="H9" s="361"/>
      <c r="I9" s="361"/>
      <c r="J9" s="361"/>
      <c r="K9" s="361"/>
      <c r="L9" s="361">
        <f t="shared" si="0"/>
        <v>0.1</v>
      </c>
      <c r="M9" s="362">
        <f t="shared" si="1"/>
        <v>100</v>
      </c>
    </row>
    <row r="10" spans="1:13" ht="10.25" customHeight="1" x14ac:dyDescent="0.25">
      <c r="A10" s="363" t="s">
        <v>1370</v>
      </c>
      <c r="B10" s="364">
        <v>2</v>
      </c>
      <c r="C10" s="364">
        <v>0.5</v>
      </c>
      <c r="D10" s="364">
        <v>100</v>
      </c>
      <c r="E10" s="364"/>
      <c r="F10" s="364"/>
      <c r="G10" s="364"/>
      <c r="H10" s="372"/>
      <c r="I10" s="364"/>
      <c r="J10" s="364"/>
      <c r="K10" s="364"/>
      <c r="L10" s="364">
        <f t="shared" si="0"/>
        <v>1</v>
      </c>
      <c r="M10" s="365">
        <f t="shared" si="1"/>
        <v>200</v>
      </c>
    </row>
    <row r="11" spans="1:13" ht="10.25" customHeight="1" x14ac:dyDescent="0.25">
      <c r="A11" s="360" t="s">
        <v>1399</v>
      </c>
      <c r="B11" s="361">
        <v>1</v>
      </c>
      <c r="C11" s="361">
        <v>0.6</v>
      </c>
      <c r="D11" s="361">
        <v>100</v>
      </c>
      <c r="E11" s="361"/>
      <c r="F11" s="361"/>
      <c r="G11" s="361"/>
      <c r="H11" s="361"/>
      <c r="I11" s="361"/>
      <c r="J11" s="361"/>
      <c r="K11" s="361"/>
      <c r="L11" s="361">
        <f t="shared" si="0"/>
        <v>0.6</v>
      </c>
      <c r="M11" s="362">
        <f t="shared" si="1"/>
        <v>100</v>
      </c>
    </row>
    <row r="12" spans="1:13" ht="10.25" customHeight="1" x14ac:dyDescent="0.25">
      <c r="A12" s="363" t="s">
        <v>1400</v>
      </c>
      <c r="B12" s="364">
        <v>1</v>
      </c>
      <c r="C12" s="364">
        <v>1.4</v>
      </c>
      <c r="D12" s="364">
        <v>750</v>
      </c>
      <c r="E12" s="364">
        <v>10000</v>
      </c>
      <c r="F12" s="364" t="s">
        <v>1401</v>
      </c>
      <c r="G12" s="364" t="s">
        <v>1402</v>
      </c>
      <c r="H12" s="364">
        <v>40</v>
      </c>
      <c r="I12" s="364"/>
      <c r="J12" s="364" t="s">
        <v>1403</v>
      </c>
      <c r="K12" s="364" t="s">
        <v>1404</v>
      </c>
      <c r="L12" s="364">
        <f t="shared" si="0"/>
        <v>1.4</v>
      </c>
      <c r="M12" s="365">
        <f t="shared" si="1"/>
        <v>750</v>
      </c>
    </row>
    <row r="13" spans="1:13" ht="10.25" customHeight="1" x14ac:dyDescent="0.25">
      <c r="A13" s="360" t="s">
        <v>1615</v>
      </c>
      <c r="B13" s="361">
        <v>1</v>
      </c>
      <c r="C13" s="361"/>
      <c r="D13" s="361"/>
      <c r="E13" s="361">
        <v>9000</v>
      </c>
      <c r="F13" s="361" t="s">
        <v>1405</v>
      </c>
      <c r="G13" s="361" t="s">
        <v>1406</v>
      </c>
      <c r="H13" s="361">
        <v>50</v>
      </c>
      <c r="I13" s="361"/>
      <c r="J13" s="361" t="s">
        <v>1407</v>
      </c>
      <c r="K13" s="361">
        <v>80</v>
      </c>
      <c r="L13" s="361">
        <f t="shared" si="0"/>
        <v>0</v>
      </c>
      <c r="M13" s="362">
        <f t="shared" si="1"/>
        <v>0</v>
      </c>
    </row>
    <row r="14" spans="1:13" ht="10.25" customHeight="1" x14ac:dyDescent="0.25">
      <c r="A14" s="363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>
        <f t="shared" si="0"/>
        <v>0</v>
      </c>
      <c r="M14" s="365">
        <f t="shared" si="1"/>
        <v>0</v>
      </c>
    </row>
    <row r="15" spans="1:13" ht="10.25" customHeight="1" x14ac:dyDescent="0.25">
      <c r="A15" s="360" t="s">
        <v>1236</v>
      </c>
      <c r="B15" s="361">
        <v>1</v>
      </c>
      <c r="C15" s="361">
        <v>0.1</v>
      </c>
      <c r="D15" s="361">
        <v>100</v>
      </c>
      <c r="E15" s="361"/>
      <c r="F15" s="361"/>
      <c r="G15" s="361"/>
      <c r="H15" s="361"/>
      <c r="I15" s="361"/>
      <c r="J15" s="361"/>
      <c r="K15" s="361"/>
      <c r="L15" s="361">
        <f t="shared" si="0"/>
        <v>0.1</v>
      </c>
      <c r="M15" s="362">
        <f t="shared" si="1"/>
        <v>100</v>
      </c>
    </row>
    <row r="16" spans="1:13" ht="10.25" customHeight="1" x14ac:dyDescent="0.25">
      <c r="A16" s="363" t="s">
        <v>944</v>
      </c>
      <c r="B16" s="364">
        <v>1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64">
        <f t="shared" si="0"/>
        <v>0</v>
      </c>
      <c r="M16" s="365">
        <f t="shared" si="1"/>
        <v>0</v>
      </c>
    </row>
    <row r="17" spans="1:13" ht="10.25" customHeight="1" x14ac:dyDescent="0.25">
      <c r="A17" s="360"/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>
        <f t="shared" si="0"/>
        <v>0</v>
      </c>
      <c r="M17" s="362">
        <f t="shared" si="1"/>
        <v>0</v>
      </c>
    </row>
    <row r="18" spans="1:13" ht="10.25" customHeight="1" x14ac:dyDescent="0.25">
      <c r="A18" s="363"/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>
        <f t="shared" si="0"/>
        <v>0</v>
      </c>
      <c r="M18" s="365">
        <f t="shared" si="1"/>
        <v>0</v>
      </c>
    </row>
    <row r="19" spans="1:13" ht="10.25" customHeight="1" x14ac:dyDescent="0.25">
      <c r="A19" s="360"/>
      <c r="B19" s="361"/>
      <c r="C19" s="361"/>
      <c r="D19" s="361"/>
      <c r="E19" s="361"/>
      <c r="F19" s="361"/>
      <c r="G19" s="361"/>
      <c r="H19" s="361"/>
      <c r="I19" s="361"/>
      <c r="J19" s="361"/>
      <c r="K19" s="361"/>
      <c r="L19" s="361">
        <f t="shared" si="0"/>
        <v>0</v>
      </c>
      <c r="M19" s="362">
        <f t="shared" si="1"/>
        <v>0</v>
      </c>
    </row>
    <row r="20" spans="1:13" ht="10.25" customHeight="1" x14ac:dyDescent="0.25">
      <c r="A20" s="363"/>
      <c r="B20" s="364"/>
      <c r="C20" s="364"/>
      <c r="D20" s="364"/>
      <c r="E20" s="364"/>
      <c r="F20" s="364"/>
      <c r="G20" s="364"/>
      <c r="H20" s="364"/>
      <c r="I20" s="364"/>
      <c r="J20" s="364"/>
      <c r="K20" s="364"/>
      <c r="L20" s="364">
        <f t="shared" si="0"/>
        <v>0</v>
      </c>
      <c r="M20" s="365">
        <f t="shared" si="1"/>
        <v>0</v>
      </c>
    </row>
    <row r="21" spans="1:13" ht="10.25" customHeight="1" x14ac:dyDescent="0.25">
      <c r="A21" s="360"/>
      <c r="B21" s="361"/>
      <c r="C21" s="361"/>
      <c r="D21" s="361"/>
      <c r="E21" s="361"/>
      <c r="F21" s="361"/>
      <c r="G21" s="361"/>
      <c r="H21" s="361"/>
      <c r="I21" s="361"/>
      <c r="J21" s="361"/>
      <c r="K21" s="361"/>
      <c r="L21" s="361">
        <f t="shared" si="0"/>
        <v>0</v>
      </c>
      <c r="M21" s="362">
        <f t="shared" si="1"/>
        <v>0</v>
      </c>
    </row>
    <row r="22" spans="1:13" ht="10.25" customHeight="1" x14ac:dyDescent="0.25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>
        <f t="shared" si="0"/>
        <v>0</v>
      </c>
      <c r="M22" s="365">
        <f t="shared" si="1"/>
        <v>0</v>
      </c>
    </row>
    <row r="23" spans="1:13" ht="10.25" customHeight="1" x14ac:dyDescent="0.25">
      <c r="A23" s="609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>
        <f t="shared" si="0"/>
        <v>0</v>
      </c>
      <c r="M23" s="362">
        <f t="shared" si="1"/>
        <v>0</v>
      </c>
    </row>
    <row r="24" spans="1:13" ht="10.25" customHeight="1" x14ac:dyDescent="0.25">
      <c r="A24" s="363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>
        <f t="shared" si="0"/>
        <v>0</v>
      </c>
      <c r="M24" s="365">
        <f t="shared" si="1"/>
        <v>0</v>
      </c>
    </row>
    <row r="25" spans="1:13" ht="10.25" customHeight="1" thickBot="1" x14ac:dyDescent="0.3">
      <c r="A25" s="610"/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>
        <f t="shared" si="0"/>
        <v>0</v>
      </c>
      <c r="M25" s="368">
        <f t="shared" si="1"/>
        <v>0</v>
      </c>
    </row>
    <row r="26" spans="1:13" ht="10.25" customHeight="1" thickBot="1" x14ac:dyDescent="0.3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</row>
    <row r="27" spans="1:13" ht="10.25" customHeight="1" thickBot="1" x14ac:dyDescent="0.3">
      <c r="A27" s="349" t="s">
        <v>1077</v>
      </c>
      <c r="B27" s="350"/>
      <c r="C27" s="350"/>
      <c r="D27" s="350"/>
      <c r="E27" s="350"/>
      <c r="F27" s="351" t="s">
        <v>1149</v>
      </c>
      <c r="G27" s="350" t="s">
        <v>1078</v>
      </c>
      <c r="H27" s="350">
        <v>2000</v>
      </c>
      <c r="I27" s="350"/>
      <c r="J27" s="371" t="s">
        <v>1079</v>
      </c>
      <c r="K27" s="370">
        <f>M27/2</f>
        <v>0</v>
      </c>
      <c r="L27" s="352">
        <f>SUM(L29:L38)</f>
        <v>0</v>
      </c>
      <c r="M27" s="352">
        <f>SUM(M29:M38)</f>
        <v>0</v>
      </c>
    </row>
    <row r="28" spans="1:13" s="353" customFormat="1" ht="10.25" customHeight="1" thickBot="1" x14ac:dyDescent="0.35">
      <c r="A28" s="354" t="s">
        <v>317</v>
      </c>
      <c r="B28" s="355" t="s">
        <v>1066</v>
      </c>
      <c r="C28" s="355" t="s">
        <v>499</v>
      </c>
      <c r="D28" s="355" t="s">
        <v>1067</v>
      </c>
      <c r="E28" s="355" t="s">
        <v>1068</v>
      </c>
      <c r="F28" s="355" t="s">
        <v>1069</v>
      </c>
      <c r="G28" s="355" t="s">
        <v>1070</v>
      </c>
      <c r="H28" s="355" t="s">
        <v>1071</v>
      </c>
      <c r="I28" s="355" t="s">
        <v>1072</v>
      </c>
      <c r="J28" s="355" t="s">
        <v>1073</v>
      </c>
      <c r="K28" s="355" t="s">
        <v>1074</v>
      </c>
      <c r="L28" s="355" t="s">
        <v>1075</v>
      </c>
      <c r="M28" s="356" t="s">
        <v>1076</v>
      </c>
    </row>
    <row r="29" spans="1:13" ht="10.25" customHeight="1" x14ac:dyDescent="0.25">
      <c r="A29" s="357"/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>
        <f t="shared" ref="L29:L38" si="2">C29*B29</f>
        <v>0</v>
      </c>
      <c r="M29" s="359">
        <f t="shared" ref="M29:M38" si="3">D29*B29</f>
        <v>0</v>
      </c>
    </row>
    <row r="30" spans="1:13" ht="10.25" customHeight="1" x14ac:dyDescent="0.25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>
        <f t="shared" si="2"/>
        <v>0</v>
      </c>
      <c r="M30" s="362">
        <f t="shared" si="3"/>
        <v>0</v>
      </c>
    </row>
    <row r="31" spans="1:13" ht="10.25" customHeight="1" x14ac:dyDescent="0.2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>
        <f t="shared" si="2"/>
        <v>0</v>
      </c>
      <c r="M31" s="365">
        <f t="shared" si="3"/>
        <v>0</v>
      </c>
    </row>
    <row r="32" spans="1:13" ht="10.25" customHeight="1" x14ac:dyDescent="0.2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>
        <f t="shared" si="2"/>
        <v>0</v>
      </c>
      <c r="M32" s="362">
        <f t="shared" si="3"/>
        <v>0</v>
      </c>
    </row>
    <row r="33" spans="1:13" ht="10.25" customHeight="1" x14ac:dyDescent="0.25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>
        <f t="shared" si="2"/>
        <v>0</v>
      </c>
      <c r="M33" s="365">
        <f t="shared" si="3"/>
        <v>0</v>
      </c>
    </row>
    <row r="34" spans="1:13" ht="10.25" customHeight="1" x14ac:dyDescent="0.25">
      <c r="A34" s="360"/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>
        <f t="shared" si="2"/>
        <v>0</v>
      </c>
      <c r="M34" s="362">
        <f t="shared" si="3"/>
        <v>0</v>
      </c>
    </row>
    <row r="35" spans="1:13" ht="10.25" customHeight="1" x14ac:dyDescent="0.25">
      <c r="A35" s="363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>
        <f t="shared" si="2"/>
        <v>0</v>
      </c>
      <c r="M35" s="365">
        <f t="shared" si="3"/>
        <v>0</v>
      </c>
    </row>
    <row r="36" spans="1:13" ht="10.25" customHeight="1" x14ac:dyDescent="0.25">
      <c r="A36" s="363"/>
      <c r="B36" s="364"/>
      <c r="C36" s="364"/>
      <c r="D36" s="364"/>
      <c r="E36" s="364"/>
      <c r="F36" s="364"/>
      <c r="G36" s="364"/>
      <c r="H36" s="361"/>
      <c r="I36" s="361"/>
      <c r="J36" s="361"/>
      <c r="K36" s="361"/>
      <c r="L36" s="361">
        <f t="shared" si="2"/>
        <v>0</v>
      </c>
      <c r="M36" s="362">
        <f t="shared" si="3"/>
        <v>0</v>
      </c>
    </row>
    <row r="37" spans="1:13" ht="10.25" customHeight="1" x14ac:dyDescent="0.25">
      <c r="A37" s="363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>
        <f t="shared" si="2"/>
        <v>0</v>
      </c>
      <c r="M37" s="365">
        <f t="shared" si="3"/>
        <v>0</v>
      </c>
    </row>
    <row r="38" spans="1:13" ht="10.25" customHeight="1" thickBot="1" x14ac:dyDescent="0.3">
      <c r="A38" s="366"/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7">
        <f t="shared" si="2"/>
        <v>0</v>
      </c>
      <c r="M38" s="368">
        <f t="shared" si="3"/>
        <v>0</v>
      </c>
    </row>
    <row r="39" spans="1:13" ht="10.25" customHeight="1" thickBot="1" x14ac:dyDescent="0.3">
      <c r="A39" s="369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</row>
    <row r="40" spans="1:13" ht="10.25" customHeight="1" thickBot="1" x14ac:dyDescent="0.3">
      <c r="A40" s="349" t="s">
        <v>1080</v>
      </c>
      <c r="B40" s="350"/>
      <c r="C40" s="350"/>
      <c r="D40" s="350"/>
      <c r="E40" s="350"/>
      <c r="F40" s="351" t="s">
        <v>1620</v>
      </c>
      <c r="G40" s="350" t="s">
        <v>1078</v>
      </c>
      <c r="H40" s="350">
        <v>5000</v>
      </c>
      <c r="I40" s="350"/>
      <c r="J40" s="371" t="s">
        <v>1079</v>
      </c>
      <c r="K40" s="370">
        <f>M40/2</f>
        <v>0</v>
      </c>
      <c r="L40" s="352">
        <f>SUM(L42:L95)</f>
        <v>0</v>
      </c>
      <c r="M40" s="352">
        <f>SUM(M42:M95)</f>
        <v>0</v>
      </c>
    </row>
    <row r="41" spans="1:13" s="353" customFormat="1" ht="10.25" customHeight="1" thickBot="1" x14ac:dyDescent="0.35">
      <c r="A41" s="354" t="s">
        <v>317</v>
      </c>
      <c r="B41" s="355" t="s">
        <v>1066</v>
      </c>
      <c r="C41" s="355" t="s">
        <v>499</v>
      </c>
      <c r="D41" s="355" t="s">
        <v>1067</v>
      </c>
      <c r="E41" s="355" t="s">
        <v>1068</v>
      </c>
      <c r="F41" s="355" t="s">
        <v>1069</v>
      </c>
      <c r="G41" s="355" t="s">
        <v>1070</v>
      </c>
      <c r="H41" s="355" t="s">
        <v>1071</v>
      </c>
      <c r="I41" s="355" t="s">
        <v>1072</v>
      </c>
      <c r="J41" s="355" t="s">
        <v>1073</v>
      </c>
      <c r="K41" s="355" t="s">
        <v>1074</v>
      </c>
      <c r="L41" s="355" t="s">
        <v>1075</v>
      </c>
      <c r="M41" s="356" t="s">
        <v>1076</v>
      </c>
    </row>
    <row r="42" spans="1:13" ht="10.25" customHeight="1" x14ac:dyDescent="0.25">
      <c r="A42" s="357" t="s">
        <v>1415</v>
      </c>
      <c r="B42" s="358">
        <v>16</v>
      </c>
      <c r="C42" s="358">
        <v>0.1</v>
      </c>
      <c r="D42" s="358">
        <v>10</v>
      </c>
      <c r="E42" s="358">
        <v>1</v>
      </c>
      <c r="F42" s="358">
        <v>16</v>
      </c>
      <c r="G42" s="358"/>
      <c r="H42" s="358"/>
      <c r="I42" s="358"/>
      <c r="J42" s="358"/>
      <c r="K42" s="358"/>
      <c r="L42" s="358"/>
      <c r="M42" s="359"/>
    </row>
    <row r="43" spans="1:13" ht="10.25" customHeight="1" x14ac:dyDescent="0.25">
      <c r="A43" s="363" t="s">
        <v>1315</v>
      </c>
      <c r="B43" s="364">
        <v>9</v>
      </c>
      <c r="C43" s="364">
        <v>0.1</v>
      </c>
      <c r="D43" s="364">
        <v>100</v>
      </c>
      <c r="E43" s="364">
        <v>5</v>
      </c>
      <c r="F43" s="364">
        <v>45</v>
      </c>
      <c r="G43" s="364"/>
      <c r="H43" s="364"/>
      <c r="I43" s="364"/>
      <c r="J43" s="364"/>
      <c r="K43" s="364"/>
      <c r="L43" s="364"/>
      <c r="M43" s="365"/>
    </row>
    <row r="44" spans="1:13" ht="10.25" customHeight="1" x14ac:dyDescent="0.25">
      <c r="A44" s="363" t="s">
        <v>1416</v>
      </c>
      <c r="B44" s="364">
        <v>9</v>
      </c>
      <c r="C44" s="364">
        <v>0.01</v>
      </c>
      <c r="D44" s="364">
        <v>10</v>
      </c>
      <c r="E44" s="364"/>
      <c r="F44" s="364"/>
      <c r="G44" s="364"/>
      <c r="H44" s="364"/>
      <c r="I44" s="364"/>
      <c r="J44" s="364"/>
      <c r="K44" s="364"/>
      <c r="L44" s="364"/>
      <c r="M44" s="365"/>
    </row>
    <row r="45" spans="1:13" ht="10.25" customHeight="1" x14ac:dyDescent="0.25">
      <c r="A45" s="363" t="s">
        <v>1417</v>
      </c>
      <c r="B45" s="364">
        <v>9</v>
      </c>
      <c r="C45" s="364">
        <v>0.05</v>
      </c>
      <c r="D45" s="364">
        <v>40</v>
      </c>
      <c r="E45" s="364"/>
      <c r="F45" s="364"/>
      <c r="G45" s="364"/>
      <c r="H45" s="364"/>
      <c r="I45" s="364"/>
      <c r="J45" s="364"/>
      <c r="K45" s="364"/>
      <c r="L45" s="364"/>
      <c r="M45" s="365"/>
    </row>
    <row r="46" spans="1:13" ht="10.25" customHeight="1" x14ac:dyDescent="0.25">
      <c r="A46" s="363" t="s">
        <v>1418</v>
      </c>
      <c r="B46" s="364">
        <v>1</v>
      </c>
      <c r="C46" s="364">
        <v>2</v>
      </c>
      <c r="D46" s="364">
        <v>700</v>
      </c>
      <c r="E46" s="364"/>
      <c r="F46" s="364"/>
      <c r="G46" s="364"/>
      <c r="H46" s="364"/>
      <c r="I46" s="364"/>
      <c r="J46" s="364"/>
      <c r="K46" s="364"/>
      <c r="L46" s="364"/>
      <c r="M46" s="365"/>
    </row>
    <row r="47" spans="1:13" ht="10.25" customHeight="1" x14ac:dyDescent="0.25">
      <c r="A47" s="363" t="s">
        <v>1419</v>
      </c>
      <c r="B47" s="364">
        <v>4</v>
      </c>
      <c r="C47" s="364">
        <v>0.1</v>
      </c>
      <c r="D47" s="364">
        <v>40</v>
      </c>
      <c r="E47" s="364">
        <v>9</v>
      </c>
      <c r="F47" s="364">
        <v>36</v>
      </c>
      <c r="G47" s="364"/>
      <c r="H47" s="364"/>
      <c r="I47" s="364"/>
      <c r="J47" s="364"/>
      <c r="K47" s="364"/>
      <c r="L47" s="364"/>
      <c r="M47" s="365"/>
    </row>
    <row r="48" spans="1:13" ht="10.25" customHeight="1" x14ac:dyDescent="0.25">
      <c r="A48" s="363" t="s">
        <v>1420</v>
      </c>
      <c r="B48" s="364">
        <v>0</v>
      </c>
      <c r="C48" s="364"/>
      <c r="D48" s="364"/>
      <c r="E48" s="364"/>
      <c r="F48" s="364"/>
      <c r="G48" s="364"/>
      <c r="H48" s="364"/>
      <c r="I48" s="364"/>
      <c r="J48" s="364"/>
      <c r="K48" s="364"/>
      <c r="L48" s="364"/>
      <c r="M48" s="365"/>
    </row>
    <row r="49" spans="1:13" ht="10.25" customHeight="1" x14ac:dyDescent="0.25">
      <c r="A49" s="363" t="s">
        <v>1421</v>
      </c>
      <c r="B49" s="364"/>
      <c r="C49" s="364">
        <v>0.1</v>
      </c>
      <c r="D49" s="364">
        <v>100</v>
      </c>
      <c r="E49" s="364"/>
      <c r="F49" s="364"/>
      <c r="G49" s="364"/>
      <c r="H49" s="364"/>
      <c r="I49" s="364"/>
      <c r="J49" s="364"/>
      <c r="K49" s="364"/>
      <c r="L49" s="364"/>
      <c r="M49" s="365"/>
    </row>
    <row r="50" spans="1:13" ht="10.25" customHeight="1" x14ac:dyDescent="0.25">
      <c r="A50" s="363" t="s">
        <v>1422</v>
      </c>
      <c r="B50" s="364">
        <v>1</v>
      </c>
      <c r="C50" s="364">
        <v>4</v>
      </c>
      <c r="D50" s="364">
        <v>1000</v>
      </c>
      <c r="E50" s="364"/>
      <c r="F50" s="364"/>
      <c r="G50" s="364"/>
      <c r="H50" s="364"/>
      <c r="I50" s="364"/>
      <c r="J50" s="364"/>
      <c r="K50" s="364"/>
      <c r="L50" s="364"/>
      <c r="M50" s="365"/>
    </row>
    <row r="51" spans="1:13" ht="10.25" customHeight="1" x14ac:dyDescent="0.25">
      <c r="A51" s="363" t="s">
        <v>1423</v>
      </c>
      <c r="B51" s="364">
        <v>5</v>
      </c>
      <c r="C51" s="364">
        <v>0.2</v>
      </c>
      <c r="D51" s="364">
        <v>200</v>
      </c>
      <c r="E51" s="364"/>
      <c r="F51" s="364"/>
      <c r="G51" s="364"/>
      <c r="H51" s="364"/>
      <c r="I51" s="364"/>
      <c r="J51" s="364"/>
      <c r="K51" s="364"/>
      <c r="L51" s="364"/>
      <c r="M51" s="365"/>
    </row>
    <row r="52" spans="1:13" ht="10.25" customHeight="1" x14ac:dyDescent="0.25">
      <c r="A52" s="363" t="s">
        <v>1424</v>
      </c>
      <c r="B52" s="364">
        <v>20</v>
      </c>
      <c r="C52" s="364">
        <v>0.01</v>
      </c>
      <c r="D52" s="364">
        <v>10</v>
      </c>
      <c r="E52" s="364">
        <v>3</v>
      </c>
      <c r="F52" s="364">
        <v>60</v>
      </c>
      <c r="G52" s="364"/>
      <c r="H52" s="364"/>
      <c r="I52" s="364"/>
      <c r="J52" s="364"/>
      <c r="K52" s="364"/>
      <c r="L52" s="364"/>
      <c r="M52" s="365"/>
    </row>
    <row r="53" spans="1:13" ht="10.25" customHeight="1" x14ac:dyDescent="0.25">
      <c r="A53" s="363" t="s">
        <v>1425</v>
      </c>
      <c r="B53" s="364">
        <v>5</v>
      </c>
      <c r="C53" s="364">
        <v>0.01</v>
      </c>
      <c r="D53" s="364">
        <v>10</v>
      </c>
      <c r="E53" s="364">
        <v>4</v>
      </c>
      <c r="F53" s="364">
        <v>20</v>
      </c>
      <c r="G53" s="364"/>
      <c r="H53" s="364"/>
      <c r="I53" s="364"/>
      <c r="J53" s="364"/>
      <c r="K53" s="364"/>
      <c r="L53" s="364"/>
      <c r="M53" s="365"/>
    </row>
    <row r="54" spans="1:13" ht="10.25" customHeight="1" x14ac:dyDescent="0.25">
      <c r="A54" s="363" t="s">
        <v>1426</v>
      </c>
      <c r="B54" s="364">
        <v>0</v>
      </c>
      <c r="C54" s="364">
        <v>0.1</v>
      </c>
      <c r="D54" s="364">
        <v>50</v>
      </c>
      <c r="E54" s="364"/>
      <c r="F54" s="364"/>
      <c r="G54" s="364"/>
      <c r="H54" s="364"/>
      <c r="I54" s="364"/>
      <c r="J54" s="364"/>
      <c r="K54" s="364"/>
      <c r="L54" s="364"/>
      <c r="M54" s="365"/>
    </row>
    <row r="55" spans="1:13" ht="10.25" customHeight="1" x14ac:dyDescent="0.25">
      <c r="A55" s="363" t="s">
        <v>1427</v>
      </c>
      <c r="B55" s="364">
        <v>1</v>
      </c>
      <c r="C55" s="364">
        <v>0.2</v>
      </c>
      <c r="D55" s="364">
        <v>1200</v>
      </c>
      <c r="E55" s="364">
        <v>15</v>
      </c>
      <c r="F55" s="364">
        <v>15</v>
      </c>
      <c r="G55" s="364"/>
      <c r="H55" s="364"/>
      <c r="I55" s="364"/>
      <c r="J55" s="364"/>
      <c r="K55" s="364"/>
      <c r="L55" s="364"/>
      <c r="M55" s="365"/>
    </row>
    <row r="56" spans="1:13" ht="10.25" customHeight="1" x14ac:dyDescent="0.25">
      <c r="A56" s="363" t="s">
        <v>1428</v>
      </c>
      <c r="B56" s="364">
        <v>2</v>
      </c>
      <c r="C56" s="364">
        <v>0.1</v>
      </c>
      <c r="D56" s="364">
        <v>1500</v>
      </c>
      <c r="E56" s="364">
        <v>80</v>
      </c>
      <c r="F56" s="364">
        <v>160</v>
      </c>
      <c r="G56" s="364"/>
      <c r="H56" s="364"/>
      <c r="I56" s="364"/>
      <c r="J56" s="364"/>
      <c r="K56" s="364"/>
      <c r="L56" s="364"/>
      <c r="M56" s="365"/>
    </row>
    <row r="57" spans="1:13" ht="10.25" customHeight="1" x14ac:dyDescent="0.25">
      <c r="A57" s="363" t="s">
        <v>1429</v>
      </c>
      <c r="B57" s="364">
        <v>5</v>
      </c>
      <c r="C57" s="364">
        <v>3</v>
      </c>
      <c r="D57" s="364">
        <v>500</v>
      </c>
      <c r="E57" s="364">
        <v>0</v>
      </c>
      <c r="F57" s="364">
        <v>0</v>
      </c>
      <c r="G57" s="364"/>
      <c r="H57" s="364"/>
      <c r="I57" s="364"/>
      <c r="J57" s="364"/>
      <c r="K57" s="364"/>
      <c r="L57" s="364"/>
      <c r="M57" s="365"/>
    </row>
    <row r="58" spans="1:13" ht="10.25" customHeight="1" x14ac:dyDescent="0.25">
      <c r="A58" s="360" t="s">
        <v>1430</v>
      </c>
      <c r="B58" s="361">
        <v>3</v>
      </c>
      <c r="C58" s="361">
        <v>1</v>
      </c>
      <c r="D58" s="361">
        <v>200</v>
      </c>
      <c r="E58" s="361"/>
      <c r="F58" s="361"/>
      <c r="G58" s="361"/>
      <c r="H58" s="361"/>
      <c r="I58" s="361"/>
      <c r="J58" s="361"/>
      <c r="K58" s="361"/>
      <c r="L58" s="361"/>
      <c r="M58" s="362"/>
    </row>
    <row r="59" spans="1:13" ht="10.25" customHeight="1" x14ac:dyDescent="0.25">
      <c r="A59" s="360" t="s">
        <v>1412</v>
      </c>
      <c r="B59" s="361"/>
      <c r="C59" s="361">
        <v>0.1</v>
      </c>
      <c r="D59" s="361">
        <v>200</v>
      </c>
      <c r="E59" s="361"/>
      <c r="F59" s="361"/>
      <c r="G59" s="361"/>
      <c r="H59" s="361"/>
      <c r="I59" s="361"/>
      <c r="J59" s="361"/>
      <c r="K59" s="361"/>
      <c r="L59" s="361"/>
      <c r="M59" s="362"/>
    </row>
    <row r="60" spans="1:13" ht="10.25" customHeight="1" x14ac:dyDescent="0.25">
      <c r="A60" s="360" t="s">
        <v>1431</v>
      </c>
      <c r="B60" s="361">
        <v>2</v>
      </c>
      <c r="C60" s="361">
        <v>0.4</v>
      </c>
      <c r="D60" s="361">
        <v>200</v>
      </c>
      <c r="E60" s="361">
        <v>40</v>
      </c>
      <c r="F60" s="361">
        <v>80</v>
      </c>
      <c r="G60" s="361"/>
      <c r="H60" s="361"/>
      <c r="I60" s="361"/>
      <c r="J60" s="361"/>
      <c r="K60" s="361"/>
      <c r="L60" s="361"/>
      <c r="M60" s="362"/>
    </row>
    <row r="61" spans="1:13" ht="10.25" customHeight="1" x14ac:dyDescent="0.25">
      <c r="A61" s="360" t="s">
        <v>1432</v>
      </c>
      <c r="B61" s="361">
        <v>1</v>
      </c>
      <c r="C61" s="361">
        <v>0.5</v>
      </c>
      <c r="D61" s="361">
        <v>50</v>
      </c>
      <c r="E61" s="361"/>
      <c r="F61" s="361">
        <v>0</v>
      </c>
      <c r="G61" s="361"/>
      <c r="H61" s="361"/>
      <c r="I61" s="361"/>
      <c r="J61" s="361"/>
      <c r="K61" s="361"/>
      <c r="L61" s="361"/>
      <c r="M61" s="362"/>
    </row>
    <row r="62" spans="1:13" ht="10.25" customHeight="1" x14ac:dyDescent="0.25">
      <c r="A62" s="360" t="s">
        <v>1433</v>
      </c>
      <c r="B62" s="361">
        <v>1</v>
      </c>
      <c r="C62" s="361">
        <v>1</v>
      </c>
      <c r="D62" s="361">
        <v>400</v>
      </c>
      <c r="E62" s="361"/>
      <c r="F62" s="361">
        <v>0</v>
      </c>
      <c r="G62" s="361"/>
      <c r="H62" s="361"/>
      <c r="I62" s="361"/>
      <c r="J62" s="361"/>
      <c r="K62" s="361"/>
      <c r="L62" s="361"/>
      <c r="M62" s="362"/>
    </row>
    <row r="63" spans="1:13" ht="10.25" customHeight="1" x14ac:dyDescent="0.25">
      <c r="A63" s="360" t="s">
        <v>1434</v>
      </c>
      <c r="B63" s="361">
        <v>8</v>
      </c>
      <c r="C63" s="361">
        <v>0.1</v>
      </c>
      <c r="D63" s="361">
        <v>10</v>
      </c>
      <c r="E63" s="361">
        <v>5</v>
      </c>
      <c r="F63" s="361">
        <v>40</v>
      </c>
      <c r="G63" s="361"/>
      <c r="H63" s="361"/>
      <c r="I63" s="361"/>
      <c r="J63" s="361"/>
      <c r="K63" s="361"/>
      <c r="L63" s="361"/>
      <c r="M63" s="362"/>
    </row>
    <row r="64" spans="1:13" ht="10.25" customHeight="1" x14ac:dyDescent="0.25">
      <c r="A64" s="360" t="s">
        <v>1435</v>
      </c>
      <c r="B64" s="361">
        <v>2</v>
      </c>
      <c r="C64" s="361">
        <v>1</v>
      </c>
      <c r="D64" s="361">
        <v>300</v>
      </c>
      <c r="E64" s="361">
        <v>0</v>
      </c>
      <c r="F64" s="361">
        <v>0</v>
      </c>
      <c r="G64" s="361"/>
      <c r="H64" s="361"/>
      <c r="I64" s="361"/>
      <c r="J64" s="361"/>
      <c r="K64" s="361"/>
      <c r="L64" s="361"/>
      <c r="M64" s="362"/>
    </row>
    <row r="65" spans="1:13" ht="10.25" customHeight="1" x14ac:dyDescent="0.25">
      <c r="A65" s="360" t="s">
        <v>1436</v>
      </c>
      <c r="B65" s="361">
        <v>1</v>
      </c>
      <c r="C65" s="361">
        <v>0.3</v>
      </c>
      <c r="D65" s="361">
        <v>300</v>
      </c>
      <c r="E65" s="361"/>
      <c r="F65" s="361">
        <v>0</v>
      </c>
      <c r="G65" s="361"/>
      <c r="H65" s="361"/>
      <c r="I65" s="361"/>
      <c r="J65" s="361"/>
      <c r="K65" s="361"/>
      <c r="L65" s="361"/>
      <c r="M65" s="362"/>
    </row>
    <row r="66" spans="1:13" ht="10.25" customHeight="1" x14ac:dyDescent="0.25">
      <c r="A66" s="360" t="s">
        <v>1437</v>
      </c>
      <c r="B66" s="361">
        <v>4</v>
      </c>
      <c r="C66" s="361">
        <v>3</v>
      </c>
      <c r="D66" s="361">
        <v>300</v>
      </c>
      <c r="E66" s="361">
        <v>25</v>
      </c>
      <c r="F66" s="361">
        <v>100</v>
      </c>
      <c r="G66" s="361"/>
      <c r="H66" s="361"/>
      <c r="I66" s="361"/>
      <c r="J66" s="361"/>
      <c r="K66" s="361"/>
      <c r="L66" s="361"/>
      <c r="M66" s="362"/>
    </row>
    <row r="67" spans="1:13" ht="10.25" customHeight="1" x14ac:dyDescent="0.25">
      <c r="A67" s="360" t="s">
        <v>1438</v>
      </c>
      <c r="B67" s="361">
        <v>9</v>
      </c>
      <c r="C67" s="361">
        <v>0.1</v>
      </c>
      <c r="D67" s="361">
        <v>30</v>
      </c>
      <c r="E67" s="361">
        <v>7</v>
      </c>
      <c r="F67" s="361">
        <v>91</v>
      </c>
      <c r="G67" s="361"/>
      <c r="H67" s="361"/>
      <c r="I67" s="361"/>
      <c r="J67" s="361"/>
      <c r="K67" s="361"/>
      <c r="L67" s="361"/>
      <c r="M67" s="362"/>
    </row>
    <row r="68" spans="1:13" ht="10.25" customHeight="1" x14ac:dyDescent="0.25">
      <c r="A68" s="360" t="s">
        <v>1439</v>
      </c>
      <c r="B68" s="361">
        <v>10</v>
      </c>
      <c r="C68" s="361">
        <v>0.01</v>
      </c>
      <c r="D68" s="361">
        <v>50</v>
      </c>
      <c r="E68" s="361"/>
      <c r="F68" s="361"/>
      <c r="G68" s="361"/>
      <c r="H68" s="361"/>
      <c r="I68" s="361"/>
      <c r="J68" s="361"/>
      <c r="K68" s="361"/>
      <c r="L68" s="361"/>
      <c r="M68" s="362"/>
    </row>
    <row r="69" spans="1:13" ht="10.25" customHeight="1" x14ac:dyDescent="0.25">
      <c r="A69" s="360" t="s">
        <v>1440</v>
      </c>
      <c r="B69" s="361">
        <v>1</v>
      </c>
      <c r="C69" s="361">
        <v>2</v>
      </c>
      <c r="D69" s="361">
        <v>500</v>
      </c>
      <c r="E69" s="361"/>
      <c r="F69" s="361"/>
      <c r="G69" s="361"/>
      <c r="H69" s="361"/>
      <c r="I69" s="361"/>
      <c r="J69" s="361"/>
      <c r="K69" s="361"/>
      <c r="L69" s="361"/>
      <c r="M69" s="362"/>
    </row>
    <row r="70" spans="1:13" ht="10.25" customHeight="1" x14ac:dyDescent="0.25">
      <c r="A70" s="360" t="s">
        <v>1441</v>
      </c>
      <c r="B70" s="361">
        <v>1</v>
      </c>
      <c r="C70" s="361">
        <v>1</v>
      </c>
      <c r="D70" s="361">
        <v>300</v>
      </c>
      <c r="E70" s="361">
        <v>30</v>
      </c>
      <c r="F70" s="361">
        <v>30</v>
      </c>
      <c r="G70" s="361"/>
      <c r="H70" s="361"/>
      <c r="I70" s="361"/>
      <c r="J70" s="361"/>
      <c r="K70" s="361"/>
      <c r="L70" s="361"/>
      <c r="M70" s="362"/>
    </row>
    <row r="71" spans="1:13" ht="10.25" customHeight="1" x14ac:dyDescent="0.25">
      <c r="A71" s="360" t="s">
        <v>1442</v>
      </c>
      <c r="B71" s="361">
        <v>3</v>
      </c>
      <c r="C71" s="361">
        <v>2</v>
      </c>
      <c r="D71" s="361">
        <v>300</v>
      </c>
      <c r="E71" s="361"/>
      <c r="F71" s="361"/>
      <c r="G71" s="361"/>
      <c r="H71" s="361"/>
      <c r="I71" s="361"/>
      <c r="J71" s="361"/>
      <c r="K71" s="361"/>
      <c r="L71" s="361"/>
      <c r="M71" s="362"/>
    </row>
    <row r="72" spans="1:13" ht="10.25" customHeight="1" x14ac:dyDescent="0.25">
      <c r="A72" s="360" t="s">
        <v>1443</v>
      </c>
      <c r="B72" s="361">
        <v>4</v>
      </c>
      <c r="C72" s="361">
        <v>0.1</v>
      </c>
      <c r="D72" s="361">
        <v>50</v>
      </c>
      <c r="E72" s="361"/>
      <c r="F72" s="361"/>
      <c r="G72" s="361"/>
      <c r="H72" s="361"/>
      <c r="I72" s="361"/>
      <c r="J72" s="361"/>
      <c r="K72" s="361"/>
      <c r="L72" s="361"/>
      <c r="M72" s="362"/>
    </row>
    <row r="73" spans="1:13" ht="10.25" customHeight="1" x14ac:dyDescent="0.25">
      <c r="A73" s="360" t="s">
        <v>1444</v>
      </c>
      <c r="B73" s="361">
        <v>8</v>
      </c>
      <c r="C73" s="361">
        <v>1.5</v>
      </c>
      <c r="D73" s="361">
        <v>600</v>
      </c>
      <c r="E73" s="361"/>
      <c r="F73" s="361"/>
      <c r="G73" s="361"/>
      <c r="H73" s="361"/>
      <c r="I73" s="361"/>
      <c r="J73" s="361"/>
      <c r="K73" s="361"/>
      <c r="L73" s="361"/>
      <c r="M73" s="362"/>
    </row>
    <row r="74" spans="1:13" ht="10.25" customHeight="1" x14ac:dyDescent="0.25">
      <c r="A74" s="360" t="s">
        <v>1445</v>
      </c>
      <c r="B74" s="361">
        <v>4</v>
      </c>
      <c r="C74" s="361">
        <v>1</v>
      </c>
      <c r="D74" s="361">
        <v>200</v>
      </c>
      <c r="E74" s="361"/>
      <c r="F74" s="361"/>
      <c r="G74" s="361"/>
      <c r="H74" s="361"/>
      <c r="I74" s="361"/>
      <c r="J74" s="361"/>
      <c r="K74" s="361"/>
      <c r="L74" s="361"/>
      <c r="M74" s="362"/>
    </row>
    <row r="75" spans="1:13" ht="10.25" customHeight="1" x14ac:dyDescent="0.25">
      <c r="A75" s="360" t="s">
        <v>1446</v>
      </c>
      <c r="B75" s="361">
        <v>2</v>
      </c>
      <c r="C75" s="361">
        <v>0.3</v>
      </c>
      <c r="D75" s="361">
        <v>150</v>
      </c>
      <c r="E75" s="361">
        <v>0</v>
      </c>
      <c r="F75" s="361">
        <v>0</v>
      </c>
      <c r="G75" s="361"/>
      <c r="H75" s="361"/>
      <c r="I75" s="361"/>
      <c r="J75" s="361"/>
      <c r="K75" s="361"/>
      <c r="L75" s="361"/>
      <c r="M75" s="362"/>
    </row>
    <row r="76" spans="1:13" ht="10.25" customHeight="1" x14ac:dyDescent="0.25">
      <c r="A76" s="360" t="s">
        <v>1447</v>
      </c>
      <c r="B76" s="361">
        <v>2</v>
      </c>
      <c r="C76" s="361">
        <v>0.2</v>
      </c>
      <c r="D76" s="361">
        <v>100</v>
      </c>
      <c r="E76" s="361">
        <v>0</v>
      </c>
      <c r="F76" s="361">
        <v>0</v>
      </c>
      <c r="G76" s="361"/>
      <c r="H76" s="361"/>
      <c r="I76" s="361"/>
      <c r="J76" s="361"/>
      <c r="K76" s="361"/>
      <c r="L76" s="361"/>
      <c r="M76" s="362"/>
    </row>
    <row r="77" spans="1:13" ht="10.25" customHeight="1" x14ac:dyDescent="0.25">
      <c r="A77" s="360" t="s">
        <v>1448</v>
      </c>
      <c r="B77" s="361">
        <v>2</v>
      </c>
      <c r="C77" s="361">
        <v>1</v>
      </c>
      <c r="D77" s="361">
        <v>500</v>
      </c>
      <c r="E77" s="361"/>
      <c r="F77" s="361"/>
      <c r="G77" s="361"/>
      <c r="H77" s="361"/>
      <c r="I77" s="361"/>
      <c r="J77" s="361"/>
      <c r="K77" s="361"/>
      <c r="L77" s="361"/>
      <c r="M77" s="362"/>
    </row>
    <row r="78" spans="1:13" ht="10.25" customHeight="1" x14ac:dyDescent="0.25">
      <c r="A78" s="360" t="s">
        <v>1449</v>
      </c>
      <c r="B78" s="361">
        <v>1</v>
      </c>
      <c r="C78" s="361">
        <v>0.5</v>
      </c>
      <c r="D78" s="361">
        <v>300</v>
      </c>
      <c r="E78" s="361"/>
      <c r="F78" s="361"/>
      <c r="G78" s="361"/>
      <c r="H78" s="361"/>
      <c r="I78" s="361"/>
      <c r="J78" s="361"/>
      <c r="K78" s="361"/>
      <c r="L78" s="361"/>
      <c r="M78" s="362"/>
    </row>
    <row r="79" spans="1:13" ht="10.25" customHeight="1" x14ac:dyDescent="0.25">
      <c r="A79" s="360" t="s">
        <v>1450</v>
      </c>
      <c r="B79" s="361">
        <v>1</v>
      </c>
      <c r="C79" s="361">
        <v>0.5</v>
      </c>
      <c r="D79" s="361">
        <v>800</v>
      </c>
      <c r="E79" s="361">
        <v>40</v>
      </c>
      <c r="F79" s="361">
        <v>40</v>
      </c>
      <c r="G79" s="361"/>
      <c r="H79" s="361"/>
      <c r="I79" s="361"/>
      <c r="J79" s="361"/>
      <c r="K79" s="361"/>
      <c r="L79" s="361"/>
      <c r="M79" s="362"/>
    </row>
    <row r="80" spans="1:13" ht="10.25" customHeight="1" x14ac:dyDescent="0.25">
      <c r="A80" s="360" t="s">
        <v>1451</v>
      </c>
      <c r="B80" s="361">
        <v>2</v>
      </c>
      <c r="C80" s="361">
        <v>5</v>
      </c>
      <c r="D80" s="361">
        <v>1000</v>
      </c>
      <c r="E80" s="361">
        <v>100</v>
      </c>
      <c r="F80" s="361">
        <v>200</v>
      </c>
      <c r="G80" s="361"/>
      <c r="H80" s="361"/>
      <c r="I80" s="361"/>
      <c r="J80" s="361"/>
      <c r="K80" s="361"/>
      <c r="L80" s="361"/>
      <c r="M80" s="362"/>
    </row>
    <row r="81" spans="1:13" ht="10.25" customHeight="1" x14ac:dyDescent="0.25">
      <c r="A81" s="360" t="s">
        <v>1452</v>
      </c>
      <c r="B81" s="361">
        <v>10</v>
      </c>
      <c r="C81" s="361">
        <v>0.01</v>
      </c>
      <c r="D81" s="361">
        <v>10</v>
      </c>
      <c r="E81" s="361"/>
      <c r="F81" s="361"/>
      <c r="G81" s="361"/>
      <c r="H81" s="361"/>
      <c r="I81" s="361"/>
      <c r="J81" s="361"/>
      <c r="K81" s="361"/>
      <c r="L81" s="361"/>
      <c r="M81" s="362"/>
    </row>
    <row r="82" spans="1:13" ht="10.25" customHeight="1" x14ac:dyDescent="0.25">
      <c r="A82" s="360" t="s">
        <v>1453</v>
      </c>
      <c r="B82" s="361">
        <v>12</v>
      </c>
      <c r="C82" s="361">
        <v>0.01</v>
      </c>
      <c r="D82" s="361">
        <v>10</v>
      </c>
      <c r="E82" s="361"/>
      <c r="F82" s="361"/>
      <c r="G82" s="361"/>
      <c r="H82" s="361"/>
      <c r="I82" s="361"/>
      <c r="J82" s="361"/>
      <c r="K82" s="361"/>
      <c r="L82" s="361"/>
      <c r="M82" s="362"/>
    </row>
    <row r="83" spans="1:13" ht="10.25" customHeight="1" x14ac:dyDescent="0.25">
      <c r="A83" s="360" t="s">
        <v>1454</v>
      </c>
      <c r="B83" s="361">
        <v>5</v>
      </c>
      <c r="C83" s="361">
        <v>1</v>
      </c>
      <c r="D83" s="361">
        <v>100</v>
      </c>
      <c r="E83" s="361">
        <v>5</v>
      </c>
      <c r="F83" s="361">
        <v>25</v>
      </c>
      <c r="G83" s="361"/>
      <c r="H83" s="361"/>
      <c r="I83" s="361"/>
      <c r="J83" s="361"/>
      <c r="K83" s="361"/>
      <c r="L83" s="361"/>
      <c r="M83" s="362"/>
    </row>
    <row r="84" spans="1:13" ht="10.25" customHeight="1" x14ac:dyDescent="0.25">
      <c r="A84" s="360" t="s">
        <v>1410</v>
      </c>
      <c r="B84" s="361">
        <v>9</v>
      </c>
      <c r="C84" s="361"/>
      <c r="D84" s="361"/>
      <c r="E84" s="361"/>
      <c r="F84" s="361"/>
      <c r="G84" s="361"/>
      <c r="H84" s="361"/>
      <c r="I84" s="361"/>
      <c r="J84" s="361"/>
      <c r="K84" s="361"/>
      <c r="L84" s="361"/>
      <c r="M84" s="362"/>
    </row>
    <row r="85" spans="1:13" ht="10.25" customHeight="1" x14ac:dyDescent="0.25">
      <c r="A85" s="360" t="s">
        <v>1455</v>
      </c>
      <c r="B85" s="361">
        <v>4</v>
      </c>
      <c r="C85" s="361">
        <v>2</v>
      </c>
      <c r="D85" s="361">
        <v>500</v>
      </c>
      <c r="E85" s="361"/>
      <c r="F85" s="361"/>
      <c r="G85" s="361"/>
      <c r="H85" s="361"/>
      <c r="I85" s="361"/>
      <c r="J85" s="361"/>
      <c r="K85" s="361"/>
      <c r="L85" s="361"/>
      <c r="M85" s="362"/>
    </row>
    <row r="86" spans="1:13" ht="10.25" customHeight="1" x14ac:dyDescent="0.25">
      <c r="A86" s="360" t="s">
        <v>1456</v>
      </c>
      <c r="B86" s="361">
        <v>1</v>
      </c>
      <c r="C86" s="361">
        <v>1</v>
      </c>
      <c r="D86" s="361">
        <v>100</v>
      </c>
      <c r="E86" s="361"/>
      <c r="F86" s="361"/>
      <c r="G86" s="361"/>
      <c r="H86" s="361"/>
      <c r="I86" s="361"/>
      <c r="J86" s="361"/>
      <c r="K86" s="361"/>
      <c r="L86" s="361"/>
      <c r="M86" s="362"/>
    </row>
    <row r="87" spans="1:13" ht="10.25" customHeight="1" x14ac:dyDescent="0.25">
      <c r="A87" s="360" t="s">
        <v>1471</v>
      </c>
      <c r="B87" s="360">
        <v>4</v>
      </c>
      <c r="C87" s="360">
        <v>1.5</v>
      </c>
      <c r="D87" s="360">
        <v>1000</v>
      </c>
      <c r="E87" s="360">
        <v>30</v>
      </c>
      <c r="F87" s="361"/>
      <c r="G87" s="361"/>
      <c r="H87" s="361"/>
      <c r="I87" s="361"/>
      <c r="J87" s="361"/>
      <c r="K87" s="361"/>
      <c r="L87" s="361"/>
      <c r="M87" s="362"/>
    </row>
    <row r="88" spans="1:13" ht="10.25" customHeight="1" x14ac:dyDescent="0.25">
      <c r="A88" s="360" t="s">
        <v>1472</v>
      </c>
      <c r="B88" s="360">
        <v>4</v>
      </c>
      <c r="C88" s="360">
        <v>1.2</v>
      </c>
      <c r="D88" s="360">
        <v>700</v>
      </c>
      <c r="E88" s="360">
        <v>20</v>
      </c>
      <c r="F88" s="364"/>
      <c r="G88" s="364"/>
      <c r="H88" s="364"/>
      <c r="I88" s="364"/>
      <c r="J88" s="364"/>
      <c r="K88" s="364"/>
      <c r="L88" s="364"/>
      <c r="M88" s="365"/>
    </row>
    <row r="89" spans="1:13" ht="10.25" customHeight="1" x14ac:dyDescent="0.25">
      <c r="A89" s="360" t="s">
        <v>1473</v>
      </c>
      <c r="B89" s="360">
        <v>4</v>
      </c>
      <c r="C89" s="360">
        <v>1.5</v>
      </c>
      <c r="D89" s="360">
        <v>800</v>
      </c>
      <c r="E89" s="360">
        <v>10</v>
      </c>
      <c r="F89" s="361"/>
      <c r="G89" s="361"/>
      <c r="H89" s="361"/>
      <c r="I89" s="361"/>
      <c r="J89" s="361"/>
      <c r="K89" s="361"/>
      <c r="L89" s="361"/>
      <c r="M89" s="362"/>
    </row>
    <row r="90" spans="1:13" ht="10.25" customHeight="1" x14ac:dyDescent="0.25">
      <c r="A90" s="363"/>
      <c r="B90" s="364"/>
      <c r="C90" s="364"/>
      <c r="D90" s="364"/>
      <c r="E90" s="364"/>
      <c r="F90" s="364"/>
      <c r="G90" s="364"/>
      <c r="H90" s="364"/>
      <c r="I90" s="364"/>
      <c r="J90" s="364"/>
      <c r="K90" s="364"/>
      <c r="L90" s="364">
        <f t="shared" ref="L90:L95" si="4">C90*B90</f>
        <v>0</v>
      </c>
      <c r="M90" s="365">
        <f t="shared" ref="M90:M95" si="5">D90*B90</f>
        <v>0</v>
      </c>
    </row>
    <row r="91" spans="1:13" ht="10.25" customHeight="1" x14ac:dyDescent="0.25">
      <c r="A91" s="360"/>
      <c r="B91" s="361"/>
      <c r="C91" s="361"/>
      <c r="D91" s="361"/>
      <c r="E91" s="361"/>
      <c r="F91" s="361"/>
      <c r="G91" s="361"/>
      <c r="H91" s="361"/>
      <c r="I91" s="361"/>
      <c r="J91" s="361"/>
      <c r="K91" s="361"/>
      <c r="L91" s="361">
        <f t="shared" si="4"/>
        <v>0</v>
      </c>
      <c r="M91" s="362">
        <f t="shared" si="5"/>
        <v>0</v>
      </c>
    </row>
    <row r="92" spans="1:13" ht="10.25" customHeight="1" x14ac:dyDescent="0.25">
      <c r="A92" s="363"/>
      <c r="B92" s="364"/>
      <c r="C92" s="364"/>
      <c r="D92" s="364"/>
      <c r="E92" s="364"/>
      <c r="F92" s="364"/>
      <c r="G92" s="364"/>
      <c r="H92" s="364"/>
      <c r="I92" s="364"/>
      <c r="J92" s="364"/>
      <c r="K92" s="364"/>
      <c r="L92" s="364">
        <f t="shared" si="4"/>
        <v>0</v>
      </c>
      <c r="M92" s="365">
        <f t="shared" si="5"/>
        <v>0</v>
      </c>
    </row>
    <row r="93" spans="1:13" ht="10.25" customHeight="1" x14ac:dyDescent="0.25">
      <c r="A93" s="360"/>
      <c r="B93" s="361"/>
      <c r="C93" s="361"/>
      <c r="D93" s="361"/>
      <c r="E93" s="361"/>
      <c r="F93" s="361"/>
      <c r="G93" s="361"/>
      <c r="H93" s="361"/>
      <c r="I93" s="361"/>
      <c r="J93" s="361"/>
      <c r="K93" s="361"/>
      <c r="L93" s="361">
        <f t="shared" si="4"/>
        <v>0</v>
      </c>
      <c r="M93" s="362">
        <f t="shared" si="5"/>
        <v>0</v>
      </c>
    </row>
    <row r="94" spans="1:13" ht="10.25" customHeight="1" x14ac:dyDescent="0.25">
      <c r="A94" s="363"/>
      <c r="B94" s="364"/>
      <c r="C94" s="364"/>
      <c r="D94" s="364"/>
      <c r="E94" s="364"/>
      <c r="F94" s="364"/>
      <c r="G94" s="364"/>
      <c r="H94" s="364"/>
      <c r="I94" s="364"/>
      <c r="J94" s="364"/>
      <c r="K94" s="364"/>
      <c r="L94" s="364">
        <f t="shared" si="4"/>
        <v>0</v>
      </c>
      <c r="M94" s="365">
        <f t="shared" si="5"/>
        <v>0</v>
      </c>
    </row>
    <row r="95" spans="1:13" ht="10.25" customHeight="1" thickBot="1" x14ac:dyDescent="0.3">
      <c r="A95" s="366"/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367">
        <f t="shared" si="4"/>
        <v>0</v>
      </c>
      <c r="M95" s="368">
        <f t="shared" si="5"/>
        <v>0</v>
      </c>
    </row>
    <row r="96" spans="1:13" ht="10.25" customHeight="1" thickBot="1" x14ac:dyDescent="0.3">
      <c r="A96" s="369"/>
      <c r="B96" s="369"/>
      <c r="C96" s="369"/>
      <c r="D96" s="369"/>
      <c r="E96" s="369"/>
      <c r="F96" s="369"/>
      <c r="G96" s="369"/>
      <c r="H96" s="369"/>
      <c r="I96" s="369"/>
      <c r="J96" s="369"/>
      <c r="K96" s="369"/>
      <c r="L96" s="369"/>
      <c r="M96" s="369"/>
    </row>
    <row r="97" spans="1:13" ht="10.25" customHeight="1" thickBot="1" x14ac:dyDescent="0.3">
      <c r="A97" s="349" t="s">
        <v>1081</v>
      </c>
      <c r="B97" s="350"/>
      <c r="C97" s="350"/>
      <c r="D97" s="350"/>
      <c r="E97" s="350"/>
      <c r="F97" s="370" t="s">
        <v>1125</v>
      </c>
      <c r="G97" s="350" t="s">
        <v>1078</v>
      </c>
      <c r="H97" s="350">
        <v>20000</v>
      </c>
      <c r="I97" s="350"/>
      <c r="J97" s="371" t="s">
        <v>1079</v>
      </c>
      <c r="K97" s="370">
        <f>M97/2</f>
        <v>3650</v>
      </c>
      <c r="L97" s="352">
        <f>SUM(L99:L116)</f>
        <v>21.3</v>
      </c>
      <c r="M97" s="352">
        <f>SUM(M99:M116)</f>
        <v>7300</v>
      </c>
    </row>
    <row r="98" spans="1:13" s="353" customFormat="1" ht="10.25" customHeight="1" thickBot="1" x14ac:dyDescent="0.35">
      <c r="A98" s="354" t="s">
        <v>317</v>
      </c>
      <c r="B98" s="355" t="s">
        <v>1066</v>
      </c>
      <c r="C98" s="355" t="s">
        <v>499</v>
      </c>
      <c r="D98" s="355" t="s">
        <v>1067</v>
      </c>
      <c r="E98" s="355" t="s">
        <v>1068</v>
      </c>
      <c r="F98" s="355" t="s">
        <v>1069</v>
      </c>
      <c r="G98" s="355" t="s">
        <v>1070</v>
      </c>
      <c r="H98" s="355" t="s">
        <v>1071</v>
      </c>
      <c r="I98" s="355" t="s">
        <v>1072</v>
      </c>
      <c r="J98" s="355" t="s">
        <v>1073</v>
      </c>
      <c r="K98" s="355" t="s">
        <v>1074</v>
      </c>
      <c r="L98" s="355" t="s">
        <v>1075</v>
      </c>
      <c r="M98" s="356" t="s">
        <v>1076</v>
      </c>
    </row>
    <row r="99" spans="1:13" ht="10.25" customHeight="1" x14ac:dyDescent="0.25">
      <c r="A99" s="360" t="s">
        <v>1457</v>
      </c>
      <c r="B99" s="652"/>
      <c r="C99" s="652">
        <v>0.1</v>
      </c>
      <c r="D99" s="652">
        <v>50</v>
      </c>
      <c r="E99" s="652"/>
      <c r="F99" s="652" t="s">
        <v>1458</v>
      </c>
      <c r="G99" s="652" t="s">
        <v>1459</v>
      </c>
      <c r="H99" s="652">
        <v>40</v>
      </c>
      <c r="I99" s="652"/>
      <c r="J99" s="652" t="s">
        <v>1460</v>
      </c>
      <c r="K99" s="652">
        <v>60</v>
      </c>
      <c r="L99" s="358">
        <f t="shared" ref="L99:L106" si="6">C99*B99</f>
        <v>0</v>
      </c>
      <c r="M99" s="359">
        <f t="shared" ref="M99:M106" si="7">D99*B99</f>
        <v>0</v>
      </c>
    </row>
    <row r="100" spans="1:13" ht="10.25" customHeight="1" x14ac:dyDescent="0.25">
      <c r="A100" s="360"/>
      <c r="B100" s="652"/>
      <c r="C100" s="652"/>
      <c r="D100" s="652"/>
      <c r="E100" s="652"/>
      <c r="F100" s="652"/>
      <c r="G100" s="652"/>
      <c r="H100" s="652"/>
      <c r="I100" s="652"/>
      <c r="J100" s="652"/>
      <c r="K100" s="652"/>
      <c r="L100" s="361">
        <f t="shared" si="6"/>
        <v>0</v>
      </c>
      <c r="M100" s="362">
        <f t="shared" si="7"/>
        <v>0</v>
      </c>
    </row>
    <row r="101" spans="1:13" ht="10.25" customHeight="1" x14ac:dyDescent="0.25">
      <c r="A101" s="363" t="s">
        <v>1291</v>
      </c>
      <c r="B101" s="369">
        <v>1</v>
      </c>
      <c r="C101" s="369">
        <v>2</v>
      </c>
      <c r="D101" s="369">
        <v>500</v>
      </c>
      <c r="E101" s="369"/>
      <c r="F101" s="369" t="s">
        <v>1461</v>
      </c>
      <c r="G101" s="369" t="s">
        <v>1406</v>
      </c>
      <c r="H101" s="653">
        <v>40</v>
      </c>
      <c r="I101" s="369"/>
      <c r="J101" s="369" t="s">
        <v>1462</v>
      </c>
      <c r="K101" s="369">
        <v>20</v>
      </c>
      <c r="L101" s="364">
        <f t="shared" si="6"/>
        <v>2</v>
      </c>
      <c r="M101" s="365">
        <f t="shared" si="7"/>
        <v>500</v>
      </c>
    </row>
    <row r="102" spans="1:13" ht="10.25" customHeight="1" x14ac:dyDescent="0.25">
      <c r="A102" s="360" t="s">
        <v>1463</v>
      </c>
      <c r="B102" s="652">
        <v>8</v>
      </c>
      <c r="C102" s="652">
        <v>0.1</v>
      </c>
      <c r="D102" s="652">
        <v>100</v>
      </c>
      <c r="E102" s="652"/>
      <c r="F102" s="652" t="s">
        <v>1301</v>
      </c>
      <c r="G102" s="652" t="s">
        <v>1464</v>
      </c>
      <c r="H102" s="652">
        <v>50</v>
      </c>
      <c r="I102" s="652"/>
      <c r="J102" s="652"/>
      <c r="K102" s="652">
        <v>60</v>
      </c>
      <c r="L102" s="361">
        <f t="shared" si="6"/>
        <v>0.8</v>
      </c>
      <c r="M102" s="362">
        <f t="shared" si="7"/>
        <v>800</v>
      </c>
    </row>
    <row r="103" spans="1:13" ht="10.25" customHeight="1" x14ac:dyDescent="0.25">
      <c r="A103" s="363" t="s">
        <v>1465</v>
      </c>
      <c r="B103" s="369">
        <v>1</v>
      </c>
      <c r="C103" s="369">
        <v>0.5</v>
      </c>
      <c r="D103" s="369">
        <v>100</v>
      </c>
      <c r="E103" s="369"/>
      <c r="F103" s="369" t="s">
        <v>1301</v>
      </c>
      <c r="G103" s="369" t="s">
        <v>1459</v>
      </c>
      <c r="H103" s="369">
        <v>60</v>
      </c>
      <c r="I103" s="369"/>
      <c r="J103" s="369"/>
      <c r="K103" s="369">
        <v>20</v>
      </c>
      <c r="L103" s="364">
        <f t="shared" si="6"/>
        <v>0.5</v>
      </c>
      <c r="M103" s="365">
        <f t="shared" si="7"/>
        <v>100</v>
      </c>
    </row>
    <row r="104" spans="1:13" ht="10.25" customHeight="1" x14ac:dyDescent="0.25">
      <c r="A104" s="360" t="s">
        <v>1466</v>
      </c>
      <c r="B104" s="652">
        <v>2</v>
      </c>
      <c r="C104" s="652">
        <v>1</v>
      </c>
      <c r="D104" s="652">
        <v>100</v>
      </c>
      <c r="E104" s="652"/>
      <c r="F104" s="652" t="s">
        <v>1467</v>
      </c>
      <c r="G104" s="652" t="s">
        <v>1459</v>
      </c>
      <c r="H104" s="652">
        <v>30</v>
      </c>
      <c r="I104" s="652"/>
      <c r="J104" s="652"/>
      <c r="K104" s="652">
        <v>20</v>
      </c>
      <c r="L104" s="361">
        <f t="shared" si="6"/>
        <v>2</v>
      </c>
      <c r="M104" s="362">
        <f t="shared" si="7"/>
        <v>200</v>
      </c>
    </row>
    <row r="105" spans="1:13" ht="10.25" customHeight="1" x14ac:dyDescent="0.25">
      <c r="A105" s="363" t="s">
        <v>1468</v>
      </c>
      <c r="B105" s="369">
        <v>40</v>
      </c>
      <c r="C105" s="369">
        <v>0.1</v>
      </c>
      <c r="D105" s="369">
        <v>10</v>
      </c>
      <c r="E105" s="369"/>
      <c r="F105" s="369" t="s">
        <v>1467</v>
      </c>
      <c r="G105" s="369" t="s">
        <v>1464</v>
      </c>
      <c r="H105" s="369">
        <v>60</v>
      </c>
      <c r="I105" s="369"/>
      <c r="J105" s="369"/>
      <c r="K105" s="369">
        <v>50</v>
      </c>
      <c r="L105" s="364">
        <f t="shared" si="6"/>
        <v>4</v>
      </c>
      <c r="M105" s="365">
        <f t="shared" si="7"/>
        <v>400</v>
      </c>
    </row>
    <row r="106" spans="1:13" ht="10.25" customHeight="1" thickBot="1" x14ac:dyDescent="0.3">
      <c r="A106" s="363" t="s">
        <v>1469</v>
      </c>
      <c r="B106" s="369">
        <v>1</v>
      </c>
      <c r="C106" s="369"/>
      <c r="D106" s="369"/>
      <c r="E106" s="369"/>
      <c r="F106" s="369" t="s">
        <v>1301</v>
      </c>
      <c r="G106" s="369" t="s">
        <v>1464</v>
      </c>
      <c r="H106" s="369">
        <v>60</v>
      </c>
      <c r="I106" s="369" t="s">
        <v>1470</v>
      </c>
      <c r="J106" s="369" t="s">
        <v>1407</v>
      </c>
      <c r="K106" s="369">
        <v>80</v>
      </c>
      <c r="L106" s="361">
        <f t="shared" si="6"/>
        <v>0</v>
      </c>
      <c r="M106" s="362">
        <f t="shared" si="7"/>
        <v>0</v>
      </c>
    </row>
    <row r="107" spans="1:13" ht="10.25" customHeight="1" x14ac:dyDescent="0.25">
      <c r="A107" s="357" t="s">
        <v>1408</v>
      </c>
      <c r="B107" s="358">
        <v>1</v>
      </c>
      <c r="C107" s="358">
        <v>3</v>
      </c>
      <c r="D107" s="369">
        <v>500</v>
      </c>
      <c r="E107" s="369"/>
      <c r="F107" s="369"/>
      <c r="G107" s="369"/>
      <c r="H107" s="369"/>
      <c r="I107" s="369"/>
      <c r="J107" s="369"/>
      <c r="K107" s="369"/>
      <c r="L107" s="361">
        <f t="shared" ref="L107:L114" si="8">C107*B107</f>
        <v>3</v>
      </c>
      <c r="M107" s="362">
        <f t="shared" ref="M107:M114" si="9">D107*B107</f>
        <v>500</v>
      </c>
    </row>
    <row r="108" spans="1:13" ht="10.25" customHeight="1" x14ac:dyDescent="0.25">
      <c r="A108" s="360" t="s">
        <v>1409</v>
      </c>
      <c r="B108" s="361">
        <v>1</v>
      </c>
      <c r="C108" s="361">
        <v>1</v>
      </c>
      <c r="D108" s="369">
        <v>800</v>
      </c>
      <c r="E108" s="369"/>
      <c r="F108" s="369"/>
      <c r="G108" s="369"/>
      <c r="H108" s="369"/>
      <c r="I108" s="369"/>
      <c r="J108" s="369"/>
      <c r="K108" s="369"/>
      <c r="L108" s="361">
        <f t="shared" si="8"/>
        <v>1</v>
      </c>
      <c r="M108" s="362">
        <f t="shared" si="9"/>
        <v>800</v>
      </c>
    </row>
    <row r="109" spans="1:13" ht="10.25" customHeight="1" x14ac:dyDescent="0.25">
      <c r="A109" s="363" t="s">
        <v>1410</v>
      </c>
      <c r="B109" s="364">
        <v>0</v>
      </c>
      <c r="C109" s="364">
        <v>0</v>
      </c>
      <c r="D109" s="369"/>
      <c r="E109" s="369"/>
      <c r="F109" s="369"/>
      <c r="G109" s="369"/>
      <c r="H109" s="369"/>
      <c r="I109" s="369"/>
      <c r="J109" s="369"/>
      <c r="K109" s="369"/>
      <c r="L109" s="361">
        <f t="shared" si="8"/>
        <v>0</v>
      </c>
      <c r="M109" s="362">
        <f t="shared" si="9"/>
        <v>0</v>
      </c>
    </row>
    <row r="110" spans="1:13" ht="10.25" customHeight="1" x14ac:dyDescent="0.25">
      <c r="A110" s="360" t="s">
        <v>1411</v>
      </c>
      <c r="B110" s="361">
        <v>0</v>
      </c>
      <c r="C110" s="361">
        <v>0</v>
      </c>
      <c r="D110" s="369"/>
      <c r="E110" s="369"/>
      <c r="F110" s="369"/>
      <c r="G110" s="369"/>
      <c r="H110" s="369"/>
      <c r="I110" s="369"/>
      <c r="J110" s="369"/>
      <c r="K110" s="369"/>
      <c r="L110" s="361">
        <f t="shared" si="8"/>
        <v>0</v>
      </c>
      <c r="M110" s="362">
        <f t="shared" si="9"/>
        <v>0</v>
      </c>
    </row>
    <row r="111" spans="1:13" ht="10.25" customHeight="1" x14ac:dyDescent="0.25">
      <c r="A111" s="363" t="s">
        <v>1412</v>
      </c>
      <c r="B111" s="364">
        <v>10</v>
      </c>
      <c r="C111" s="364">
        <v>0</v>
      </c>
      <c r="D111" s="369">
        <v>100</v>
      </c>
      <c r="E111" s="369"/>
      <c r="F111" s="369"/>
      <c r="G111" s="369"/>
      <c r="H111" s="369"/>
      <c r="I111" s="369"/>
      <c r="J111" s="369"/>
      <c r="K111" s="369"/>
      <c r="L111" s="361">
        <f t="shared" si="8"/>
        <v>0</v>
      </c>
      <c r="M111" s="362">
        <f t="shared" si="9"/>
        <v>1000</v>
      </c>
    </row>
    <row r="112" spans="1:13" ht="10.25" customHeight="1" x14ac:dyDescent="0.25">
      <c r="A112" s="360" t="s">
        <v>1413</v>
      </c>
      <c r="B112" s="361">
        <v>1</v>
      </c>
      <c r="C112" s="361">
        <v>3</v>
      </c>
      <c r="D112" s="369">
        <v>2000</v>
      </c>
      <c r="E112" s="369"/>
      <c r="F112" s="369"/>
      <c r="G112" s="369"/>
      <c r="H112" s="369"/>
      <c r="I112" s="369"/>
      <c r="J112" s="369"/>
      <c r="K112" s="369"/>
      <c r="L112" s="361">
        <f t="shared" si="8"/>
        <v>3</v>
      </c>
      <c r="M112" s="362">
        <f t="shared" si="9"/>
        <v>2000</v>
      </c>
    </row>
    <row r="113" spans="1:13" ht="10.25" customHeight="1" x14ac:dyDescent="0.25">
      <c r="A113" s="363" t="s">
        <v>1414</v>
      </c>
      <c r="B113" s="364">
        <v>1</v>
      </c>
      <c r="C113" s="364">
        <v>5</v>
      </c>
      <c r="D113" s="369">
        <v>1000</v>
      </c>
      <c r="E113" s="369"/>
      <c r="F113" s="369"/>
      <c r="G113" s="369"/>
      <c r="H113" s="369"/>
      <c r="I113" s="369"/>
      <c r="J113" s="369"/>
      <c r="K113" s="369"/>
      <c r="L113" s="361">
        <f t="shared" si="8"/>
        <v>5</v>
      </c>
      <c r="M113" s="362">
        <f t="shared" si="9"/>
        <v>1000</v>
      </c>
    </row>
    <row r="114" spans="1:13" ht="10.25" customHeight="1" x14ac:dyDescent="0.25">
      <c r="A114" s="363"/>
      <c r="B114" s="369"/>
      <c r="C114" s="369"/>
      <c r="D114" s="369"/>
      <c r="E114" s="369"/>
      <c r="F114" s="369"/>
      <c r="G114" s="369"/>
      <c r="H114" s="369"/>
      <c r="I114" s="369"/>
      <c r="J114" s="369"/>
      <c r="K114" s="369"/>
      <c r="L114" s="361">
        <f t="shared" si="8"/>
        <v>0</v>
      </c>
      <c r="M114" s="362">
        <f t="shared" si="9"/>
        <v>0</v>
      </c>
    </row>
    <row r="115" spans="1:13" ht="10.25" customHeight="1" x14ac:dyDescent="0.25">
      <c r="A115" s="363"/>
      <c r="B115" s="364"/>
      <c r="C115" s="364"/>
      <c r="D115" s="364"/>
      <c r="E115" s="364"/>
      <c r="F115" s="364"/>
      <c r="G115" s="364"/>
      <c r="H115" s="364"/>
      <c r="I115" s="364"/>
      <c r="J115" s="364"/>
      <c r="K115" s="364"/>
      <c r="L115" s="364">
        <f>C115*B115</f>
        <v>0</v>
      </c>
      <c r="M115" s="365">
        <f>D115*B115</f>
        <v>0</v>
      </c>
    </row>
    <row r="116" spans="1:13" ht="10.25" customHeight="1" thickBot="1" x14ac:dyDescent="0.3">
      <c r="A116" s="366"/>
      <c r="B116" s="367"/>
      <c r="C116" s="367"/>
      <c r="D116" s="367"/>
      <c r="E116" s="367"/>
      <c r="F116" s="367"/>
      <c r="G116" s="367"/>
      <c r="H116" s="367"/>
      <c r="I116" s="367"/>
      <c r="J116" s="367"/>
      <c r="K116" s="367"/>
      <c r="L116" s="367">
        <f>C116*B116</f>
        <v>0</v>
      </c>
      <c r="M116" s="368">
        <f>D116*B116</f>
        <v>0</v>
      </c>
    </row>
    <row r="117" spans="1:13" ht="10.25" customHeight="1" thickBot="1" x14ac:dyDescent="0.3">
      <c r="A117" s="369"/>
      <c r="B117" s="369"/>
      <c r="C117" s="369"/>
      <c r="D117" s="369"/>
      <c r="E117" s="369"/>
      <c r="F117" s="369"/>
      <c r="G117" s="369"/>
      <c r="H117" s="369"/>
      <c r="I117" s="369"/>
      <c r="J117" s="369"/>
      <c r="K117" s="369"/>
      <c r="L117" s="369"/>
      <c r="M117" s="369"/>
    </row>
    <row r="118" spans="1:13" ht="10.25" customHeight="1" thickBot="1" x14ac:dyDescent="0.3">
      <c r="A118" s="349" t="s">
        <v>1082</v>
      </c>
      <c r="B118" s="350"/>
      <c r="C118" s="350"/>
      <c r="D118" s="350"/>
      <c r="E118" s="350"/>
      <c r="F118" s="370"/>
      <c r="G118" s="350" t="s">
        <v>1078</v>
      </c>
      <c r="H118" s="350"/>
      <c r="I118" s="350"/>
      <c r="J118" s="371" t="s">
        <v>1079</v>
      </c>
      <c r="K118" s="370">
        <f>M118/2</f>
        <v>5000</v>
      </c>
      <c r="L118" s="352">
        <f>SUM(L120:L129)</f>
        <v>16.8</v>
      </c>
      <c r="M118" s="352">
        <f>SUM(M120:M129)</f>
        <v>10000</v>
      </c>
    </row>
    <row r="119" spans="1:13" s="353" customFormat="1" ht="10.25" customHeight="1" thickBot="1" x14ac:dyDescent="0.35">
      <c r="A119" s="354" t="s">
        <v>317</v>
      </c>
      <c r="B119" s="355" t="s">
        <v>1066</v>
      </c>
      <c r="C119" s="355" t="s">
        <v>499</v>
      </c>
      <c r="D119" s="355" t="s">
        <v>1067</v>
      </c>
      <c r="E119" s="355" t="s">
        <v>1068</v>
      </c>
      <c r="F119" s="355" t="s">
        <v>1069</v>
      </c>
      <c r="G119" s="355" t="s">
        <v>1070</v>
      </c>
      <c r="H119" s="355" t="s">
        <v>1071</v>
      </c>
      <c r="I119" s="355" t="s">
        <v>1072</v>
      </c>
      <c r="J119" s="355" t="s">
        <v>1073</v>
      </c>
      <c r="K119" s="355" t="s">
        <v>1074</v>
      </c>
      <c r="L119" s="355" t="s">
        <v>1075</v>
      </c>
      <c r="M119" s="356" t="s">
        <v>1076</v>
      </c>
    </row>
    <row r="120" spans="1:13" ht="10.25" customHeight="1" x14ac:dyDescent="0.25">
      <c r="G120" s="358"/>
      <c r="H120" s="358"/>
      <c r="I120" s="358"/>
      <c r="J120" s="358"/>
      <c r="K120" s="358"/>
      <c r="L120" s="358">
        <f>C87*B87</f>
        <v>6</v>
      </c>
      <c r="M120" s="359">
        <f>D87*B87</f>
        <v>4000</v>
      </c>
    </row>
    <row r="121" spans="1:13" ht="10.25" customHeight="1" x14ac:dyDescent="0.25">
      <c r="G121" s="361"/>
      <c r="H121" s="361"/>
      <c r="I121" s="361"/>
      <c r="J121" s="361"/>
      <c r="K121" s="361"/>
      <c r="L121" s="361">
        <f>C88*B88</f>
        <v>4.8</v>
      </c>
      <c r="M121" s="362">
        <f>D88*B88</f>
        <v>2800</v>
      </c>
    </row>
    <row r="122" spans="1:13" ht="10.25" customHeight="1" x14ac:dyDescent="0.25">
      <c r="G122" s="364"/>
      <c r="H122" s="364"/>
      <c r="I122" s="364"/>
      <c r="J122" s="364"/>
      <c r="K122" s="364"/>
      <c r="L122" s="364">
        <f>C89*B89</f>
        <v>6</v>
      </c>
      <c r="M122" s="365">
        <f>D89*B89</f>
        <v>3200</v>
      </c>
    </row>
    <row r="123" spans="1:13" ht="10.25" customHeight="1" x14ac:dyDescent="0.25">
      <c r="A123" s="360"/>
      <c r="B123" s="361"/>
      <c r="C123" s="361"/>
      <c r="D123" s="361"/>
      <c r="E123" s="361"/>
      <c r="F123" s="361"/>
      <c r="G123" s="361"/>
      <c r="H123" s="361"/>
      <c r="I123" s="361"/>
      <c r="J123" s="361"/>
      <c r="K123" s="361"/>
      <c r="L123" s="361">
        <f t="shared" ref="L123:L129" si="10">C123*B123</f>
        <v>0</v>
      </c>
      <c r="M123" s="362">
        <f t="shared" ref="M123:M129" si="11">D123*B123</f>
        <v>0</v>
      </c>
    </row>
    <row r="124" spans="1:13" ht="10.25" customHeight="1" x14ac:dyDescent="0.25">
      <c r="A124" s="363"/>
      <c r="B124" s="364"/>
      <c r="C124" s="364"/>
      <c r="D124" s="364"/>
      <c r="E124" s="364"/>
      <c r="F124" s="364"/>
      <c r="G124" s="364"/>
      <c r="H124" s="364"/>
      <c r="I124" s="364"/>
      <c r="J124" s="364"/>
      <c r="K124" s="364"/>
      <c r="L124" s="364">
        <f t="shared" si="10"/>
        <v>0</v>
      </c>
      <c r="M124" s="365">
        <f t="shared" si="11"/>
        <v>0</v>
      </c>
    </row>
    <row r="125" spans="1:13" ht="10.25" customHeight="1" x14ac:dyDescent="0.25">
      <c r="A125" s="360"/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>
        <f t="shared" si="10"/>
        <v>0</v>
      </c>
      <c r="M125" s="362">
        <f t="shared" si="11"/>
        <v>0</v>
      </c>
    </row>
    <row r="126" spans="1:13" ht="10.25" customHeight="1" x14ac:dyDescent="0.25">
      <c r="A126" s="363"/>
      <c r="B126" s="364"/>
      <c r="C126" s="364"/>
      <c r="D126" s="364"/>
      <c r="E126" s="364"/>
      <c r="F126" s="364"/>
      <c r="G126" s="364"/>
      <c r="H126" s="364"/>
      <c r="I126" s="364"/>
      <c r="J126" s="364"/>
      <c r="K126" s="364"/>
      <c r="L126" s="364">
        <f t="shared" si="10"/>
        <v>0</v>
      </c>
      <c r="M126" s="365">
        <f t="shared" si="11"/>
        <v>0</v>
      </c>
    </row>
    <row r="127" spans="1:13" ht="10.25" customHeight="1" x14ac:dyDescent="0.25">
      <c r="A127" s="360"/>
      <c r="B127" s="361"/>
      <c r="C127" s="361"/>
      <c r="D127" s="361"/>
      <c r="E127" s="361"/>
      <c r="F127" s="361"/>
      <c r="G127" s="361"/>
      <c r="H127" s="361"/>
      <c r="I127" s="361"/>
      <c r="J127" s="361"/>
      <c r="K127" s="361"/>
      <c r="L127" s="361">
        <f t="shared" si="10"/>
        <v>0</v>
      </c>
      <c r="M127" s="362">
        <f t="shared" si="11"/>
        <v>0</v>
      </c>
    </row>
    <row r="128" spans="1:13" ht="10.25" customHeight="1" x14ac:dyDescent="0.25">
      <c r="A128" s="363"/>
      <c r="B128" s="364"/>
      <c r="C128" s="364"/>
      <c r="D128" s="364"/>
      <c r="E128" s="364"/>
      <c r="F128" s="364"/>
      <c r="G128" s="364"/>
      <c r="H128" s="364"/>
      <c r="I128" s="364"/>
      <c r="J128" s="364"/>
      <c r="K128" s="364"/>
      <c r="L128" s="364">
        <f t="shared" si="10"/>
        <v>0</v>
      </c>
      <c r="M128" s="365">
        <f t="shared" si="11"/>
        <v>0</v>
      </c>
    </row>
    <row r="129" spans="1:13" ht="10.25" customHeight="1" thickBot="1" x14ac:dyDescent="0.3">
      <c r="A129" s="366"/>
      <c r="B129" s="367"/>
      <c r="C129" s="367"/>
      <c r="D129" s="367"/>
      <c r="E129" s="367"/>
      <c r="F129" s="367"/>
      <c r="G129" s="367"/>
      <c r="H129" s="367"/>
      <c r="I129" s="367"/>
      <c r="J129" s="367"/>
      <c r="K129" s="367"/>
      <c r="L129" s="367">
        <f t="shared" si="10"/>
        <v>0</v>
      </c>
      <c r="M129" s="368">
        <f t="shared" si="11"/>
        <v>0</v>
      </c>
    </row>
    <row r="131" spans="1:13" s="58" customFormat="1" x14ac:dyDescent="0.25">
      <c r="A131" s="661" t="s">
        <v>1597</v>
      </c>
      <c r="B131" s="662" t="s">
        <v>1614</v>
      </c>
      <c r="C131" s="661"/>
      <c r="D131" s="663"/>
      <c r="E131" s="663"/>
      <c r="F131" s="663"/>
      <c r="G131" s="663"/>
      <c r="H131" s="663"/>
      <c r="I131" s="663"/>
      <c r="J131" s="663"/>
      <c r="K131" s="663"/>
      <c r="L131" s="663"/>
      <c r="M131" s="663"/>
    </row>
    <row r="132" spans="1:13" s="58" customFormat="1" x14ac:dyDescent="0.25">
      <c r="A132" s="658" t="s">
        <v>1577</v>
      </c>
      <c r="B132" s="658" t="s">
        <v>1616</v>
      </c>
      <c r="C132" s="658"/>
    </row>
    <row r="133" spans="1:13" s="658" customFormat="1" ht="10" x14ac:dyDescent="0.2">
      <c r="A133" s="658" t="s">
        <v>1602</v>
      </c>
      <c r="B133" s="658">
        <v>80</v>
      </c>
    </row>
    <row r="134" spans="1:13" s="658" customFormat="1" ht="10" x14ac:dyDescent="0.2">
      <c r="A134" s="658" t="s">
        <v>1574</v>
      </c>
      <c r="B134" s="658">
        <v>40</v>
      </c>
    </row>
    <row r="135" spans="1:13" s="58" customFormat="1" x14ac:dyDescent="0.25">
      <c r="A135" s="658" t="s">
        <v>1575</v>
      </c>
      <c r="B135" s="658" t="s">
        <v>1617</v>
      </c>
      <c r="C135" s="658"/>
    </row>
    <row r="136" spans="1:13" s="58" customFormat="1" x14ac:dyDescent="0.25">
      <c r="A136" s="658" t="s">
        <v>1579</v>
      </c>
      <c r="B136" s="658" t="s">
        <v>1618</v>
      </c>
      <c r="C136" s="658"/>
    </row>
    <row r="137" spans="1:13" s="667" customFormat="1" ht="10" x14ac:dyDescent="0.2">
      <c r="B137" s="667" t="s">
        <v>1619</v>
      </c>
    </row>
  </sheetData>
  <pageMargins left="0.23622047244094491" right="0.23622047244094491" top="0.35433070866141736" bottom="0.35433070866141736" header="0.31496062992125984" footer="0.31496062992125984"/>
  <pageSetup orientation="portrait" r:id="rId1"/>
  <headerFooter>
    <oddFooter>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opLeftCell="A37" zoomScale="160" zoomScaleNormal="160" workbookViewId="0">
      <selection activeCell="A31" sqref="A31"/>
    </sheetView>
  </sheetViews>
  <sheetFormatPr baseColWidth="10" defaultColWidth="8.90625" defaultRowHeight="11.5" x14ac:dyDescent="0.25"/>
  <cols>
    <col min="1" max="1" width="25.36328125" style="345" customWidth="1"/>
    <col min="2" max="2" width="3.90625" style="345" bestFit="1" customWidth="1"/>
    <col min="3" max="3" width="4.08984375" style="345" bestFit="1" customWidth="1"/>
    <col min="4" max="4" width="4.36328125" style="345" bestFit="1" customWidth="1"/>
    <col min="5" max="5" width="6.36328125" style="345" bestFit="1" customWidth="1"/>
    <col min="6" max="6" width="11.08984375" style="345" customWidth="1"/>
    <col min="7" max="7" width="10.90625" style="345" customWidth="1"/>
    <col min="8" max="8" width="5" style="345" bestFit="1" customWidth="1"/>
    <col min="9" max="9" width="3.453125" style="345" bestFit="1" customWidth="1"/>
    <col min="10" max="10" width="3.6328125" style="345" bestFit="1" customWidth="1"/>
    <col min="11" max="11" width="11.36328125" style="345" customWidth="1"/>
    <col min="12" max="12" width="5.54296875" style="345" customWidth="1"/>
    <col min="13" max="13" width="6.08984375" style="345" customWidth="1"/>
    <col min="14" max="256" width="8.90625" style="345"/>
    <col min="257" max="257" width="25.36328125" style="345" customWidth="1"/>
    <col min="258" max="258" width="3.90625" style="345" bestFit="1" customWidth="1"/>
    <col min="259" max="259" width="4.08984375" style="345" bestFit="1" customWidth="1"/>
    <col min="260" max="260" width="4.36328125" style="345" bestFit="1" customWidth="1"/>
    <col min="261" max="261" width="6.36328125" style="345" bestFit="1" customWidth="1"/>
    <col min="262" max="262" width="11.08984375" style="345" customWidth="1"/>
    <col min="263" max="263" width="10.90625" style="345" customWidth="1"/>
    <col min="264" max="264" width="4.36328125" style="345" bestFit="1" customWidth="1"/>
    <col min="265" max="265" width="3.453125" style="345" bestFit="1" customWidth="1"/>
    <col min="266" max="266" width="3.6328125" style="345" bestFit="1" customWidth="1"/>
    <col min="267" max="267" width="11.36328125" style="345" customWidth="1"/>
    <col min="268" max="268" width="5.54296875" style="345" customWidth="1"/>
    <col min="269" max="269" width="6.08984375" style="345" customWidth="1"/>
    <col min="270" max="512" width="8.90625" style="345"/>
    <col min="513" max="513" width="25.36328125" style="345" customWidth="1"/>
    <col min="514" max="514" width="3.90625" style="345" bestFit="1" customWidth="1"/>
    <col min="515" max="515" width="4.08984375" style="345" bestFit="1" customWidth="1"/>
    <col min="516" max="516" width="4.36328125" style="345" bestFit="1" customWidth="1"/>
    <col min="517" max="517" width="6.36328125" style="345" bestFit="1" customWidth="1"/>
    <col min="518" max="518" width="11.08984375" style="345" customWidth="1"/>
    <col min="519" max="519" width="10.90625" style="345" customWidth="1"/>
    <col min="520" max="520" width="4.36328125" style="345" bestFit="1" customWidth="1"/>
    <col min="521" max="521" width="3.453125" style="345" bestFit="1" customWidth="1"/>
    <col min="522" max="522" width="3.6328125" style="345" bestFit="1" customWidth="1"/>
    <col min="523" max="523" width="11.36328125" style="345" customWidth="1"/>
    <col min="524" max="524" width="5.54296875" style="345" customWidth="1"/>
    <col min="525" max="525" width="6.08984375" style="345" customWidth="1"/>
    <col min="526" max="768" width="8.90625" style="345"/>
    <col min="769" max="769" width="25.36328125" style="345" customWidth="1"/>
    <col min="770" max="770" width="3.90625" style="345" bestFit="1" customWidth="1"/>
    <col min="771" max="771" width="4.08984375" style="345" bestFit="1" customWidth="1"/>
    <col min="772" max="772" width="4.36328125" style="345" bestFit="1" customWidth="1"/>
    <col min="773" max="773" width="6.36328125" style="345" bestFit="1" customWidth="1"/>
    <col min="774" max="774" width="11.08984375" style="345" customWidth="1"/>
    <col min="775" max="775" width="10.90625" style="345" customWidth="1"/>
    <col min="776" max="776" width="4.36328125" style="345" bestFit="1" customWidth="1"/>
    <col min="777" max="777" width="3.453125" style="345" bestFit="1" customWidth="1"/>
    <col min="778" max="778" width="3.6328125" style="345" bestFit="1" customWidth="1"/>
    <col min="779" max="779" width="11.36328125" style="345" customWidth="1"/>
    <col min="780" max="780" width="5.54296875" style="345" customWidth="1"/>
    <col min="781" max="781" width="6.08984375" style="345" customWidth="1"/>
    <col min="782" max="1024" width="8.90625" style="345"/>
    <col min="1025" max="1025" width="25.36328125" style="345" customWidth="1"/>
    <col min="1026" max="1026" width="3.90625" style="345" bestFit="1" customWidth="1"/>
    <col min="1027" max="1027" width="4.08984375" style="345" bestFit="1" customWidth="1"/>
    <col min="1028" max="1028" width="4.36328125" style="345" bestFit="1" customWidth="1"/>
    <col min="1029" max="1029" width="6.36328125" style="345" bestFit="1" customWidth="1"/>
    <col min="1030" max="1030" width="11.08984375" style="345" customWidth="1"/>
    <col min="1031" max="1031" width="10.90625" style="345" customWidth="1"/>
    <col min="1032" max="1032" width="4.36328125" style="345" bestFit="1" customWidth="1"/>
    <col min="1033" max="1033" width="3.453125" style="345" bestFit="1" customWidth="1"/>
    <col min="1034" max="1034" width="3.6328125" style="345" bestFit="1" customWidth="1"/>
    <col min="1035" max="1035" width="11.36328125" style="345" customWidth="1"/>
    <col min="1036" max="1036" width="5.54296875" style="345" customWidth="1"/>
    <col min="1037" max="1037" width="6.08984375" style="345" customWidth="1"/>
    <col min="1038" max="1280" width="8.90625" style="345"/>
    <col min="1281" max="1281" width="25.36328125" style="345" customWidth="1"/>
    <col min="1282" max="1282" width="3.90625" style="345" bestFit="1" customWidth="1"/>
    <col min="1283" max="1283" width="4.08984375" style="345" bestFit="1" customWidth="1"/>
    <col min="1284" max="1284" width="4.36328125" style="345" bestFit="1" customWidth="1"/>
    <col min="1285" max="1285" width="6.36328125" style="345" bestFit="1" customWidth="1"/>
    <col min="1286" max="1286" width="11.08984375" style="345" customWidth="1"/>
    <col min="1287" max="1287" width="10.90625" style="345" customWidth="1"/>
    <col min="1288" max="1288" width="4.36328125" style="345" bestFit="1" customWidth="1"/>
    <col min="1289" max="1289" width="3.453125" style="345" bestFit="1" customWidth="1"/>
    <col min="1290" max="1290" width="3.6328125" style="345" bestFit="1" customWidth="1"/>
    <col min="1291" max="1291" width="11.36328125" style="345" customWidth="1"/>
    <col min="1292" max="1292" width="5.54296875" style="345" customWidth="1"/>
    <col min="1293" max="1293" width="6.08984375" style="345" customWidth="1"/>
    <col min="1294" max="1536" width="8.90625" style="345"/>
    <col min="1537" max="1537" width="25.36328125" style="345" customWidth="1"/>
    <col min="1538" max="1538" width="3.90625" style="345" bestFit="1" customWidth="1"/>
    <col min="1539" max="1539" width="4.08984375" style="345" bestFit="1" customWidth="1"/>
    <col min="1540" max="1540" width="4.36328125" style="345" bestFit="1" customWidth="1"/>
    <col min="1541" max="1541" width="6.36328125" style="345" bestFit="1" customWidth="1"/>
    <col min="1542" max="1542" width="11.08984375" style="345" customWidth="1"/>
    <col min="1543" max="1543" width="10.90625" style="345" customWidth="1"/>
    <col min="1544" max="1544" width="4.36328125" style="345" bestFit="1" customWidth="1"/>
    <col min="1545" max="1545" width="3.453125" style="345" bestFit="1" customWidth="1"/>
    <col min="1546" max="1546" width="3.6328125" style="345" bestFit="1" customWidth="1"/>
    <col min="1547" max="1547" width="11.36328125" style="345" customWidth="1"/>
    <col min="1548" max="1548" width="5.54296875" style="345" customWidth="1"/>
    <col min="1549" max="1549" width="6.08984375" style="345" customWidth="1"/>
    <col min="1550" max="1792" width="8.90625" style="345"/>
    <col min="1793" max="1793" width="25.36328125" style="345" customWidth="1"/>
    <col min="1794" max="1794" width="3.90625" style="345" bestFit="1" customWidth="1"/>
    <col min="1795" max="1795" width="4.08984375" style="345" bestFit="1" customWidth="1"/>
    <col min="1796" max="1796" width="4.36328125" style="345" bestFit="1" customWidth="1"/>
    <col min="1797" max="1797" width="6.36328125" style="345" bestFit="1" customWidth="1"/>
    <col min="1798" max="1798" width="11.08984375" style="345" customWidth="1"/>
    <col min="1799" max="1799" width="10.90625" style="345" customWidth="1"/>
    <col min="1800" max="1800" width="4.36328125" style="345" bestFit="1" customWidth="1"/>
    <col min="1801" max="1801" width="3.453125" style="345" bestFit="1" customWidth="1"/>
    <col min="1802" max="1802" width="3.6328125" style="345" bestFit="1" customWidth="1"/>
    <col min="1803" max="1803" width="11.36328125" style="345" customWidth="1"/>
    <col min="1804" max="1804" width="5.54296875" style="345" customWidth="1"/>
    <col min="1805" max="1805" width="6.08984375" style="345" customWidth="1"/>
    <col min="1806" max="2048" width="8.90625" style="345"/>
    <col min="2049" max="2049" width="25.36328125" style="345" customWidth="1"/>
    <col min="2050" max="2050" width="3.90625" style="345" bestFit="1" customWidth="1"/>
    <col min="2051" max="2051" width="4.08984375" style="345" bestFit="1" customWidth="1"/>
    <col min="2052" max="2052" width="4.36328125" style="345" bestFit="1" customWidth="1"/>
    <col min="2053" max="2053" width="6.36328125" style="345" bestFit="1" customWidth="1"/>
    <col min="2054" max="2054" width="11.08984375" style="345" customWidth="1"/>
    <col min="2055" max="2055" width="10.90625" style="345" customWidth="1"/>
    <col min="2056" max="2056" width="4.36328125" style="345" bestFit="1" customWidth="1"/>
    <col min="2057" max="2057" width="3.453125" style="345" bestFit="1" customWidth="1"/>
    <col min="2058" max="2058" width="3.6328125" style="345" bestFit="1" customWidth="1"/>
    <col min="2059" max="2059" width="11.36328125" style="345" customWidth="1"/>
    <col min="2060" max="2060" width="5.54296875" style="345" customWidth="1"/>
    <col min="2061" max="2061" width="6.08984375" style="345" customWidth="1"/>
    <col min="2062" max="2304" width="8.90625" style="345"/>
    <col min="2305" max="2305" width="25.36328125" style="345" customWidth="1"/>
    <col min="2306" max="2306" width="3.90625" style="345" bestFit="1" customWidth="1"/>
    <col min="2307" max="2307" width="4.08984375" style="345" bestFit="1" customWidth="1"/>
    <col min="2308" max="2308" width="4.36328125" style="345" bestFit="1" customWidth="1"/>
    <col min="2309" max="2309" width="6.36328125" style="345" bestFit="1" customWidth="1"/>
    <col min="2310" max="2310" width="11.08984375" style="345" customWidth="1"/>
    <col min="2311" max="2311" width="10.90625" style="345" customWidth="1"/>
    <col min="2312" max="2312" width="4.36328125" style="345" bestFit="1" customWidth="1"/>
    <col min="2313" max="2313" width="3.453125" style="345" bestFit="1" customWidth="1"/>
    <col min="2314" max="2314" width="3.6328125" style="345" bestFit="1" customWidth="1"/>
    <col min="2315" max="2315" width="11.36328125" style="345" customWidth="1"/>
    <col min="2316" max="2316" width="5.54296875" style="345" customWidth="1"/>
    <col min="2317" max="2317" width="6.08984375" style="345" customWidth="1"/>
    <col min="2318" max="2560" width="8.90625" style="345"/>
    <col min="2561" max="2561" width="25.36328125" style="345" customWidth="1"/>
    <col min="2562" max="2562" width="3.90625" style="345" bestFit="1" customWidth="1"/>
    <col min="2563" max="2563" width="4.08984375" style="345" bestFit="1" customWidth="1"/>
    <col min="2564" max="2564" width="4.36328125" style="345" bestFit="1" customWidth="1"/>
    <col min="2565" max="2565" width="6.36328125" style="345" bestFit="1" customWidth="1"/>
    <col min="2566" max="2566" width="11.08984375" style="345" customWidth="1"/>
    <col min="2567" max="2567" width="10.90625" style="345" customWidth="1"/>
    <col min="2568" max="2568" width="4.36328125" style="345" bestFit="1" customWidth="1"/>
    <col min="2569" max="2569" width="3.453125" style="345" bestFit="1" customWidth="1"/>
    <col min="2570" max="2570" width="3.6328125" style="345" bestFit="1" customWidth="1"/>
    <col min="2571" max="2571" width="11.36328125" style="345" customWidth="1"/>
    <col min="2572" max="2572" width="5.54296875" style="345" customWidth="1"/>
    <col min="2573" max="2573" width="6.08984375" style="345" customWidth="1"/>
    <col min="2574" max="2816" width="8.90625" style="345"/>
    <col min="2817" max="2817" width="25.36328125" style="345" customWidth="1"/>
    <col min="2818" max="2818" width="3.90625" style="345" bestFit="1" customWidth="1"/>
    <col min="2819" max="2819" width="4.08984375" style="345" bestFit="1" customWidth="1"/>
    <col min="2820" max="2820" width="4.36328125" style="345" bestFit="1" customWidth="1"/>
    <col min="2821" max="2821" width="6.36328125" style="345" bestFit="1" customWidth="1"/>
    <col min="2822" max="2822" width="11.08984375" style="345" customWidth="1"/>
    <col min="2823" max="2823" width="10.90625" style="345" customWidth="1"/>
    <col min="2824" max="2824" width="4.36328125" style="345" bestFit="1" customWidth="1"/>
    <col min="2825" max="2825" width="3.453125" style="345" bestFit="1" customWidth="1"/>
    <col min="2826" max="2826" width="3.6328125" style="345" bestFit="1" customWidth="1"/>
    <col min="2827" max="2827" width="11.36328125" style="345" customWidth="1"/>
    <col min="2828" max="2828" width="5.54296875" style="345" customWidth="1"/>
    <col min="2829" max="2829" width="6.08984375" style="345" customWidth="1"/>
    <col min="2830" max="3072" width="8.90625" style="345"/>
    <col min="3073" max="3073" width="25.36328125" style="345" customWidth="1"/>
    <col min="3074" max="3074" width="3.90625" style="345" bestFit="1" customWidth="1"/>
    <col min="3075" max="3075" width="4.08984375" style="345" bestFit="1" customWidth="1"/>
    <col min="3076" max="3076" width="4.36328125" style="345" bestFit="1" customWidth="1"/>
    <col min="3077" max="3077" width="6.36328125" style="345" bestFit="1" customWidth="1"/>
    <col min="3078" max="3078" width="11.08984375" style="345" customWidth="1"/>
    <col min="3079" max="3079" width="10.90625" style="345" customWidth="1"/>
    <col min="3080" max="3080" width="4.36328125" style="345" bestFit="1" customWidth="1"/>
    <col min="3081" max="3081" width="3.453125" style="345" bestFit="1" customWidth="1"/>
    <col min="3082" max="3082" width="3.6328125" style="345" bestFit="1" customWidth="1"/>
    <col min="3083" max="3083" width="11.36328125" style="345" customWidth="1"/>
    <col min="3084" max="3084" width="5.54296875" style="345" customWidth="1"/>
    <col min="3085" max="3085" width="6.08984375" style="345" customWidth="1"/>
    <col min="3086" max="3328" width="8.90625" style="345"/>
    <col min="3329" max="3329" width="25.36328125" style="345" customWidth="1"/>
    <col min="3330" max="3330" width="3.90625" style="345" bestFit="1" customWidth="1"/>
    <col min="3331" max="3331" width="4.08984375" style="345" bestFit="1" customWidth="1"/>
    <col min="3332" max="3332" width="4.36328125" style="345" bestFit="1" customWidth="1"/>
    <col min="3333" max="3333" width="6.36328125" style="345" bestFit="1" customWidth="1"/>
    <col min="3334" max="3334" width="11.08984375" style="345" customWidth="1"/>
    <col min="3335" max="3335" width="10.90625" style="345" customWidth="1"/>
    <col min="3336" max="3336" width="4.36328125" style="345" bestFit="1" customWidth="1"/>
    <col min="3337" max="3337" width="3.453125" style="345" bestFit="1" customWidth="1"/>
    <col min="3338" max="3338" width="3.6328125" style="345" bestFit="1" customWidth="1"/>
    <col min="3339" max="3339" width="11.36328125" style="345" customWidth="1"/>
    <col min="3340" max="3340" width="5.54296875" style="345" customWidth="1"/>
    <col min="3341" max="3341" width="6.08984375" style="345" customWidth="1"/>
    <col min="3342" max="3584" width="8.90625" style="345"/>
    <col min="3585" max="3585" width="25.36328125" style="345" customWidth="1"/>
    <col min="3586" max="3586" width="3.90625" style="345" bestFit="1" customWidth="1"/>
    <col min="3587" max="3587" width="4.08984375" style="345" bestFit="1" customWidth="1"/>
    <col min="3588" max="3588" width="4.36328125" style="345" bestFit="1" customWidth="1"/>
    <col min="3589" max="3589" width="6.36328125" style="345" bestFit="1" customWidth="1"/>
    <col min="3590" max="3590" width="11.08984375" style="345" customWidth="1"/>
    <col min="3591" max="3591" width="10.90625" style="345" customWidth="1"/>
    <col min="3592" max="3592" width="4.36328125" style="345" bestFit="1" customWidth="1"/>
    <col min="3593" max="3593" width="3.453125" style="345" bestFit="1" customWidth="1"/>
    <col min="3594" max="3594" width="3.6328125" style="345" bestFit="1" customWidth="1"/>
    <col min="3595" max="3595" width="11.36328125" style="345" customWidth="1"/>
    <col min="3596" max="3596" width="5.54296875" style="345" customWidth="1"/>
    <col min="3597" max="3597" width="6.08984375" style="345" customWidth="1"/>
    <col min="3598" max="3840" width="8.90625" style="345"/>
    <col min="3841" max="3841" width="25.36328125" style="345" customWidth="1"/>
    <col min="3842" max="3842" width="3.90625" style="345" bestFit="1" customWidth="1"/>
    <col min="3843" max="3843" width="4.08984375" style="345" bestFit="1" customWidth="1"/>
    <col min="3844" max="3844" width="4.36328125" style="345" bestFit="1" customWidth="1"/>
    <col min="3845" max="3845" width="6.36328125" style="345" bestFit="1" customWidth="1"/>
    <col min="3846" max="3846" width="11.08984375" style="345" customWidth="1"/>
    <col min="3847" max="3847" width="10.90625" style="345" customWidth="1"/>
    <col min="3848" max="3848" width="4.36328125" style="345" bestFit="1" customWidth="1"/>
    <col min="3849" max="3849" width="3.453125" style="345" bestFit="1" customWidth="1"/>
    <col min="3850" max="3850" width="3.6328125" style="345" bestFit="1" customWidth="1"/>
    <col min="3851" max="3851" width="11.36328125" style="345" customWidth="1"/>
    <col min="3852" max="3852" width="5.54296875" style="345" customWidth="1"/>
    <col min="3853" max="3853" width="6.08984375" style="345" customWidth="1"/>
    <col min="3854" max="4096" width="8.90625" style="345"/>
    <col min="4097" max="4097" width="25.36328125" style="345" customWidth="1"/>
    <col min="4098" max="4098" width="3.90625" style="345" bestFit="1" customWidth="1"/>
    <col min="4099" max="4099" width="4.08984375" style="345" bestFit="1" customWidth="1"/>
    <col min="4100" max="4100" width="4.36328125" style="345" bestFit="1" customWidth="1"/>
    <col min="4101" max="4101" width="6.36328125" style="345" bestFit="1" customWidth="1"/>
    <col min="4102" max="4102" width="11.08984375" style="345" customWidth="1"/>
    <col min="4103" max="4103" width="10.90625" style="345" customWidth="1"/>
    <col min="4104" max="4104" width="4.36328125" style="345" bestFit="1" customWidth="1"/>
    <col min="4105" max="4105" width="3.453125" style="345" bestFit="1" customWidth="1"/>
    <col min="4106" max="4106" width="3.6328125" style="345" bestFit="1" customWidth="1"/>
    <col min="4107" max="4107" width="11.36328125" style="345" customWidth="1"/>
    <col min="4108" max="4108" width="5.54296875" style="345" customWidth="1"/>
    <col min="4109" max="4109" width="6.08984375" style="345" customWidth="1"/>
    <col min="4110" max="4352" width="8.90625" style="345"/>
    <col min="4353" max="4353" width="25.36328125" style="345" customWidth="1"/>
    <col min="4354" max="4354" width="3.90625" style="345" bestFit="1" customWidth="1"/>
    <col min="4355" max="4355" width="4.08984375" style="345" bestFit="1" customWidth="1"/>
    <col min="4356" max="4356" width="4.36328125" style="345" bestFit="1" customWidth="1"/>
    <col min="4357" max="4357" width="6.36328125" style="345" bestFit="1" customWidth="1"/>
    <col min="4358" max="4358" width="11.08984375" style="345" customWidth="1"/>
    <col min="4359" max="4359" width="10.90625" style="345" customWidth="1"/>
    <col min="4360" max="4360" width="4.36328125" style="345" bestFit="1" customWidth="1"/>
    <col min="4361" max="4361" width="3.453125" style="345" bestFit="1" customWidth="1"/>
    <col min="4362" max="4362" width="3.6328125" style="345" bestFit="1" customWidth="1"/>
    <col min="4363" max="4363" width="11.36328125" style="345" customWidth="1"/>
    <col min="4364" max="4364" width="5.54296875" style="345" customWidth="1"/>
    <col min="4365" max="4365" width="6.08984375" style="345" customWidth="1"/>
    <col min="4366" max="4608" width="8.90625" style="345"/>
    <col min="4609" max="4609" width="25.36328125" style="345" customWidth="1"/>
    <col min="4610" max="4610" width="3.90625" style="345" bestFit="1" customWidth="1"/>
    <col min="4611" max="4611" width="4.08984375" style="345" bestFit="1" customWidth="1"/>
    <col min="4612" max="4612" width="4.36328125" style="345" bestFit="1" customWidth="1"/>
    <col min="4613" max="4613" width="6.36328125" style="345" bestFit="1" customWidth="1"/>
    <col min="4614" max="4614" width="11.08984375" style="345" customWidth="1"/>
    <col min="4615" max="4615" width="10.90625" style="345" customWidth="1"/>
    <col min="4616" max="4616" width="4.36328125" style="345" bestFit="1" customWidth="1"/>
    <col min="4617" max="4617" width="3.453125" style="345" bestFit="1" customWidth="1"/>
    <col min="4618" max="4618" width="3.6328125" style="345" bestFit="1" customWidth="1"/>
    <col min="4619" max="4619" width="11.36328125" style="345" customWidth="1"/>
    <col min="4620" max="4620" width="5.54296875" style="345" customWidth="1"/>
    <col min="4621" max="4621" width="6.08984375" style="345" customWidth="1"/>
    <col min="4622" max="4864" width="8.90625" style="345"/>
    <col min="4865" max="4865" width="25.36328125" style="345" customWidth="1"/>
    <col min="4866" max="4866" width="3.90625" style="345" bestFit="1" customWidth="1"/>
    <col min="4867" max="4867" width="4.08984375" style="345" bestFit="1" customWidth="1"/>
    <col min="4868" max="4868" width="4.36328125" style="345" bestFit="1" customWidth="1"/>
    <col min="4869" max="4869" width="6.36328125" style="345" bestFit="1" customWidth="1"/>
    <col min="4870" max="4870" width="11.08984375" style="345" customWidth="1"/>
    <col min="4871" max="4871" width="10.90625" style="345" customWidth="1"/>
    <col min="4872" max="4872" width="4.36328125" style="345" bestFit="1" customWidth="1"/>
    <col min="4873" max="4873" width="3.453125" style="345" bestFit="1" customWidth="1"/>
    <col min="4874" max="4874" width="3.6328125" style="345" bestFit="1" customWidth="1"/>
    <col min="4875" max="4875" width="11.36328125" style="345" customWidth="1"/>
    <col min="4876" max="4876" width="5.54296875" style="345" customWidth="1"/>
    <col min="4877" max="4877" width="6.08984375" style="345" customWidth="1"/>
    <col min="4878" max="5120" width="8.90625" style="345"/>
    <col min="5121" max="5121" width="25.36328125" style="345" customWidth="1"/>
    <col min="5122" max="5122" width="3.90625" style="345" bestFit="1" customWidth="1"/>
    <col min="5123" max="5123" width="4.08984375" style="345" bestFit="1" customWidth="1"/>
    <col min="5124" max="5124" width="4.36328125" style="345" bestFit="1" customWidth="1"/>
    <col min="5125" max="5125" width="6.36328125" style="345" bestFit="1" customWidth="1"/>
    <col min="5126" max="5126" width="11.08984375" style="345" customWidth="1"/>
    <col min="5127" max="5127" width="10.90625" style="345" customWidth="1"/>
    <col min="5128" max="5128" width="4.36328125" style="345" bestFit="1" customWidth="1"/>
    <col min="5129" max="5129" width="3.453125" style="345" bestFit="1" customWidth="1"/>
    <col min="5130" max="5130" width="3.6328125" style="345" bestFit="1" customWidth="1"/>
    <col min="5131" max="5131" width="11.36328125" style="345" customWidth="1"/>
    <col min="5132" max="5132" width="5.54296875" style="345" customWidth="1"/>
    <col min="5133" max="5133" width="6.08984375" style="345" customWidth="1"/>
    <col min="5134" max="5376" width="8.90625" style="345"/>
    <col min="5377" max="5377" width="25.36328125" style="345" customWidth="1"/>
    <col min="5378" max="5378" width="3.90625" style="345" bestFit="1" customWidth="1"/>
    <col min="5379" max="5379" width="4.08984375" style="345" bestFit="1" customWidth="1"/>
    <col min="5380" max="5380" width="4.36328125" style="345" bestFit="1" customWidth="1"/>
    <col min="5381" max="5381" width="6.36328125" style="345" bestFit="1" customWidth="1"/>
    <col min="5382" max="5382" width="11.08984375" style="345" customWidth="1"/>
    <col min="5383" max="5383" width="10.90625" style="345" customWidth="1"/>
    <col min="5384" max="5384" width="4.36328125" style="345" bestFit="1" customWidth="1"/>
    <col min="5385" max="5385" width="3.453125" style="345" bestFit="1" customWidth="1"/>
    <col min="5386" max="5386" width="3.6328125" style="345" bestFit="1" customWidth="1"/>
    <col min="5387" max="5387" width="11.36328125" style="345" customWidth="1"/>
    <col min="5388" max="5388" width="5.54296875" style="345" customWidth="1"/>
    <col min="5389" max="5389" width="6.08984375" style="345" customWidth="1"/>
    <col min="5390" max="5632" width="8.90625" style="345"/>
    <col min="5633" max="5633" width="25.36328125" style="345" customWidth="1"/>
    <col min="5634" max="5634" width="3.90625" style="345" bestFit="1" customWidth="1"/>
    <col min="5635" max="5635" width="4.08984375" style="345" bestFit="1" customWidth="1"/>
    <col min="5636" max="5636" width="4.36328125" style="345" bestFit="1" customWidth="1"/>
    <col min="5637" max="5637" width="6.36328125" style="345" bestFit="1" customWidth="1"/>
    <col min="5638" max="5638" width="11.08984375" style="345" customWidth="1"/>
    <col min="5639" max="5639" width="10.90625" style="345" customWidth="1"/>
    <col min="5640" max="5640" width="4.36328125" style="345" bestFit="1" customWidth="1"/>
    <col min="5641" max="5641" width="3.453125" style="345" bestFit="1" customWidth="1"/>
    <col min="5642" max="5642" width="3.6328125" style="345" bestFit="1" customWidth="1"/>
    <col min="5643" max="5643" width="11.36328125" style="345" customWidth="1"/>
    <col min="5644" max="5644" width="5.54296875" style="345" customWidth="1"/>
    <col min="5645" max="5645" width="6.08984375" style="345" customWidth="1"/>
    <col min="5646" max="5888" width="8.90625" style="345"/>
    <col min="5889" max="5889" width="25.36328125" style="345" customWidth="1"/>
    <col min="5890" max="5890" width="3.90625" style="345" bestFit="1" customWidth="1"/>
    <col min="5891" max="5891" width="4.08984375" style="345" bestFit="1" customWidth="1"/>
    <col min="5892" max="5892" width="4.36328125" style="345" bestFit="1" customWidth="1"/>
    <col min="5893" max="5893" width="6.36328125" style="345" bestFit="1" customWidth="1"/>
    <col min="5894" max="5894" width="11.08984375" style="345" customWidth="1"/>
    <col min="5895" max="5895" width="10.90625" style="345" customWidth="1"/>
    <col min="5896" max="5896" width="4.36328125" style="345" bestFit="1" customWidth="1"/>
    <col min="5897" max="5897" width="3.453125" style="345" bestFit="1" customWidth="1"/>
    <col min="5898" max="5898" width="3.6328125" style="345" bestFit="1" customWidth="1"/>
    <col min="5899" max="5899" width="11.36328125" style="345" customWidth="1"/>
    <col min="5900" max="5900" width="5.54296875" style="345" customWidth="1"/>
    <col min="5901" max="5901" width="6.08984375" style="345" customWidth="1"/>
    <col min="5902" max="6144" width="8.90625" style="345"/>
    <col min="6145" max="6145" width="25.36328125" style="345" customWidth="1"/>
    <col min="6146" max="6146" width="3.90625" style="345" bestFit="1" customWidth="1"/>
    <col min="6147" max="6147" width="4.08984375" style="345" bestFit="1" customWidth="1"/>
    <col min="6148" max="6148" width="4.36328125" style="345" bestFit="1" customWidth="1"/>
    <col min="6149" max="6149" width="6.36328125" style="345" bestFit="1" customWidth="1"/>
    <col min="6150" max="6150" width="11.08984375" style="345" customWidth="1"/>
    <col min="6151" max="6151" width="10.90625" style="345" customWidth="1"/>
    <col min="6152" max="6152" width="4.36328125" style="345" bestFit="1" customWidth="1"/>
    <col min="6153" max="6153" width="3.453125" style="345" bestFit="1" customWidth="1"/>
    <col min="6154" max="6154" width="3.6328125" style="345" bestFit="1" customWidth="1"/>
    <col min="6155" max="6155" width="11.36328125" style="345" customWidth="1"/>
    <col min="6156" max="6156" width="5.54296875" style="345" customWidth="1"/>
    <col min="6157" max="6157" width="6.08984375" style="345" customWidth="1"/>
    <col min="6158" max="6400" width="8.90625" style="345"/>
    <col min="6401" max="6401" width="25.36328125" style="345" customWidth="1"/>
    <col min="6402" max="6402" width="3.90625" style="345" bestFit="1" customWidth="1"/>
    <col min="6403" max="6403" width="4.08984375" style="345" bestFit="1" customWidth="1"/>
    <col min="6404" max="6404" width="4.36328125" style="345" bestFit="1" customWidth="1"/>
    <col min="6405" max="6405" width="6.36328125" style="345" bestFit="1" customWidth="1"/>
    <col min="6406" max="6406" width="11.08984375" style="345" customWidth="1"/>
    <col min="6407" max="6407" width="10.90625" style="345" customWidth="1"/>
    <col min="6408" max="6408" width="4.36328125" style="345" bestFit="1" customWidth="1"/>
    <col min="6409" max="6409" width="3.453125" style="345" bestFit="1" customWidth="1"/>
    <col min="6410" max="6410" width="3.6328125" style="345" bestFit="1" customWidth="1"/>
    <col min="6411" max="6411" width="11.36328125" style="345" customWidth="1"/>
    <col min="6412" max="6412" width="5.54296875" style="345" customWidth="1"/>
    <col min="6413" max="6413" width="6.08984375" style="345" customWidth="1"/>
    <col min="6414" max="6656" width="8.90625" style="345"/>
    <col min="6657" max="6657" width="25.36328125" style="345" customWidth="1"/>
    <col min="6658" max="6658" width="3.90625" style="345" bestFit="1" customWidth="1"/>
    <col min="6659" max="6659" width="4.08984375" style="345" bestFit="1" customWidth="1"/>
    <col min="6660" max="6660" width="4.36328125" style="345" bestFit="1" customWidth="1"/>
    <col min="6661" max="6661" width="6.36328125" style="345" bestFit="1" customWidth="1"/>
    <col min="6662" max="6662" width="11.08984375" style="345" customWidth="1"/>
    <col min="6663" max="6663" width="10.90625" style="345" customWidth="1"/>
    <col min="6664" max="6664" width="4.36328125" style="345" bestFit="1" customWidth="1"/>
    <col min="6665" max="6665" width="3.453125" style="345" bestFit="1" customWidth="1"/>
    <col min="6666" max="6666" width="3.6328125" style="345" bestFit="1" customWidth="1"/>
    <col min="6667" max="6667" width="11.36328125" style="345" customWidth="1"/>
    <col min="6668" max="6668" width="5.54296875" style="345" customWidth="1"/>
    <col min="6669" max="6669" width="6.08984375" style="345" customWidth="1"/>
    <col min="6670" max="6912" width="8.90625" style="345"/>
    <col min="6913" max="6913" width="25.36328125" style="345" customWidth="1"/>
    <col min="6914" max="6914" width="3.90625" style="345" bestFit="1" customWidth="1"/>
    <col min="6915" max="6915" width="4.08984375" style="345" bestFit="1" customWidth="1"/>
    <col min="6916" max="6916" width="4.36328125" style="345" bestFit="1" customWidth="1"/>
    <col min="6917" max="6917" width="6.36328125" style="345" bestFit="1" customWidth="1"/>
    <col min="6918" max="6918" width="11.08984375" style="345" customWidth="1"/>
    <col min="6919" max="6919" width="10.90625" style="345" customWidth="1"/>
    <col min="6920" max="6920" width="4.36328125" style="345" bestFit="1" customWidth="1"/>
    <col min="6921" max="6921" width="3.453125" style="345" bestFit="1" customWidth="1"/>
    <col min="6922" max="6922" width="3.6328125" style="345" bestFit="1" customWidth="1"/>
    <col min="6923" max="6923" width="11.36328125" style="345" customWidth="1"/>
    <col min="6924" max="6924" width="5.54296875" style="345" customWidth="1"/>
    <col min="6925" max="6925" width="6.08984375" style="345" customWidth="1"/>
    <col min="6926" max="7168" width="8.90625" style="345"/>
    <col min="7169" max="7169" width="25.36328125" style="345" customWidth="1"/>
    <col min="7170" max="7170" width="3.90625" style="345" bestFit="1" customWidth="1"/>
    <col min="7171" max="7171" width="4.08984375" style="345" bestFit="1" customWidth="1"/>
    <col min="7172" max="7172" width="4.36328125" style="345" bestFit="1" customWidth="1"/>
    <col min="7173" max="7173" width="6.36328125" style="345" bestFit="1" customWidth="1"/>
    <col min="7174" max="7174" width="11.08984375" style="345" customWidth="1"/>
    <col min="7175" max="7175" width="10.90625" style="345" customWidth="1"/>
    <col min="7176" max="7176" width="4.36328125" style="345" bestFit="1" customWidth="1"/>
    <col min="7177" max="7177" width="3.453125" style="345" bestFit="1" customWidth="1"/>
    <col min="7178" max="7178" width="3.6328125" style="345" bestFit="1" customWidth="1"/>
    <col min="7179" max="7179" width="11.36328125" style="345" customWidth="1"/>
    <col min="7180" max="7180" width="5.54296875" style="345" customWidth="1"/>
    <col min="7181" max="7181" width="6.08984375" style="345" customWidth="1"/>
    <col min="7182" max="7424" width="8.90625" style="345"/>
    <col min="7425" max="7425" width="25.36328125" style="345" customWidth="1"/>
    <col min="7426" max="7426" width="3.90625" style="345" bestFit="1" customWidth="1"/>
    <col min="7427" max="7427" width="4.08984375" style="345" bestFit="1" customWidth="1"/>
    <col min="7428" max="7428" width="4.36328125" style="345" bestFit="1" customWidth="1"/>
    <col min="7429" max="7429" width="6.36328125" style="345" bestFit="1" customWidth="1"/>
    <col min="7430" max="7430" width="11.08984375" style="345" customWidth="1"/>
    <col min="7431" max="7431" width="10.90625" style="345" customWidth="1"/>
    <col min="7432" max="7432" width="4.36328125" style="345" bestFit="1" customWidth="1"/>
    <col min="7433" max="7433" width="3.453125" style="345" bestFit="1" customWidth="1"/>
    <col min="7434" max="7434" width="3.6328125" style="345" bestFit="1" customWidth="1"/>
    <col min="7435" max="7435" width="11.36328125" style="345" customWidth="1"/>
    <col min="7436" max="7436" width="5.54296875" style="345" customWidth="1"/>
    <col min="7437" max="7437" width="6.08984375" style="345" customWidth="1"/>
    <col min="7438" max="7680" width="8.90625" style="345"/>
    <col min="7681" max="7681" width="25.36328125" style="345" customWidth="1"/>
    <col min="7682" max="7682" width="3.90625" style="345" bestFit="1" customWidth="1"/>
    <col min="7683" max="7683" width="4.08984375" style="345" bestFit="1" customWidth="1"/>
    <col min="7684" max="7684" width="4.36328125" style="345" bestFit="1" customWidth="1"/>
    <col min="7685" max="7685" width="6.36328125" style="345" bestFit="1" customWidth="1"/>
    <col min="7686" max="7686" width="11.08984375" style="345" customWidth="1"/>
    <col min="7687" max="7687" width="10.90625" style="345" customWidth="1"/>
    <col min="7688" max="7688" width="4.36328125" style="345" bestFit="1" customWidth="1"/>
    <col min="7689" max="7689" width="3.453125" style="345" bestFit="1" customWidth="1"/>
    <col min="7690" max="7690" width="3.6328125" style="345" bestFit="1" customWidth="1"/>
    <col min="7691" max="7691" width="11.36328125" style="345" customWidth="1"/>
    <col min="7692" max="7692" width="5.54296875" style="345" customWidth="1"/>
    <col min="7693" max="7693" width="6.08984375" style="345" customWidth="1"/>
    <col min="7694" max="7936" width="8.90625" style="345"/>
    <col min="7937" max="7937" width="25.36328125" style="345" customWidth="1"/>
    <col min="7938" max="7938" width="3.90625" style="345" bestFit="1" customWidth="1"/>
    <col min="7939" max="7939" width="4.08984375" style="345" bestFit="1" customWidth="1"/>
    <col min="7940" max="7940" width="4.36328125" style="345" bestFit="1" customWidth="1"/>
    <col min="7941" max="7941" width="6.36328125" style="345" bestFit="1" customWidth="1"/>
    <col min="7942" max="7942" width="11.08984375" style="345" customWidth="1"/>
    <col min="7943" max="7943" width="10.90625" style="345" customWidth="1"/>
    <col min="7944" max="7944" width="4.36328125" style="345" bestFit="1" customWidth="1"/>
    <col min="7945" max="7945" width="3.453125" style="345" bestFit="1" customWidth="1"/>
    <col min="7946" max="7946" width="3.6328125" style="345" bestFit="1" customWidth="1"/>
    <col min="7947" max="7947" width="11.36328125" style="345" customWidth="1"/>
    <col min="7948" max="7948" width="5.54296875" style="345" customWidth="1"/>
    <col min="7949" max="7949" width="6.08984375" style="345" customWidth="1"/>
    <col min="7950" max="8192" width="8.90625" style="345"/>
    <col min="8193" max="8193" width="25.36328125" style="345" customWidth="1"/>
    <col min="8194" max="8194" width="3.90625" style="345" bestFit="1" customWidth="1"/>
    <col min="8195" max="8195" width="4.08984375" style="345" bestFit="1" customWidth="1"/>
    <col min="8196" max="8196" width="4.36328125" style="345" bestFit="1" customWidth="1"/>
    <col min="8197" max="8197" width="6.36328125" style="345" bestFit="1" customWidth="1"/>
    <col min="8198" max="8198" width="11.08984375" style="345" customWidth="1"/>
    <col min="8199" max="8199" width="10.90625" style="345" customWidth="1"/>
    <col min="8200" max="8200" width="4.36328125" style="345" bestFit="1" customWidth="1"/>
    <col min="8201" max="8201" width="3.453125" style="345" bestFit="1" customWidth="1"/>
    <col min="8202" max="8202" width="3.6328125" style="345" bestFit="1" customWidth="1"/>
    <col min="8203" max="8203" width="11.36328125" style="345" customWidth="1"/>
    <col min="8204" max="8204" width="5.54296875" style="345" customWidth="1"/>
    <col min="8205" max="8205" width="6.08984375" style="345" customWidth="1"/>
    <col min="8206" max="8448" width="8.90625" style="345"/>
    <col min="8449" max="8449" width="25.36328125" style="345" customWidth="1"/>
    <col min="8450" max="8450" width="3.90625" style="345" bestFit="1" customWidth="1"/>
    <col min="8451" max="8451" width="4.08984375" style="345" bestFit="1" customWidth="1"/>
    <col min="8452" max="8452" width="4.36328125" style="345" bestFit="1" customWidth="1"/>
    <col min="8453" max="8453" width="6.36328125" style="345" bestFit="1" customWidth="1"/>
    <col min="8454" max="8454" width="11.08984375" style="345" customWidth="1"/>
    <col min="8455" max="8455" width="10.90625" style="345" customWidth="1"/>
    <col min="8456" max="8456" width="4.36328125" style="345" bestFit="1" customWidth="1"/>
    <col min="8457" max="8457" width="3.453125" style="345" bestFit="1" customWidth="1"/>
    <col min="8458" max="8458" width="3.6328125" style="345" bestFit="1" customWidth="1"/>
    <col min="8459" max="8459" width="11.36328125" style="345" customWidth="1"/>
    <col min="8460" max="8460" width="5.54296875" style="345" customWidth="1"/>
    <col min="8461" max="8461" width="6.08984375" style="345" customWidth="1"/>
    <col min="8462" max="8704" width="8.90625" style="345"/>
    <col min="8705" max="8705" width="25.36328125" style="345" customWidth="1"/>
    <col min="8706" max="8706" width="3.90625" style="345" bestFit="1" customWidth="1"/>
    <col min="8707" max="8707" width="4.08984375" style="345" bestFit="1" customWidth="1"/>
    <col min="8708" max="8708" width="4.36328125" style="345" bestFit="1" customWidth="1"/>
    <col min="8709" max="8709" width="6.36328125" style="345" bestFit="1" customWidth="1"/>
    <col min="8710" max="8710" width="11.08984375" style="345" customWidth="1"/>
    <col min="8711" max="8711" width="10.90625" style="345" customWidth="1"/>
    <col min="8712" max="8712" width="4.36328125" style="345" bestFit="1" customWidth="1"/>
    <col min="8713" max="8713" width="3.453125" style="345" bestFit="1" customWidth="1"/>
    <col min="8714" max="8714" width="3.6328125" style="345" bestFit="1" customWidth="1"/>
    <col min="8715" max="8715" width="11.36328125" style="345" customWidth="1"/>
    <col min="8716" max="8716" width="5.54296875" style="345" customWidth="1"/>
    <col min="8717" max="8717" width="6.08984375" style="345" customWidth="1"/>
    <col min="8718" max="8960" width="8.90625" style="345"/>
    <col min="8961" max="8961" width="25.36328125" style="345" customWidth="1"/>
    <col min="8962" max="8962" width="3.90625" style="345" bestFit="1" customWidth="1"/>
    <col min="8963" max="8963" width="4.08984375" style="345" bestFit="1" customWidth="1"/>
    <col min="8964" max="8964" width="4.36328125" style="345" bestFit="1" customWidth="1"/>
    <col min="8965" max="8965" width="6.36328125" style="345" bestFit="1" customWidth="1"/>
    <col min="8966" max="8966" width="11.08984375" style="345" customWidth="1"/>
    <col min="8967" max="8967" width="10.90625" style="345" customWidth="1"/>
    <col min="8968" max="8968" width="4.36328125" style="345" bestFit="1" customWidth="1"/>
    <col min="8969" max="8969" width="3.453125" style="345" bestFit="1" customWidth="1"/>
    <col min="8970" max="8970" width="3.6328125" style="345" bestFit="1" customWidth="1"/>
    <col min="8971" max="8971" width="11.36328125" style="345" customWidth="1"/>
    <col min="8972" max="8972" width="5.54296875" style="345" customWidth="1"/>
    <col min="8973" max="8973" width="6.08984375" style="345" customWidth="1"/>
    <col min="8974" max="9216" width="8.90625" style="345"/>
    <col min="9217" max="9217" width="25.36328125" style="345" customWidth="1"/>
    <col min="9218" max="9218" width="3.90625" style="345" bestFit="1" customWidth="1"/>
    <col min="9219" max="9219" width="4.08984375" style="345" bestFit="1" customWidth="1"/>
    <col min="9220" max="9220" width="4.36328125" style="345" bestFit="1" customWidth="1"/>
    <col min="9221" max="9221" width="6.36328125" style="345" bestFit="1" customWidth="1"/>
    <col min="9222" max="9222" width="11.08984375" style="345" customWidth="1"/>
    <col min="9223" max="9223" width="10.90625" style="345" customWidth="1"/>
    <col min="9224" max="9224" width="4.36328125" style="345" bestFit="1" customWidth="1"/>
    <col min="9225" max="9225" width="3.453125" style="345" bestFit="1" customWidth="1"/>
    <col min="9226" max="9226" width="3.6328125" style="345" bestFit="1" customWidth="1"/>
    <col min="9227" max="9227" width="11.36328125" style="345" customWidth="1"/>
    <col min="9228" max="9228" width="5.54296875" style="345" customWidth="1"/>
    <col min="9229" max="9229" width="6.08984375" style="345" customWidth="1"/>
    <col min="9230" max="9472" width="8.90625" style="345"/>
    <col min="9473" max="9473" width="25.36328125" style="345" customWidth="1"/>
    <col min="9474" max="9474" width="3.90625" style="345" bestFit="1" customWidth="1"/>
    <col min="9475" max="9475" width="4.08984375" style="345" bestFit="1" customWidth="1"/>
    <col min="9476" max="9476" width="4.36328125" style="345" bestFit="1" customWidth="1"/>
    <col min="9477" max="9477" width="6.36328125" style="345" bestFit="1" customWidth="1"/>
    <col min="9478" max="9478" width="11.08984375" style="345" customWidth="1"/>
    <col min="9479" max="9479" width="10.90625" style="345" customWidth="1"/>
    <col min="9480" max="9480" width="4.36328125" style="345" bestFit="1" customWidth="1"/>
    <col min="9481" max="9481" width="3.453125" style="345" bestFit="1" customWidth="1"/>
    <col min="9482" max="9482" width="3.6328125" style="345" bestFit="1" customWidth="1"/>
    <col min="9483" max="9483" width="11.36328125" style="345" customWidth="1"/>
    <col min="9484" max="9484" width="5.54296875" style="345" customWidth="1"/>
    <col min="9485" max="9485" width="6.08984375" style="345" customWidth="1"/>
    <col min="9486" max="9728" width="8.90625" style="345"/>
    <col min="9729" max="9729" width="25.36328125" style="345" customWidth="1"/>
    <col min="9730" max="9730" width="3.90625" style="345" bestFit="1" customWidth="1"/>
    <col min="9731" max="9731" width="4.08984375" style="345" bestFit="1" customWidth="1"/>
    <col min="9732" max="9732" width="4.36328125" style="345" bestFit="1" customWidth="1"/>
    <col min="9733" max="9733" width="6.36328125" style="345" bestFit="1" customWidth="1"/>
    <col min="9734" max="9734" width="11.08984375" style="345" customWidth="1"/>
    <col min="9735" max="9735" width="10.90625" style="345" customWidth="1"/>
    <col min="9736" max="9736" width="4.36328125" style="345" bestFit="1" customWidth="1"/>
    <col min="9737" max="9737" width="3.453125" style="345" bestFit="1" customWidth="1"/>
    <col min="9738" max="9738" width="3.6328125" style="345" bestFit="1" customWidth="1"/>
    <col min="9739" max="9739" width="11.36328125" style="345" customWidth="1"/>
    <col min="9740" max="9740" width="5.54296875" style="345" customWidth="1"/>
    <col min="9741" max="9741" width="6.08984375" style="345" customWidth="1"/>
    <col min="9742" max="9984" width="8.90625" style="345"/>
    <col min="9985" max="9985" width="25.36328125" style="345" customWidth="1"/>
    <col min="9986" max="9986" width="3.90625" style="345" bestFit="1" customWidth="1"/>
    <col min="9987" max="9987" width="4.08984375" style="345" bestFit="1" customWidth="1"/>
    <col min="9988" max="9988" width="4.36328125" style="345" bestFit="1" customWidth="1"/>
    <col min="9989" max="9989" width="6.36328125" style="345" bestFit="1" customWidth="1"/>
    <col min="9990" max="9990" width="11.08984375" style="345" customWidth="1"/>
    <col min="9991" max="9991" width="10.90625" style="345" customWidth="1"/>
    <col min="9992" max="9992" width="4.36328125" style="345" bestFit="1" customWidth="1"/>
    <col min="9993" max="9993" width="3.453125" style="345" bestFit="1" customWidth="1"/>
    <col min="9994" max="9994" width="3.6328125" style="345" bestFit="1" customWidth="1"/>
    <col min="9995" max="9995" width="11.36328125" style="345" customWidth="1"/>
    <col min="9996" max="9996" width="5.54296875" style="345" customWidth="1"/>
    <col min="9997" max="9997" width="6.08984375" style="345" customWidth="1"/>
    <col min="9998" max="10240" width="8.90625" style="345"/>
    <col min="10241" max="10241" width="25.36328125" style="345" customWidth="1"/>
    <col min="10242" max="10242" width="3.90625" style="345" bestFit="1" customWidth="1"/>
    <col min="10243" max="10243" width="4.08984375" style="345" bestFit="1" customWidth="1"/>
    <col min="10244" max="10244" width="4.36328125" style="345" bestFit="1" customWidth="1"/>
    <col min="10245" max="10245" width="6.36328125" style="345" bestFit="1" customWidth="1"/>
    <col min="10246" max="10246" width="11.08984375" style="345" customWidth="1"/>
    <col min="10247" max="10247" width="10.90625" style="345" customWidth="1"/>
    <col min="10248" max="10248" width="4.36328125" style="345" bestFit="1" customWidth="1"/>
    <col min="10249" max="10249" width="3.453125" style="345" bestFit="1" customWidth="1"/>
    <col min="10250" max="10250" width="3.6328125" style="345" bestFit="1" customWidth="1"/>
    <col min="10251" max="10251" width="11.36328125" style="345" customWidth="1"/>
    <col min="10252" max="10252" width="5.54296875" style="345" customWidth="1"/>
    <col min="10253" max="10253" width="6.08984375" style="345" customWidth="1"/>
    <col min="10254" max="10496" width="8.90625" style="345"/>
    <col min="10497" max="10497" width="25.36328125" style="345" customWidth="1"/>
    <col min="10498" max="10498" width="3.90625" style="345" bestFit="1" customWidth="1"/>
    <col min="10499" max="10499" width="4.08984375" style="345" bestFit="1" customWidth="1"/>
    <col min="10500" max="10500" width="4.36328125" style="345" bestFit="1" customWidth="1"/>
    <col min="10501" max="10501" width="6.36328125" style="345" bestFit="1" customWidth="1"/>
    <col min="10502" max="10502" width="11.08984375" style="345" customWidth="1"/>
    <col min="10503" max="10503" width="10.90625" style="345" customWidth="1"/>
    <col min="10504" max="10504" width="4.36328125" style="345" bestFit="1" customWidth="1"/>
    <col min="10505" max="10505" width="3.453125" style="345" bestFit="1" customWidth="1"/>
    <col min="10506" max="10506" width="3.6328125" style="345" bestFit="1" customWidth="1"/>
    <col min="10507" max="10507" width="11.36328125" style="345" customWidth="1"/>
    <col min="10508" max="10508" width="5.54296875" style="345" customWidth="1"/>
    <col min="10509" max="10509" width="6.08984375" style="345" customWidth="1"/>
    <col min="10510" max="10752" width="8.90625" style="345"/>
    <col min="10753" max="10753" width="25.36328125" style="345" customWidth="1"/>
    <col min="10754" max="10754" width="3.90625" style="345" bestFit="1" customWidth="1"/>
    <col min="10755" max="10755" width="4.08984375" style="345" bestFit="1" customWidth="1"/>
    <col min="10756" max="10756" width="4.36328125" style="345" bestFit="1" customWidth="1"/>
    <col min="10757" max="10757" width="6.36328125" style="345" bestFit="1" customWidth="1"/>
    <col min="10758" max="10758" width="11.08984375" style="345" customWidth="1"/>
    <col min="10759" max="10759" width="10.90625" style="345" customWidth="1"/>
    <col min="10760" max="10760" width="4.36328125" style="345" bestFit="1" customWidth="1"/>
    <col min="10761" max="10761" width="3.453125" style="345" bestFit="1" customWidth="1"/>
    <col min="10762" max="10762" width="3.6328125" style="345" bestFit="1" customWidth="1"/>
    <col min="10763" max="10763" width="11.36328125" style="345" customWidth="1"/>
    <col min="10764" max="10764" width="5.54296875" style="345" customWidth="1"/>
    <col min="10765" max="10765" width="6.08984375" style="345" customWidth="1"/>
    <col min="10766" max="11008" width="8.90625" style="345"/>
    <col min="11009" max="11009" width="25.36328125" style="345" customWidth="1"/>
    <col min="11010" max="11010" width="3.90625" style="345" bestFit="1" customWidth="1"/>
    <col min="11011" max="11011" width="4.08984375" style="345" bestFit="1" customWidth="1"/>
    <col min="11012" max="11012" width="4.36328125" style="345" bestFit="1" customWidth="1"/>
    <col min="11013" max="11013" width="6.36328125" style="345" bestFit="1" customWidth="1"/>
    <col min="11014" max="11014" width="11.08984375" style="345" customWidth="1"/>
    <col min="11015" max="11015" width="10.90625" style="345" customWidth="1"/>
    <col min="11016" max="11016" width="4.36328125" style="345" bestFit="1" customWidth="1"/>
    <col min="11017" max="11017" width="3.453125" style="345" bestFit="1" customWidth="1"/>
    <col min="11018" max="11018" width="3.6328125" style="345" bestFit="1" customWidth="1"/>
    <col min="11019" max="11019" width="11.36328125" style="345" customWidth="1"/>
    <col min="11020" max="11020" width="5.54296875" style="345" customWidth="1"/>
    <col min="11021" max="11021" width="6.08984375" style="345" customWidth="1"/>
    <col min="11022" max="11264" width="8.90625" style="345"/>
    <col min="11265" max="11265" width="25.36328125" style="345" customWidth="1"/>
    <col min="11266" max="11266" width="3.90625" style="345" bestFit="1" customWidth="1"/>
    <col min="11267" max="11267" width="4.08984375" style="345" bestFit="1" customWidth="1"/>
    <col min="11268" max="11268" width="4.36328125" style="345" bestFit="1" customWidth="1"/>
    <col min="11269" max="11269" width="6.36328125" style="345" bestFit="1" customWidth="1"/>
    <col min="11270" max="11270" width="11.08984375" style="345" customWidth="1"/>
    <col min="11271" max="11271" width="10.90625" style="345" customWidth="1"/>
    <col min="11272" max="11272" width="4.36328125" style="345" bestFit="1" customWidth="1"/>
    <col min="11273" max="11273" width="3.453125" style="345" bestFit="1" customWidth="1"/>
    <col min="11274" max="11274" width="3.6328125" style="345" bestFit="1" customWidth="1"/>
    <col min="11275" max="11275" width="11.36328125" style="345" customWidth="1"/>
    <col min="11276" max="11276" width="5.54296875" style="345" customWidth="1"/>
    <col min="11277" max="11277" width="6.08984375" style="345" customWidth="1"/>
    <col min="11278" max="11520" width="8.90625" style="345"/>
    <col min="11521" max="11521" width="25.36328125" style="345" customWidth="1"/>
    <col min="11522" max="11522" width="3.90625" style="345" bestFit="1" customWidth="1"/>
    <col min="11523" max="11523" width="4.08984375" style="345" bestFit="1" customWidth="1"/>
    <col min="11524" max="11524" width="4.36328125" style="345" bestFit="1" customWidth="1"/>
    <col min="11525" max="11525" width="6.36328125" style="345" bestFit="1" customWidth="1"/>
    <col min="11526" max="11526" width="11.08984375" style="345" customWidth="1"/>
    <col min="11527" max="11527" width="10.90625" style="345" customWidth="1"/>
    <col min="11528" max="11528" width="4.36328125" style="345" bestFit="1" customWidth="1"/>
    <col min="11529" max="11529" width="3.453125" style="345" bestFit="1" customWidth="1"/>
    <col min="11530" max="11530" width="3.6328125" style="345" bestFit="1" customWidth="1"/>
    <col min="11531" max="11531" width="11.36328125" style="345" customWidth="1"/>
    <col min="11532" max="11532" width="5.54296875" style="345" customWidth="1"/>
    <col min="11533" max="11533" width="6.08984375" style="345" customWidth="1"/>
    <col min="11534" max="11776" width="8.90625" style="345"/>
    <col min="11777" max="11777" width="25.36328125" style="345" customWidth="1"/>
    <col min="11778" max="11778" width="3.90625" style="345" bestFit="1" customWidth="1"/>
    <col min="11779" max="11779" width="4.08984375" style="345" bestFit="1" customWidth="1"/>
    <col min="11780" max="11780" width="4.36328125" style="345" bestFit="1" customWidth="1"/>
    <col min="11781" max="11781" width="6.36328125" style="345" bestFit="1" customWidth="1"/>
    <col min="11782" max="11782" width="11.08984375" style="345" customWidth="1"/>
    <col min="11783" max="11783" width="10.90625" style="345" customWidth="1"/>
    <col min="11784" max="11784" width="4.36328125" style="345" bestFit="1" customWidth="1"/>
    <col min="11785" max="11785" width="3.453125" style="345" bestFit="1" customWidth="1"/>
    <col min="11786" max="11786" width="3.6328125" style="345" bestFit="1" customWidth="1"/>
    <col min="11787" max="11787" width="11.36328125" style="345" customWidth="1"/>
    <col min="11788" max="11788" width="5.54296875" style="345" customWidth="1"/>
    <col min="11789" max="11789" width="6.08984375" style="345" customWidth="1"/>
    <col min="11790" max="12032" width="8.90625" style="345"/>
    <col min="12033" max="12033" width="25.36328125" style="345" customWidth="1"/>
    <col min="12034" max="12034" width="3.90625" style="345" bestFit="1" customWidth="1"/>
    <col min="12035" max="12035" width="4.08984375" style="345" bestFit="1" customWidth="1"/>
    <col min="12036" max="12036" width="4.36328125" style="345" bestFit="1" customWidth="1"/>
    <col min="12037" max="12037" width="6.36328125" style="345" bestFit="1" customWidth="1"/>
    <col min="12038" max="12038" width="11.08984375" style="345" customWidth="1"/>
    <col min="12039" max="12039" width="10.90625" style="345" customWidth="1"/>
    <col min="12040" max="12040" width="4.36328125" style="345" bestFit="1" customWidth="1"/>
    <col min="12041" max="12041" width="3.453125" style="345" bestFit="1" customWidth="1"/>
    <col min="12042" max="12042" width="3.6328125" style="345" bestFit="1" customWidth="1"/>
    <col min="12043" max="12043" width="11.36328125" style="345" customWidth="1"/>
    <col min="12044" max="12044" width="5.54296875" style="345" customWidth="1"/>
    <col min="12045" max="12045" width="6.08984375" style="345" customWidth="1"/>
    <col min="12046" max="12288" width="8.90625" style="345"/>
    <col min="12289" max="12289" width="25.36328125" style="345" customWidth="1"/>
    <col min="12290" max="12290" width="3.90625" style="345" bestFit="1" customWidth="1"/>
    <col min="12291" max="12291" width="4.08984375" style="345" bestFit="1" customWidth="1"/>
    <col min="12292" max="12292" width="4.36328125" style="345" bestFit="1" customWidth="1"/>
    <col min="12293" max="12293" width="6.36328125" style="345" bestFit="1" customWidth="1"/>
    <col min="12294" max="12294" width="11.08984375" style="345" customWidth="1"/>
    <col min="12295" max="12295" width="10.90625" style="345" customWidth="1"/>
    <col min="12296" max="12296" width="4.36328125" style="345" bestFit="1" customWidth="1"/>
    <col min="12297" max="12297" width="3.453125" style="345" bestFit="1" customWidth="1"/>
    <col min="12298" max="12298" width="3.6328125" style="345" bestFit="1" customWidth="1"/>
    <col min="12299" max="12299" width="11.36328125" style="345" customWidth="1"/>
    <col min="12300" max="12300" width="5.54296875" style="345" customWidth="1"/>
    <col min="12301" max="12301" width="6.08984375" style="345" customWidth="1"/>
    <col min="12302" max="12544" width="8.90625" style="345"/>
    <col min="12545" max="12545" width="25.36328125" style="345" customWidth="1"/>
    <col min="12546" max="12546" width="3.90625" style="345" bestFit="1" customWidth="1"/>
    <col min="12547" max="12547" width="4.08984375" style="345" bestFit="1" customWidth="1"/>
    <col min="12548" max="12548" width="4.36328125" style="345" bestFit="1" customWidth="1"/>
    <col min="12549" max="12549" width="6.36328125" style="345" bestFit="1" customWidth="1"/>
    <col min="12550" max="12550" width="11.08984375" style="345" customWidth="1"/>
    <col min="12551" max="12551" width="10.90625" style="345" customWidth="1"/>
    <col min="12552" max="12552" width="4.36328125" style="345" bestFit="1" customWidth="1"/>
    <col min="12553" max="12553" width="3.453125" style="345" bestFit="1" customWidth="1"/>
    <col min="12554" max="12554" width="3.6328125" style="345" bestFit="1" customWidth="1"/>
    <col min="12555" max="12555" width="11.36328125" style="345" customWidth="1"/>
    <col min="12556" max="12556" width="5.54296875" style="345" customWidth="1"/>
    <col min="12557" max="12557" width="6.08984375" style="345" customWidth="1"/>
    <col min="12558" max="12800" width="8.90625" style="345"/>
    <col min="12801" max="12801" width="25.36328125" style="345" customWidth="1"/>
    <col min="12802" max="12802" width="3.90625" style="345" bestFit="1" customWidth="1"/>
    <col min="12803" max="12803" width="4.08984375" style="345" bestFit="1" customWidth="1"/>
    <col min="12804" max="12804" width="4.36328125" style="345" bestFit="1" customWidth="1"/>
    <col min="12805" max="12805" width="6.36328125" style="345" bestFit="1" customWidth="1"/>
    <col min="12806" max="12806" width="11.08984375" style="345" customWidth="1"/>
    <col min="12807" max="12807" width="10.90625" style="345" customWidth="1"/>
    <col min="12808" max="12808" width="4.36328125" style="345" bestFit="1" customWidth="1"/>
    <col min="12809" max="12809" width="3.453125" style="345" bestFit="1" customWidth="1"/>
    <col min="12810" max="12810" width="3.6328125" style="345" bestFit="1" customWidth="1"/>
    <col min="12811" max="12811" width="11.36328125" style="345" customWidth="1"/>
    <col min="12812" max="12812" width="5.54296875" style="345" customWidth="1"/>
    <col min="12813" max="12813" width="6.08984375" style="345" customWidth="1"/>
    <col min="12814" max="13056" width="8.90625" style="345"/>
    <col min="13057" max="13057" width="25.36328125" style="345" customWidth="1"/>
    <col min="13058" max="13058" width="3.90625" style="345" bestFit="1" customWidth="1"/>
    <col min="13059" max="13059" width="4.08984375" style="345" bestFit="1" customWidth="1"/>
    <col min="13060" max="13060" width="4.36328125" style="345" bestFit="1" customWidth="1"/>
    <col min="13061" max="13061" width="6.36328125" style="345" bestFit="1" customWidth="1"/>
    <col min="13062" max="13062" width="11.08984375" style="345" customWidth="1"/>
    <col min="13063" max="13063" width="10.90625" style="345" customWidth="1"/>
    <col min="13064" max="13064" width="4.36328125" style="345" bestFit="1" customWidth="1"/>
    <col min="13065" max="13065" width="3.453125" style="345" bestFit="1" customWidth="1"/>
    <col min="13066" max="13066" width="3.6328125" style="345" bestFit="1" customWidth="1"/>
    <col min="13067" max="13067" width="11.36328125" style="345" customWidth="1"/>
    <col min="13068" max="13068" width="5.54296875" style="345" customWidth="1"/>
    <col min="13069" max="13069" width="6.08984375" style="345" customWidth="1"/>
    <col min="13070" max="13312" width="8.90625" style="345"/>
    <col min="13313" max="13313" width="25.36328125" style="345" customWidth="1"/>
    <col min="13314" max="13314" width="3.90625" style="345" bestFit="1" customWidth="1"/>
    <col min="13315" max="13315" width="4.08984375" style="345" bestFit="1" customWidth="1"/>
    <col min="13316" max="13316" width="4.36328125" style="345" bestFit="1" customWidth="1"/>
    <col min="13317" max="13317" width="6.36328125" style="345" bestFit="1" customWidth="1"/>
    <col min="13318" max="13318" width="11.08984375" style="345" customWidth="1"/>
    <col min="13319" max="13319" width="10.90625" style="345" customWidth="1"/>
    <col min="13320" max="13320" width="4.36328125" style="345" bestFit="1" customWidth="1"/>
    <col min="13321" max="13321" width="3.453125" style="345" bestFit="1" customWidth="1"/>
    <col min="13322" max="13322" width="3.6328125" style="345" bestFit="1" customWidth="1"/>
    <col min="13323" max="13323" width="11.36328125" style="345" customWidth="1"/>
    <col min="13324" max="13324" width="5.54296875" style="345" customWidth="1"/>
    <col min="13325" max="13325" width="6.08984375" style="345" customWidth="1"/>
    <col min="13326" max="13568" width="8.90625" style="345"/>
    <col min="13569" max="13569" width="25.36328125" style="345" customWidth="1"/>
    <col min="13570" max="13570" width="3.90625" style="345" bestFit="1" customWidth="1"/>
    <col min="13571" max="13571" width="4.08984375" style="345" bestFit="1" customWidth="1"/>
    <col min="13572" max="13572" width="4.36328125" style="345" bestFit="1" customWidth="1"/>
    <col min="13573" max="13573" width="6.36328125" style="345" bestFit="1" customWidth="1"/>
    <col min="13574" max="13574" width="11.08984375" style="345" customWidth="1"/>
    <col min="13575" max="13575" width="10.90625" style="345" customWidth="1"/>
    <col min="13576" max="13576" width="4.36328125" style="345" bestFit="1" customWidth="1"/>
    <col min="13577" max="13577" width="3.453125" style="345" bestFit="1" customWidth="1"/>
    <col min="13578" max="13578" width="3.6328125" style="345" bestFit="1" customWidth="1"/>
    <col min="13579" max="13579" width="11.36328125" style="345" customWidth="1"/>
    <col min="13580" max="13580" width="5.54296875" style="345" customWidth="1"/>
    <col min="13581" max="13581" width="6.08984375" style="345" customWidth="1"/>
    <col min="13582" max="13824" width="8.90625" style="345"/>
    <col min="13825" max="13825" width="25.36328125" style="345" customWidth="1"/>
    <col min="13826" max="13826" width="3.90625" style="345" bestFit="1" customWidth="1"/>
    <col min="13827" max="13827" width="4.08984375" style="345" bestFit="1" customWidth="1"/>
    <col min="13828" max="13828" width="4.36328125" style="345" bestFit="1" customWidth="1"/>
    <col min="13829" max="13829" width="6.36328125" style="345" bestFit="1" customWidth="1"/>
    <col min="13830" max="13830" width="11.08984375" style="345" customWidth="1"/>
    <col min="13831" max="13831" width="10.90625" style="345" customWidth="1"/>
    <col min="13832" max="13832" width="4.36328125" style="345" bestFit="1" customWidth="1"/>
    <col min="13833" max="13833" width="3.453125" style="345" bestFit="1" customWidth="1"/>
    <col min="13834" max="13834" width="3.6328125" style="345" bestFit="1" customWidth="1"/>
    <col min="13835" max="13835" width="11.36328125" style="345" customWidth="1"/>
    <col min="13836" max="13836" width="5.54296875" style="345" customWidth="1"/>
    <col min="13837" max="13837" width="6.08984375" style="345" customWidth="1"/>
    <col min="13838" max="14080" width="8.90625" style="345"/>
    <col min="14081" max="14081" width="25.36328125" style="345" customWidth="1"/>
    <col min="14082" max="14082" width="3.90625" style="345" bestFit="1" customWidth="1"/>
    <col min="14083" max="14083" width="4.08984375" style="345" bestFit="1" customWidth="1"/>
    <col min="14084" max="14084" width="4.36328125" style="345" bestFit="1" customWidth="1"/>
    <col min="14085" max="14085" width="6.36328125" style="345" bestFit="1" customWidth="1"/>
    <col min="14086" max="14086" width="11.08984375" style="345" customWidth="1"/>
    <col min="14087" max="14087" width="10.90625" style="345" customWidth="1"/>
    <col min="14088" max="14088" width="4.36328125" style="345" bestFit="1" customWidth="1"/>
    <col min="14089" max="14089" width="3.453125" style="345" bestFit="1" customWidth="1"/>
    <col min="14090" max="14090" width="3.6328125" style="345" bestFit="1" customWidth="1"/>
    <col min="14091" max="14091" width="11.36328125" style="345" customWidth="1"/>
    <col min="14092" max="14092" width="5.54296875" style="345" customWidth="1"/>
    <col min="14093" max="14093" width="6.08984375" style="345" customWidth="1"/>
    <col min="14094" max="14336" width="8.90625" style="345"/>
    <col min="14337" max="14337" width="25.36328125" style="345" customWidth="1"/>
    <col min="14338" max="14338" width="3.90625" style="345" bestFit="1" customWidth="1"/>
    <col min="14339" max="14339" width="4.08984375" style="345" bestFit="1" customWidth="1"/>
    <col min="14340" max="14340" width="4.36328125" style="345" bestFit="1" customWidth="1"/>
    <col min="14341" max="14341" width="6.36328125" style="345" bestFit="1" customWidth="1"/>
    <col min="14342" max="14342" width="11.08984375" style="345" customWidth="1"/>
    <col min="14343" max="14343" width="10.90625" style="345" customWidth="1"/>
    <col min="14344" max="14344" width="4.36328125" style="345" bestFit="1" customWidth="1"/>
    <col min="14345" max="14345" width="3.453125" style="345" bestFit="1" customWidth="1"/>
    <col min="14346" max="14346" width="3.6328125" style="345" bestFit="1" customWidth="1"/>
    <col min="14347" max="14347" width="11.36328125" style="345" customWidth="1"/>
    <col min="14348" max="14348" width="5.54296875" style="345" customWidth="1"/>
    <col min="14349" max="14349" width="6.08984375" style="345" customWidth="1"/>
    <col min="14350" max="14592" width="8.90625" style="345"/>
    <col min="14593" max="14593" width="25.36328125" style="345" customWidth="1"/>
    <col min="14594" max="14594" width="3.90625" style="345" bestFit="1" customWidth="1"/>
    <col min="14595" max="14595" width="4.08984375" style="345" bestFit="1" customWidth="1"/>
    <col min="14596" max="14596" width="4.36328125" style="345" bestFit="1" customWidth="1"/>
    <col min="14597" max="14597" width="6.36328125" style="345" bestFit="1" customWidth="1"/>
    <col min="14598" max="14598" width="11.08984375" style="345" customWidth="1"/>
    <col min="14599" max="14599" width="10.90625" style="345" customWidth="1"/>
    <col min="14600" max="14600" width="4.36328125" style="345" bestFit="1" customWidth="1"/>
    <col min="14601" max="14601" width="3.453125" style="345" bestFit="1" customWidth="1"/>
    <col min="14602" max="14602" width="3.6328125" style="345" bestFit="1" customWidth="1"/>
    <col min="14603" max="14603" width="11.36328125" style="345" customWidth="1"/>
    <col min="14604" max="14604" width="5.54296875" style="345" customWidth="1"/>
    <col min="14605" max="14605" width="6.08984375" style="345" customWidth="1"/>
    <col min="14606" max="14848" width="8.90625" style="345"/>
    <col min="14849" max="14849" width="25.36328125" style="345" customWidth="1"/>
    <col min="14850" max="14850" width="3.90625" style="345" bestFit="1" customWidth="1"/>
    <col min="14851" max="14851" width="4.08984375" style="345" bestFit="1" customWidth="1"/>
    <col min="14852" max="14852" width="4.36328125" style="345" bestFit="1" customWidth="1"/>
    <col min="14853" max="14853" width="6.36328125" style="345" bestFit="1" customWidth="1"/>
    <col min="14854" max="14854" width="11.08984375" style="345" customWidth="1"/>
    <col min="14855" max="14855" width="10.90625" style="345" customWidth="1"/>
    <col min="14856" max="14856" width="4.36328125" style="345" bestFit="1" customWidth="1"/>
    <col min="14857" max="14857" width="3.453125" style="345" bestFit="1" customWidth="1"/>
    <col min="14858" max="14858" width="3.6328125" style="345" bestFit="1" customWidth="1"/>
    <col min="14859" max="14859" width="11.36328125" style="345" customWidth="1"/>
    <col min="14860" max="14860" width="5.54296875" style="345" customWidth="1"/>
    <col min="14861" max="14861" width="6.08984375" style="345" customWidth="1"/>
    <col min="14862" max="15104" width="8.90625" style="345"/>
    <col min="15105" max="15105" width="25.36328125" style="345" customWidth="1"/>
    <col min="15106" max="15106" width="3.90625" style="345" bestFit="1" customWidth="1"/>
    <col min="15107" max="15107" width="4.08984375" style="345" bestFit="1" customWidth="1"/>
    <col min="15108" max="15108" width="4.36328125" style="345" bestFit="1" customWidth="1"/>
    <col min="15109" max="15109" width="6.36328125" style="345" bestFit="1" customWidth="1"/>
    <col min="15110" max="15110" width="11.08984375" style="345" customWidth="1"/>
    <col min="15111" max="15111" width="10.90625" style="345" customWidth="1"/>
    <col min="15112" max="15112" width="4.36328125" style="345" bestFit="1" customWidth="1"/>
    <col min="15113" max="15113" width="3.453125" style="345" bestFit="1" customWidth="1"/>
    <col min="15114" max="15114" width="3.6328125" style="345" bestFit="1" customWidth="1"/>
    <col min="15115" max="15115" width="11.36328125" style="345" customWidth="1"/>
    <col min="15116" max="15116" width="5.54296875" style="345" customWidth="1"/>
    <col min="15117" max="15117" width="6.08984375" style="345" customWidth="1"/>
    <col min="15118" max="15360" width="8.90625" style="345"/>
    <col min="15361" max="15361" width="25.36328125" style="345" customWidth="1"/>
    <col min="15362" max="15362" width="3.90625" style="345" bestFit="1" customWidth="1"/>
    <col min="15363" max="15363" width="4.08984375" style="345" bestFit="1" customWidth="1"/>
    <col min="15364" max="15364" width="4.36328125" style="345" bestFit="1" customWidth="1"/>
    <col min="15365" max="15365" width="6.36328125" style="345" bestFit="1" customWidth="1"/>
    <col min="15366" max="15366" width="11.08984375" style="345" customWidth="1"/>
    <col min="15367" max="15367" width="10.90625" style="345" customWidth="1"/>
    <col min="15368" max="15368" width="4.36328125" style="345" bestFit="1" customWidth="1"/>
    <col min="15369" max="15369" width="3.453125" style="345" bestFit="1" customWidth="1"/>
    <col min="15370" max="15370" width="3.6328125" style="345" bestFit="1" customWidth="1"/>
    <col min="15371" max="15371" width="11.36328125" style="345" customWidth="1"/>
    <col min="15372" max="15372" width="5.54296875" style="345" customWidth="1"/>
    <col min="15373" max="15373" width="6.08984375" style="345" customWidth="1"/>
    <col min="15374" max="15616" width="8.90625" style="345"/>
    <col min="15617" max="15617" width="25.36328125" style="345" customWidth="1"/>
    <col min="15618" max="15618" width="3.90625" style="345" bestFit="1" customWidth="1"/>
    <col min="15619" max="15619" width="4.08984375" style="345" bestFit="1" customWidth="1"/>
    <col min="15620" max="15620" width="4.36328125" style="345" bestFit="1" customWidth="1"/>
    <col min="15621" max="15621" width="6.36328125" style="345" bestFit="1" customWidth="1"/>
    <col min="15622" max="15622" width="11.08984375" style="345" customWidth="1"/>
    <col min="15623" max="15623" width="10.90625" style="345" customWidth="1"/>
    <col min="15624" max="15624" width="4.36328125" style="345" bestFit="1" customWidth="1"/>
    <col min="15625" max="15625" width="3.453125" style="345" bestFit="1" customWidth="1"/>
    <col min="15626" max="15626" width="3.6328125" style="345" bestFit="1" customWidth="1"/>
    <col min="15627" max="15627" width="11.36328125" style="345" customWidth="1"/>
    <col min="15628" max="15628" width="5.54296875" style="345" customWidth="1"/>
    <col min="15629" max="15629" width="6.08984375" style="345" customWidth="1"/>
    <col min="15630" max="15872" width="8.90625" style="345"/>
    <col min="15873" max="15873" width="25.36328125" style="345" customWidth="1"/>
    <col min="15874" max="15874" width="3.90625" style="345" bestFit="1" customWidth="1"/>
    <col min="15875" max="15875" width="4.08984375" style="345" bestFit="1" customWidth="1"/>
    <col min="15876" max="15876" width="4.36328125" style="345" bestFit="1" customWidth="1"/>
    <col min="15877" max="15877" width="6.36328125" style="345" bestFit="1" customWidth="1"/>
    <col min="15878" max="15878" width="11.08984375" style="345" customWidth="1"/>
    <col min="15879" max="15879" width="10.90625" style="345" customWidth="1"/>
    <col min="15880" max="15880" width="4.36328125" style="345" bestFit="1" customWidth="1"/>
    <col min="15881" max="15881" width="3.453125" style="345" bestFit="1" customWidth="1"/>
    <col min="15882" max="15882" width="3.6328125" style="345" bestFit="1" customWidth="1"/>
    <col min="15883" max="15883" width="11.36328125" style="345" customWidth="1"/>
    <col min="15884" max="15884" width="5.54296875" style="345" customWidth="1"/>
    <col min="15885" max="15885" width="6.08984375" style="345" customWidth="1"/>
    <col min="15886" max="16128" width="8.90625" style="345"/>
    <col min="16129" max="16129" width="25.36328125" style="345" customWidth="1"/>
    <col min="16130" max="16130" width="3.90625" style="345" bestFit="1" customWidth="1"/>
    <col min="16131" max="16131" width="4.08984375" style="345" bestFit="1" customWidth="1"/>
    <col min="16132" max="16132" width="4.36328125" style="345" bestFit="1" customWidth="1"/>
    <col min="16133" max="16133" width="6.36328125" style="345" bestFit="1" customWidth="1"/>
    <col min="16134" max="16134" width="11.08984375" style="345" customWidth="1"/>
    <col min="16135" max="16135" width="10.90625" style="345" customWidth="1"/>
    <col min="16136" max="16136" width="4.36328125" style="345" bestFit="1" customWidth="1"/>
    <col min="16137" max="16137" width="3.453125" style="345" bestFit="1" customWidth="1"/>
    <col min="16138" max="16138" width="3.6328125" style="345" bestFit="1" customWidth="1"/>
    <col min="16139" max="16139" width="11.36328125" style="345" customWidth="1"/>
    <col min="16140" max="16140" width="5.54296875" style="345" customWidth="1"/>
    <col min="16141" max="16141" width="6.08984375" style="345" customWidth="1"/>
    <col min="16142" max="16384" width="8.90625" style="345"/>
  </cols>
  <sheetData>
    <row r="1" spans="1:13" ht="12" thickBot="1" x14ac:dyDescent="0.3">
      <c r="G1" s="346" t="s">
        <v>1063</v>
      </c>
      <c r="H1" s="347"/>
      <c r="I1" s="348">
        <f>L2+L27+L33+L53+L66</f>
        <v>45.77</v>
      </c>
      <c r="K1" s="346" t="s">
        <v>1064</v>
      </c>
      <c r="L1" s="347"/>
      <c r="M1" s="487">
        <f>M2+K27/2</f>
        <v>4987.5</v>
      </c>
    </row>
    <row r="2" spans="1:13" s="353" customFormat="1" ht="10.25" customHeight="1" thickBot="1" x14ac:dyDescent="0.35">
      <c r="A2" s="349" t="s">
        <v>1065</v>
      </c>
      <c r="B2" s="350"/>
      <c r="C2" s="350"/>
      <c r="D2" s="350"/>
      <c r="E2" s="350"/>
      <c r="F2" s="351" t="s">
        <v>1032</v>
      </c>
      <c r="G2" s="350"/>
      <c r="H2" s="350"/>
      <c r="I2" s="350"/>
      <c r="J2" s="350"/>
      <c r="K2" s="350"/>
      <c r="L2" s="352">
        <f>SUM(L4:L25)</f>
        <v>16.78</v>
      </c>
      <c r="M2" s="352">
        <f>SUM(M4:M25)</f>
        <v>4300</v>
      </c>
    </row>
    <row r="3" spans="1:13" s="353" customFormat="1" ht="10.25" customHeight="1" thickBot="1" x14ac:dyDescent="0.35">
      <c r="A3" s="354" t="s">
        <v>317</v>
      </c>
      <c r="B3" s="355" t="s">
        <v>1066</v>
      </c>
      <c r="C3" s="355" t="s">
        <v>499</v>
      </c>
      <c r="D3" s="355" t="s">
        <v>1067</v>
      </c>
      <c r="E3" s="355" t="s">
        <v>1068</v>
      </c>
      <c r="F3" s="355" t="s">
        <v>1069</v>
      </c>
      <c r="G3" s="355" t="s">
        <v>1070</v>
      </c>
      <c r="H3" s="355" t="s">
        <v>1071</v>
      </c>
      <c r="I3" s="355" t="s">
        <v>1072</v>
      </c>
      <c r="J3" s="355" t="s">
        <v>1073</v>
      </c>
      <c r="K3" s="355" t="s">
        <v>1074</v>
      </c>
      <c r="L3" s="355" t="s">
        <v>1075</v>
      </c>
      <c r="M3" s="356" t="s">
        <v>1076</v>
      </c>
    </row>
    <row r="4" spans="1:13" ht="10.25" customHeight="1" x14ac:dyDescent="0.25">
      <c r="A4" s="363" t="s">
        <v>1233</v>
      </c>
      <c r="B4" s="364">
        <v>1</v>
      </c>
      <c r="C4" s="364">
        <v>10</v>
      </c>
      <c r="D4" s="364">
        <v>500</v>
      </c>
      <c r="E4" s="361"/>
      <c r="F4" s="361"/>
      <c r="G4" s="361"/>
      <c r="H4" s="361"/>
      <c r="I4" s="361"/>
      <c r="J4" s="361"/>
      <c r="K4" s="361"/>
      <c r="L4" s="358">
        <f t="shared" ref="L4:L10" si="0">C29*B29</f>
        <v>1</v>
      </c>
      <c r="M4" s="359">
        <f t="shared" ref="M4:M10" si="1">D29*B29</f>
        <v>100</v>
      </c>
    </row>
    <row r="5" spans="1:13" ht="10.25" customHeight="1" x14ac:dyDescent="0.25">
      <c r="A5" s="360" t="s">
        <v>1529</v>
      </c>
      <c r="B5" s="361">
        <v>1</v>
      </c>
      <c r="C5" s="361">
        <v>0.4</v>
      </c>
      <c r="D5" s="361">
        <v>300</v>
      </c>
      <c r="E5" s="364">
        <v>3000</v>
      </c>
      <c r="F5" s="364"/>
      <c r="G5" s="364"/>
      <c r="H5" s="364" t="s">
        <v>1396</v>
      </c>
      <c r="I5" s="364"/>
      <c r="J5" s="364"/>
      <c r="K5" s="364" t="s">
        <v>1530</v>
      </c>
      <c r="L5" s="361">
        <f t="shared" si="0"/>
        <v>0.3</v>
      </c>
      <c r="M5" s="362">
        <f t="shared" si="1"/>
        <v>150</v>
      </c>
    </row>
    <row r="6" spans="1:13" ht="10.25" customHeight="1" x14ac:dyDescent="0.25">
      <c r="A6" s="363" t="s">
        <v>1531</v>
      </c>
      <c r="B6" s="364">
        <v>1</v>
      </c>
      <c r="C6" s="364">
        <v>0.4</v>
      </c>
      <c r="D6" s="364">
        <v>300</v>
      </c>
      <c r="E6" s="361">
        <v>1320</v>
      </c>
      <c r="F6" s="361"/>
      <c r="G6" s="361"/>
      <c r="H6" s="361" t="s">
        <v>1499</v>
      </c>
      <c r="I6" s="361"/>
      <c r="J6" s="361"/>
      <c r="K6" s="361" t="s">
        <v>1532</v>
      </c>
      <c r="L6" s="364">
        <f t="shared" si="0"/>
        <v>0.08</v>
      </c>
      <c r="M6" s="365">
        <f t="shared" si="1"/>
        <v>800</v>
      </c>
    </row>
    <row r="7" spans="1:13" ht="10.25" customHeight="1" x14ac:dyDescent="0.25">
      <c r="A7" s="363" t="s">
        <v>1234</v>
      </c>
      <c r="B7" s="364">
        <v>2</v>
      </c>
      <c r="C7" s="364">
        <v>0.1</v>
      </c>
      <c r="D7" s="364">
        <v>50</v>
      </c>
      <c r="E7" s="364"/>
      <c r="F7" s="364"/>
      <c r="G7" s="364"/>
      <c r="H7" s="364"/>
      <c r="I7" s="364"/>
      <c r="J7" s="364"/>
      <c r="K7" s="364"/>
      <c r="L7" s="361">
        <f t="shared" si="0"/>
        <v>0.1</v>
      </c>
      <c r="M7" s="362">
        <f t="shared" si="1"/>
        <v>50</v>
      </c>
    </row>
    <row r="8" spans="1:13" ht="10.25" customHeight="1" x14ac:dyDescent="0.25">
      <c r="A8" s="360" t="s">
        <v>1295</v>
      </c>
      <c r="B8" s="361">
        <v>1</v>
      </c>
      <c r="C8" s="361">
        <v>2.5</v>
      </c>
      <c r="D8" s="361">
        <v>500</v>
      </c>
      <c r="E8" s="361"/>
      <c r="F8" s="361"/>
      <c r="G8" s="361"/>
      <c r="H8" s="361"/>
      <c r="I8" s="361"/>
      <c r="J8" s="361"/>
      <c r="K8" s="361"/>
      <c r="L8" s="364">
        <f t="shared" si="0"/>
        <v>0.30000000000000004</v>
      </c>
      <c r="M8" s="365">
        <f t="shared" si="1"/>
        <v>300</v>
      </c>
    </row>
    <row r="9" spans="1:13" ht="10.25" customHeight="1" x14ac:dyDescent="0.25">
      <c r="A9" s="363" t="s">
        <v>1465</v>
      </c>
      <c r="B9" s="364">
        <v>1</v>
      </c>
      <c r="C9" s="364">
        <v>0.5</v>
      </c>
      <c r="D9" s="364">
        <v>200</v>
      </c>
      <c r="E9" s="364"/>
      <c r="F9" s="364"/>
      <c r="G9" s="364"/>
      <c r="H9" s="364"/>
      <c r="I9" s="364"/>
      <c r="J9" s="364"/>
      <c r="K9" s="364"/>
      <c r="L9" s="361">
        <f t="shared" si="0"/>
        <v>0</v>
      </c>
      <c r="M9" s="362">
        <f t="shared" si="1"/>
        <v>0</v>
      </c>
    </row>
    <row r="10" spans="1:13" ht="10.25" customHeight="1" x14ac:dyDescent="0.25">
      <c r="A10" s="360" t="s">
        <v>1533</v>
      </c>
      <c r="B10" s="361">
        <v>1</v>
      </c>
      <c r="C10" s="361">
        <v>0.4</v>
      </c>
      <c r="D10" s="361">
        <v>300</v>
      </c>
      <c r="E10" s="361"/>
      <c r="F10" s="361"/>
      <c r="G10" s="361"/>
      <c r="H10" s="361"/>
      <c r="I10" s="361"/>
      <c r="J10" s="361"/>
      <c r="K10" s="361"/>
      <c r="L10" s="364">
        <f t="shared" si="0"/>
        <v>0</v>
      </c>
      <c r="M10" s="365">
        <f t="shared" si="1"/>
        <v>0</v>
      </c>
    </row>
    <row r="11" spans="1:13" ht="10.25" customHeight="1" x14ac:dyDescent="0.25">
      <c r="A11" s="363" t="s">
        <v>1510</v>
      </c>
      <c r="B11" s="364">
        <v>1</v>
      </c>
      <c r="C11" s="364">
        <v>0.1</v>
      </c>
      <c r="D11" s="364">
        <v>100</v>
      </c>
      <c r="E11" s="364"/>
      <c r="F11" s="364"/>
      <c r="G11" s="364"/>
      <c r="H11" s="364"/>
      <c r="I11" s="364"/>
      <c r="J11" s="364"/>
      <c r="K11" s="364"/>
      <c r="L11" s="361">
        <f t="shared" ref="L11:L23" si="2">C4*B4</f>
        <v>10</v>
      </c>
      <c r="M11" s="362">
        <f t="shared" ref="M11:M23" si="3">D4*B4</f>
        <v>500</v>
      </c>
    </row>
    <row r="12" spans="1:13" ht="10.25" customHeight="1" x14ac:dyDescent="0.25">
      <c r="A12" s="360" t="s">
        <v>1534</v>
      </c>
      <c r="B12" s="361">
        <v>2</v>
      </c>
      <c r="C12" s="361">
        <v>0.1</v>
      </c>
      <c r="D12" s="361">
        <v>100</v>
      </c>
      <c r="E12" s="361"/>
      <c r="F12" s="361"/>
      <c r="G12" s="361"/>
      <c r="H12" s="361"/>
      <c r="I12" s="361"/>
      <c r="J12" s="361"/>
      <c r="K12" s="361"/>
      <c r="L12" s="364">
        <f t="shared" si="2"/>
        <v>0.4</v>
      </c>
      <c r="M12" s="365">
        <f t="shared" si="3"/>
        <v>300</v>
      </c>
    </row>
    <row r="13" spans="1:13" ht="10.25" customHeight="1" x14ac:dyDescent="0.25">
      <c r="A13" s="363" t="s">
        <v>1554</v>
      </c>
      <c r="B13" s="364">
        <v>0</v>
      </c>
      <c r="C13" s="364"/>
      <c r="D13" s="364"/>
      <c r="E13" s="364"/>
      <c r="F13" s="364"/>
      <c r="G13" s="364"/>
      <c r="H13" s="364"/>
      <c r="I13" s="364"/>
      <c r="J13" s="364"/>
      <c r="K13" s="364"/>
      <c r="L13" s="361">
        <f t="shared" si="2"/>
        <v>0.4</v>
      </c>
      <c r="M13" s="362">
        <f t="shared" si="3"/>
        <v>300</v>
      </c>
    </row>
    <row r="14" spans="1:13" ht="10.25" customHeight="1" x14ac:dyDescent="0.25">
      <c r="A14" s="360"/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4">
        <f t="shared" si="2"/>
        <v>0.2</v>
      </c>
      <c r="M14" s="365">
        <f t="shared" si="3"/>
        <v>100</v>
      </c>
    </row>
    <row r="15" spans="1:13" ht="10.25" customHeight="1" x14ac:dyDescent="0.25">
      <c r="A15" s="363" t="s">
        <v>1236</v>
      </c>
      <c r="B15" s="364">
        <v>1</v>
      </c>
      <c r="C15" s="364">
        <v>0.1</v>
      </c>
      <c r="D15" s="364">
        <v>100</v>
      </c>
      <c r="E15" s="364"/>
      <c r="F15" s="364"/>
      <c r="G15" s="364"/>
      <c r="H15" s="364"/>
      <c r="I15" s="364"/>
      <c r="J15" s="364"/>
      <c r="K15" s="364"/>
      <c r="L15" s="361">
        <f t="shared" si="2"/>
        <v>2.5</v>
      </c>
      <c r="M15" s="362">
        <f t="shared" si="3"/>
        <v>500</v>
      </c>
    </row>
    <row r="16" spans="1:13" ht="10.25" customHeight="1" x14ac:dyDescent="0.25">
      <c r="A16" s="360" t="s">
        <v>1535</v>
      </c>
      <c r="B16" s="361">
        <v>1</v>
      </c>
      <c r="C16" s="361">
        <v>0.2</v>
      </c>
      <c r="D16" s="361">
        <v>300</v>
      </c>
      <c r="E16" s="361"/>
      <c r="F16" s="361"/>
      <c r="G16" s="361"/>
      <c r="H16" s="361"/>
      <c r="I16" s="361"/>
      <c r="J16" s="361"/>
      <c r="K16" s="361"/>
      <c r="L16" s="364">
        <f t="shared" si="2"/>
        <v>0.5</v>
      </c>
      <c r="M16" s="365">
        <f t="shared" si="3"/>
        <v>200</v>
      </c>
    </row>
    <row r="17" spans="1:13" ht="10.25" customHeight="1" x14ac:dyDescent="0.25">
      <c r="L17" s="361">
        <f t="shared" si="2"/>
        <v>0.4</v>
      </c>
      <c r="M17" s="362">
        <f t="shared" si="3"/>
        <v>300</v>
      </c>
    </row>
    <row r="18" spans="1:13" ht="10.25" customHeight="1" x14ac:dyDescent="0.25">
      <c r="L18" s="364">
        <f t="shared" si="2"/>
        <v>0.1</v>
      </c>
      <c r="M18" s="365">
        <f t="shared" si="3"/>
        <v>100</v>
      </c>
    </row>
    <row r="19" spans="1:13" ht="10.25" customHeight="1" x14ac:dyDescent="0.25">
      <c r="L19" s="361">
        <f t="shared" si="2"/>
        <v>0.2</v>
      </c>
      <c r="M19" s="362">
        <f t="shared" si="3"/>
        <v>200</v>
      </c>
    </row>
    <row r="20" spans="1:13" ht="10.25" customHeight="1" x14ac:dyDescent="0.25">
      <c r="L20" s="364">
        <f t="shared" si="2"/>
        <v>0</v>
      </c>
      <c r="M20" s="365">
        <f t="shared" si="3"/>
        <v>0</v>
      </c>
    </row>
    <row r="21" spans="1:13" ht="10.25" customHeight="1" x14ac:dyDescent="0.25">
      <c r="L21" s="361">
        <f t="shared" si="2"/>
        <v>0</v>
      </c>
      <c r="M21" s="362">
        <f t="shared" si="3"/>
        <v>0</v>
      </c>
    </row>
    <row r="22" spans="1:13" ht="10.25" customHeight="1" x14ac:dyDescent="0.25">
      <c r="L22" s="364">
        <f t="shared" si="2"/>
        <v>0.1</v>
      </c>
      <c r="M22" s="365">
        <f t="shared" si="3"/>
        <v>100</v>
      </c>
    </row>
    <row r="23" spans="1:13" ht="10.25" customHeight="1" x14ac:dyDescent="0.25">
      <c r="L23" s="361">
        <f t="shared" si="2"/>
        <v>0.2</v>
      </c>
      <c r="M23" s="362">
        <f t="shared" si="3"/>
        <v>300</v>
      </c>
    </row>
    <row r="24" spans="1:13" ht="10.25" customHeight="1" x14ac:dyDescent="0.25">
      <c r="A24" s="363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>
        <f t="shared" ref="L24:L25" si="4">C24*B24</f>
        <v>0</v>
      </c>
      <c r="M24" s="365">
        <f t="shared" ref="M24:M25" si="5">D24*B24</f>
        <v>0</v>
      </c>
    </row>
    <row r="25" spans="1:13" ht="10.25" customHeight="1" thickBot="1" x14ac:dyDescent="0.3">
      <c r="A25" s="610"/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>
        <f t="shared" si="4"/>
        <v>0</v>
      </c>
      <c r="M25" s="368">
        <f t="shared" si="5"/>
        <v>0</v>
      </c>
    </row>
    <row r="26" spans="1:13" ht="10.25" customHeight="1" thickBot="1" x14ac:dyDescent="0.3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</row>
    <row r="27" spans="1:13" ht="10.25" customHeight="1" thickBot="1" x14ac:dyDescent="0.3">
      <c r="A27" s="349" t="s">
        <v>1077</v>
      </c>
      <c r="B27" s="350"/>
      <c r="C27" s="350"/>
      <c r="D27" s="350"/>
      <c r="E27" s="350"/>
      <c r="G27" s="350" t="s">
        <v>1078</v>
      </c>
      <c r="H27" s="350">
        <v>1200</v>
      </c>
      <c r="I27" s="350"/>
      <c r="J27" s="371" t="s">
        <v>1079</v>
      </c>
      <c r="K27" s="370">
        <f>M27/2</f>
        <v>1375</v>
      </c>
      <c r="L27" s="352">
        <f>SUM(L29:L38)</f>
        <v>17.7</v>
      </c>
      <c r="M27" s="352">
        <f>SUM(M29:M38)</f>
        <v>2750</v>
      </c>
    </row>
    <row r="28" spans="1:13" s="353" customFormat="1" ht="10.25" customHeight="1" thickBot="1" x14ac:dyDescent="0.35">
      <c r="A28" s="354" t="s">
        <v>317</v>
      </c>
      <c r="B28" s="355" t="s">
        <v>1066</v>
      </c>
      <c r="C28" s="355" t="s">
        <v>499</v>
      </c>
      <c r="D28" s="355" t="s">
        <v>1067</v>
      </c>
      <c r="E28" s="355" t="s">
        <v>1068</v>
      </c>
      <c r="F28" s="355" t="s">
        <v>1069</v>
      </c>
      <c r="G28" s="355" t="s">
        <v>1070</v>
      </c>
      <c r="H28" s="355" t="s">
        <v>1071</v>
      </c>
      <c r="I28" s="355" t="s">
        <v>1072</v>
      </c>
      <c r="J28" s="355" t="s">
        <v>1073</v>
      </c>
      <c r="K28" s="355" t="s">
        <v>1074</v>
      </c>
      <c r="L28" s="355" t="s">
        <v>1075</v>
      </c>
      <c r="M28" s="356" t="s">
        <v>1076</v>
      </c>
    </row>
    <row r="29" spans="1:13" ht="10.25" customHeight="1" x14ac:dyDescent="0.25">
      <c r="A29" s="357" t="s">
        <v>1497</v>
      </c>
      <c r="B29" s="358">
        <v>10</v>
      </c>
      <c r="C29" s="358">
        <v>0.1</v>
      </c>
      <c r="D29" s="358">
        <v>10</v>
      </c>
      <c r="E29" s="358"/>
      <c r="F29" s="358"/>
      <c r="G29" s="358"/>
      <c r="H29" s="358"/>
      <c r="I29" s="358"/>
      <c r="J29" s="358"/>
      <c r="K29" s="358"/>
      <c r="L29" s="358">
        <f t="shared" ref="L29:L37" si="6">C42*B42</f>
        <v>1</v>
      </c>
      <c r="M29" s="359">
        <f t="shared" ref="M29:M37" si="7">D42*B42</f>
        <v>400</v>
      </c>
    </row>
    <row r="30" spans="1:13" ht="10.25" customHeight="1" x14ac:dyDescent="0.25">
      <c r="A30" s="363" t="s">
        <v>1498</v>
      </c>
      <c r="B30" s="364">
        <v>1</v>
      </c>
      <c r="C30" s="364">
        <v>0.3</v>
      </c>
      <c r="D30" s="364">
        <v>150</v>
      </c>
      <c r="E30" s="364"/>
      <c r="F30" s="364"/>
      <c r="G30" s="364"/>
      <c r="H30" s="372" t="s">
        <v>1499</v>
      </c>
      <c r="I30" s="364"/>
      <c r="J30" s="364"/>
      <c r="K30" s="364"/>
      <c r="L30" s="361">
        <f t="shared" si="6"/>
        <v>0.1</v>
      </c>
      <c r="M30" s="362">
        <f t="shared" si="7"/>
        <v>100</v>
      </c>
    </row>
    <row r="31" spans="1:13" ht="10.25" customHeight="1" x14ac:dyDescent="0.25">
      <c r="A31" s="360" t="s">
        <v>1500</v>
      </c>
      <c r="B31" s="361">
        <v>8</v>
      </c>
      <c r="C31" s="361">
        <v>0.01</v>
      </c>
      <c r="D31" s="361">
        <v>100</v>
      </c>
      <c r="E31" s="361"/>
      <c r="F31" s="361"/>
      <c r="G31" s="361"/>
      <c r="H31" s="376"/>
      <c r="I31" s="361"/>
      <c r="J31" s="361"/>
      <c r="K31" s="361"/>
      <c r="L31" s="364">
        <f t="shared" si="6"/>
        <v>10</v>
      </c>
      <c r="M31" s="365">
        <f t="shared" si="7"/>
        <v>500</v>
      </c>
    </row>
    <row r="32" spans="1:13" ht="10.25" customHeight="1" x14ac:dyDescent="0.25">
      <c r="A32" s="363" t="s">
        <v>1501</v>
      </c>
      <c r="B32" s="364">
        <v>1</v>
      </c>
      <c r="C32" s="364">
        <v>0.1</v>
      </c>
      <c r="D32" s="364">
        <v>50</v>
      </c>
      <c r="E32" s="364"/>
      <c r="F32" s="364"/>
      <c r="G32" s="364"/>
      <c r="H32" s="364" t="s">
        <v>1396</v>
      </c>
      <c r="I32" s="364"/>
      <c r="J32" s="364"/>
      <c r="K32" s="364"/>
      <c r="L32" s="361">
        <f t="shared" si="6"/>
        <v>1.5</v>
      </c>
      <c r="M32" s="362">
        <f t="shared" si="7"/>
        <v>600</v>
      </c>
    </row>
    <row r="33" spans="1:13" ht="10.25" customHeight="1" x14ac:dyDescent="0.25">
      <c r="A33" s="363" t="s">
        <v>1502</v>
      </c>
      <c r="B33" s="364">
        <v>6</v>
      </c>
      <c r="C33" s="364">
        <v>0.05</v>
      </c>
      <c r="D33" s="364">
        <v>50</v>
      </c>
      <c r="E33" s="364"/>
      <c r="F33" s="364"/>
      <c r="G33" s="364"/>
      <c r="H33" s="364"/>
      <c r="I33" s="364"/>
      <c r="J33" s="364"/>
      <c r="K33" s="364"/>
      <c r="L33" s="364">
        <f t="shared" si="6"/>
        <v>0.4</v>
      </c>
      <c r="M33" s="365">
        <f t="shared" si="7"/>
        <v>300</v>
      </c>
    </row>
    <row r="34" spans="1:13" ht="10.25" customHeight="1" x14ac:dyDescent="0.25">
      <c r="A34" s="604" t="s">
        <v>1503</v>
      </c>
      <c r="B34" s="361">
        <v>0</v>
      </c>
      <c r="C34" s="361">
        <v>0.05</v>
      </c>
      <c r="D34" s="361">
        <v>50</v>
      </c>
      <c r="E34" s="361"/>
      <c r="F34" s="361" t="s">
        <v>1504</v>
      </c>
      <c r="G34" s="361" t="s">
        <v>1505</v>
      </c>
      <c r="H34" s="361"/>
      <c r="I34" s="361"/>
      <c r="J34" s="361"/>
      <c r="K34" s="361" t="s">
        <v>1628</v>
      </c>
      <c r="L34" s="361">
        <f t="shared" si="6"/>
        <v>3</v>
      </c>
      <c r="M34" s="362">
        <f t="shared" si="7"/>
        <v>500</v>
      </c>
    </row>
    <row r="35" spans="1:13" ht="10.25" customHeight="1" x14ac:dyDescent="0.25">
      <c r="A35" s="641" t="s">
        <v>1506</v>
      </c>
      <c r="B35" s="364">
        <v>0</v>
      </c>
      <c r="C35" s="364">
        <v>0.1</v>
      </c>
      <c r="D35" s="364"/>
      <c r="E35" s="364"/>
      <c r="F35" s="364" t="s">
        <v>673</v>
      </c>
      <c r="G35" s="364" t="s">
        <v>1507</v>
      </c>
      <c r="H35" s="364">
        <v>70</v>
      </c>
      <c r="I35" s="364"/>
      <c r="J35" s="364" t="s">
        <v>1508</v>
      </c>
      <c r="K35" s="364">
        <v>20</v>
      </c>
      <c r="L35" s="364">
        <f t="shared" si="6"/>
        <v>0.2</v>
      </c>
      <c r="M35" s="365">
        <f t="shared" si="7"/>
        <v>100</v>
      </c>
    </row>
    <row r="36" spans="1:13" ht="10.25" customHeight="1" x14ac:dyDescent="0.25">
      <c r="E36" s="361"/>
      <c r="F36" s="361"/>
      <c r="G36" s="361"/>
      <c r="H36" s="376"/>
      <c r="I36" s="361"/>
      <c r="J36" s="361"/>
      <c r="K36" s="361"/>
      <c r="L36" s="361">
        <f t="shared" si="6"/>
        <v>0.5</v>
      </c>
      <c r="M36" s="362">
        <f t="shared" si="7"/>
        <v>200</v>
      </c>
    </row>
    <row r="37" spans="1:13" ht="10.25" customHeight="1" x14ac:dyDescent="0.25">
      <c r="E37" s="364"/>
      <c r="F37" s="364"/>
      <c r="G37" s="364"/>
      <c r="H37" s="364"/>
      <c r="I37" s="364"/>
      <c r="J37" s="364"/>
      <c r="K37" s="364"/>
      <c r="L37" s="364">
        <f t="shared" si="6"/>
        <v>1</v>
      </c>
      <c r="M37" s="365">
        <f t="shared" si="7"/>
        <v>50</v>
      </c>
    </row>
    <row r="38" spans="1:13" ht="10.25" customHeight="1" thickBot="1" x14ac:dyDescent="0.3">
      <c r="A38" s="360"/>
      <c r="B38" s="361"/>
      <c r="C38" s="361"/>
      <c r="D38" s="361"/>
      <c r="E38" s="613"/>
      <c r="F38" s="367"/>
      <c r="G38" s="367"/>
      <c r="H38" s="613"/>
      <c r="I38" s="613"/>
      <c r="J38" s="613"/>
      <c r="K38" s="613"/>
      <c r="L38" s="367">
        <f t="shared" ref="L38:L39" si="8">C38*B38</f>
        <v>0</v>
      </c>
      <c r="M38" s="368">
        <f t="shared" ref="M38:M39" si="9">D38*B38</f>
        <v>0</v>
      </c>
    </row>
    <row r="39" spans="1:13" ht="10.25" customHeight="1" thickBot="1" x14ac:dyDescent="0.3">
      <c r="A39" s="369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>
        <f t="shared" si="8"/>
        <v>0</v>
      </c>
      <c r="M39" s="369">
        <f t="shared" si="9"/>
        <v>0</v>
      </c>
    </row>
    <row r="40" spans="1:13" ht="10.25" customHeight="1" thickBot="1" x14ac:dyDescent="0.3">
      <c r="A40" s="349" t="s">
        <v>1080</v>
      </c>
      <c r="B40" s="350"/>
      <c r="C40" s="350"/>
      <c r="D40" s="350"/>
      <c r="E40" s="350"/>
      <c r="F40" s="351" t="s">
        <v>1516</v>
      </c>
      <c r="G40" s="350" t="s">
        <v>1078</v>
      </c>
      <c r="H40" s="350"/>
      <c r="I40" s="350"/>
      <c r="J40" s="371" t="s">
        <v>1079</v>
      </c>
      <c r="K40" s="370">
        <f>M40/2</f>
        <v>2550</v>
      </c>
      <c r="L40" s="352">
        <f>SUM(L42:L51)</f>
        <v>10.889999999999999</v>
      </c>
      <c r="M40" s="352">
        <f>SUM(M42:M51)</f>
        <v>5100</v>
      </c>
    </row>
    <row r="41" spans="1:13" s="353" customFormat="1" ht="10.25" customHeight="1" thickBot="1" x14ac:dyDescent="0.35">
      <c r="A41" s="354" t="s">
        <v>317</v>
      </c>
      <c r="B41" s="355" t="s">
        <v>1066</v>
      </c>
      <c r="C41" s="355" t="s">
        <v>499</v>
      </c>
      <c r="D41" s="355" t="s">
        <v>1067</v>
      </c>
      <c r="E41" s="355" t="s">
        <v>1068</v>
      </c>
      <c r="F41" s="355" t="s">
        <v>1069</v>
      </c>
      <c r="G41" s="355" t="s">
        <v>1070</v>
      </c>
      <c r="H41" s="355" t="s">
        <v>1071</v>
      </c>
      <c r="I41" s="355" t="s">
        <v>1072</v>
      </c>
      <c r="J41" s="355" t="s">
        <v>1073</v>
      </c>
      <c r="K41" s="355" t="s">
        <v>1074</v>
      </c>
      <c r="L41" s="355" t="s">
        <v>1075</v>
      </c>
      <c r="M41" s="356" t="s">
        <v>1076</v>
      </c>
    </row>
    <row r="42" spans="1:13" ht="10.25" customHeight="1" x14ac:dyDescent="0.25">
      <c r="A42" s="357" t="s">
        <v>1509</v>
      </c>
      <c r="B42" s="358">
        <v>1</v>
      </c>
      <c r="C42" s="358">
        <v>1</v>
      </c>
      <c r="D42" s="358">
        <v>400</v>
      </c>
      <c r="L42" s="358">
        <f t="shared" ref="L42:L51" si="10">C55*B55</f>
        <v>0.30000000000000004</v>
      </c>
      <c r="M42" s="359">
        <f t="shared" ref="M42:M51" si="11">D55*B55</f>
        <v>300</v>
      </c>
    </row>
    <row r="43" spans="1:13" ht="10.25" customHeight="1" x14ac:dyDescent="0.25">
      <c r="A43" s="360" t="s">
        <v>1510</v>
      </c>
      <c r="B43" s="361">
        <v>1</v>
      </c>
      <c r="C43" s="361">
        <v>0.1</v>
      </c>
      <c r="D43" s="361">
        <v>100</v>
      </c>
      <c r="L43" s="361">
        <f t="shared" si="10"/>
        <v>0.01</v>
      </c>
      <c r="M43" s="362">
        <f t="shared" si="11"/>
        <v>100</v>
      </c>
    </row>
    <row r="44" spans="1:13" ht="10.25" customHeight="1" x14ac:dyDescent="0.25">
      <c r="A44" s="363" t="s">
        <v>1511</v>
      </c>
      <c r="B44" s="364">
        <v>1</v>
      </c>
      <c r="C44" s="364">
        <v>10</v>
      </c>
      <c r="D44" s="364">
        <v>500</v>
      </c>
      <c r="L44" s="364">
        <f t="shared" si="10"/>
        <v>0.1</v>
      </c>
      <c r="M44" s="365">
        <f t="shared" si="11"/>
        <v>100</v>
      </c>
    </row>
    <row r="45" spans="1:13" ht="10.25" customHeight="1" x14ac:dyDescent="0.25">
      <c r="A45" s="360" t="s">
        <v>1512</v>
      </c>
      <c r="B45" s="361">
        <v>1</v>
      </c>
      <c r="C45" s="361">
        <v>1.5</v>
      </c>
      <c r="D45" s="361">
        <v>600</v>
      </c>
      <c r="L45" s="361">
        <f t="shared" si="10"/>
        <v>1</v>
      </c>
      <c r="M45" s="362">
        <f t="shared" si="11"/>
        <v>2000</v>
      </c>
    </row>
    <row r="46" spans="1:13" ht="10.25" customHeight="1" x14ac:dyDescent="0.25">
      <c r="A46" s="363" t="s">
        <v>1286</v>
      </c>
      <c r="B46" s="364">
        <v>1</v>
      </c>
      <c r="C46" s="364">
        <v>0.4</v>
      </c>
      <c r="D46" s="364">
        <v>300</v>
      </c>
      <c r="L46" s="364">
        <f t="shared" si="10"/>
        <v>0.9</v>
      </c>
      <c r="M46" s="365">
        <f t="shared" si="11"/>
        <v>450</v>
      </c>
    </row>
    <row r="47" spans="1:13" ht="10.25" customHeight="1" x14ac:dyDescent="0.25">
      <c r="A47" s="360" t="s">
        <v>1513</v>
      </c>
      <c r="B47" s="361">
        <v>1</v>
      </c>
      <c r="C47" s="361">
        <v>3</v>
      </c>
      <c r="D47" s="361">
        <v>500</v>
      </c>
      <c r="L47" s="361">
        <f t="shared" si="10"/>
        <v>3</v>
      </c>
      <c r="M47" s="362">
        <f t="shared" si="11"/>
        <v>500</v>
      </c>
    </row>
    <row r="48" spans="1:13" ht="10.25" customHeight="1" x14ac:dyDescent="0.25">
      <c r="A48" s="363" t="s">
        <v>1514</v>
      </c>
      <c r="B48" s="364">
        <v>2</v>
      </c>
      <c r="C48" s="364">
        <v>0.1</v>
      </c>
      <c r="D48" s="364">
        <v>50</v>
      </c>
      <c r="L48" s="364">
        <f t="shared" si="10"/>
        <v>0.05</v>
      </c>
      <c r="M48" s="365">
        <f t="shared" si="11"/>
        <v>100</v>
      </c>
    </row>
    <row r="49" spans="1:13" ht="10.25" customHeight="1" x14ac:dyDescent="0.25">
      <c r="A49" s="360" t="s">
        <v>1465</v>
      </c>
      <c r="B49" s="361">
        <v>1</v>
      </c>
      <c r="C49" s="361">
        <v>0.5</v>
      </c>
      <c r="D49" s="361">
        <v>200</v>
      </c>
      <c r="L49" s="361">
        <f t="shared" si="10"/>
        <v>5</v>
      </c>
      <c r="M49" s="362">
        <f t="shared" si="11"/>
        <v>1000</v>
      </c>
    </row>
    <row r="50" spans="1:13" ht="10.25" customHeight="1" x14ac:dyDescent="0.25">
      <c r="A50" s="604" t="s">
        <v>1515</v>
      </c>
      <c r="B50" s="361">
        <v>1</v>
      </c>
      <c r="C50" s="361">
        <v>1</v>
      </c>
      <c r="D50" s="361">
        <v>50</v>
      </c>
      <c r="L50" s="364">
        <f t="shared" si="10"/>
        <v>0.5</v>
      </c>
      <c r="M50" s="365">
        <f t="shared" si="11"/>
        <v>500</v>
      </c>
    </row>
    <row r="51" spans="1:13" ht="10.25" customHeight="1" thickBot="1" x14ac:dyDescent="0.3">
      <c r="L51" s="367">
        <f t="shared" si="10"/>
        <v>0.03</v>
      </c>
      <c r="M51" s="368">
        <f t="shared" si="11"/>
        <v>50</v>
      </c>
    </row>
    <row r="52" spans="1:13" ht="10.25" customHeight="1" thickBot="1" x14ac:dyDescent="0.3">
      <c r="A52" s="369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</row>
    <row r="53" spans="1:13" ht="10.25" customHeight="1" thickBot="1" x14ac:dyDescent="0.3">
      <c r="A53" s="349" t="s">
        <v>1081</v>
      </c>
      <c r="B53" s="350"/>
      <c r="C53" s="350"/>
      <c r="D53" s="350"/>
      <c r="E53" s="350"/>
      <c r="F53" s="370" t="s">
        <v>1528</v>
      </c>
      <c r="G53" s="350" t="s">
        <v>1078</v>
      </c>
      <c r="H53" s="350"/>
      <c r="I53" s="350"/>
      <c r="J53" s="371" t="s">
        <v>1079</v>
      </c>
      <c r="K53" s="370">
        <f>M53/2</f>
        <v>2550</v>
      </c>
      <c r="L53" s="352">
        <f>SUM(L55:L64)</f>
        <v>10.889999999999999</v>
      </c>
      <c r="M53" s="352">
        <f>SUM(M55:M64)</f>
        <v>5100</v>
      </c>
    </row>
    <row r="54" spans="1:13" s="353" customFormat="1" ht="10.25" customHeight="1" thickBot="1" x14ac:dyDescent="0.35">
      <c r="A54" s="354" t="s">
        <v>317</v>
      </c>
      <c r="B54" s="355" t="s">
        <v>1066</v>
      </c>
      <c r="C54" s="355" t="s">
        <v>499</v>
      </c>
      <c r="D54" s="355" t="s">
        <v>1067</v>
      </c>
      <c r="E54" s="355" t="s">
        <v>1068</v>
      </c>
      <c r="F54" s="355" t="s">
        <v>1069</v>
      </c>
      <c r="G54" s="355" t="s">
        <v>1070</v>
      </c>
      <c r="H54" s="355" t="s">
        <v>1071</v>
      </c>
      <c r="I54" s="355" t="s">
        <v>1072</v>
      </c>
      <c r="J54" s="355" t="s">
        <v>1073</v>
      </c>
      <c r="K54" s="355" t="s">
        <v>1074</v>
      </c>
      <c r="L54" s="355" t="s">
        <v>1075</v>
      </c>
      <c r="M54" s="356" t="s">
        <v>1076</v>
      </c>
    </row>
    <row r="55" spans="1:13" ht="10.25" customHeight="1" thickBot="1" x14ac:dyDescent="0.3">
      <c r="A55" s="357" t="s">
        <v>1517</v>
      </c>
      <c r="B55" s="358">
        <v>6</v>
      </c>
      <c r="C55" s="358">
        <v>0.05</v>
      </c>
      <c r="D55" s="358">
        <v>50</v>
      </c>
      <c r="E55" s="358"/>
      <c r="F55" s="358"/>
      <c r="G55" s="358"/>
      <c r="H55" s="358"/>
      <c r="I55" s="358"/>
      <c r="J55" s="358"/>
      <c r="K55" s="358"/>
      <c r="L55" s="358">
        <f>B55*C55</f>
        <v>0.30000000000000004</v>
      </c>
      <c r="M55" s="359">
        <f>B55*D55</f>
        <v>300</v>
      </c>
    </row>
    <row r="56" spans="1:13" ht="10.25" customHeight="1" thickBot="1" x14ac:dyDescent="0.3">
      <c r="A56" s="360" t="s">
        <v>1518</v>
      </c>
      <c r="B56" s="361">
        <v>1</v>
      </c>
      <c r="C56" s="361">
        <v>0.01</v>
      </c>
      <c r="D56" s="361">
        <v>100</v>
      </c>
      <c r="E56" s="361"/>
      <c r="F56" s="361"/>
      <c r="G56" s="361"/>
      <c r="H56" s="361"/>
      <c r="I56" s="361"/>
      <c r="J56" s="361"/>
      <c r="K56" s="361"/>
      <c r="L56" s="358">
        <f t="shared" ref="L56:L64" si="12">B56*C56</f>
        <v>0.01</v>
      </c>
      <c r="M56" s="359">
        <f t="shared" ref="M56:M64" si="13">B56*D56</f>
        <v>100</v>
      </c>
    </row>
    <row r="57" spans="1:13" ht="10.25" customHeight="1" thickBot="1" x14ac:dyDescent="0.3">
      <c r="A57" s="363" t="s">
        <v>1519</v>
      </c>
      <c r="B57" s="364">
        <v>2</v>
      </c>
      <c r="C57" s="364">
        <v>0.05</v>
      </c>
      <c r="D57" s="364">
        <v>50</v>
      </c>
      <c r="E57" s="364"/>
      <c r="F57" s="364"/>
      <c r="G57" s="364"/>
      <c r="H57" s="364"/>
      <c r="I57" s="364"/>
      <c r="J57" s="364"/>
      <c r="K57" s="364"/>
      <c r="L57" s="358">
        <f t="shared" si="12"/>
        <v>0.1</v>
      </c>
      <c r="M57" s="359">
        <f t="shared" si="13"/>
        <v>100</v>
      </c>
    </row>
    <row r="58" spans="1:13" ht="10.25" customHeight="1" thickBot="1" x14ac:dyDescent="0.3">
      <c r="A58" s="360" t="s">
        <v>1412</v>
      </c>
      <c r="B58" s="361">
        <v>10</v>
      </c>
      <c r="C58" s="361">
        <v>0.1</v>
      </c>
      <c r="D58" s="361">
        <v>200</v>
      </c>
      <c r="E58" s="361"/>
      <c r="F58" s="361"/>
      <c r="G58" s="361"/>
      <c r="H58" s="361"/>
      <c r="I58" s="361"/>
      <c r="J58" s="361"/>
      <c r="K58" s="361"/>
      <c r="L58" s="358">
        <f t="shared" si="12"/>
        <v>1</v>
      </c>
      <c r="M58" s="359">
        <f t="shared" si="13"/>
        <v>2000</v>
      </c>
    </row>
    <row r="59" spans="1:13" ht="10.25" customHeight="1" thickBot="1" x14ac:dyDescent="0.3">
      <c r="A59" s="363" t="s">
        <v>1520</v>
      </c>
      <c r="B59" s="364">
        <v>9</v>
      </c>
      <c r="C59" s="364">
        <v>0.1</v>
      </c>
      <c r="D59" s="364">
        <v>50</v>
      </c>
      <c r="E59" s="364"/>
      <c r="F59" s="364"/>
      <c r="G59" s="364"/>
      <c r="H59" s="364"/>
      <c r="I59" s="364"/>
      <c r="J59" s="364"/>
      <c r="K59" s="364"/>
      <c r="L59" s="358">
        <f t="shared" si="12"/>
        <v>0.9</v>
      </c>
      <c r="M59" s="359">
        <f t="shared" si="13"/>
        <v>450</v>
      </c>
    </row>
    <row r="60" spans="1:13" ht="10.25" customHeight="1" thickBot="1" x14ac:dyDescent="0.3">
      <c r="A60" s="360" t="s">
        <v>1521</v>
      </c>
      <c r="B60" s="361">
        <v>1</v>
      </c>
      <c r="C60" s="361">
        <v>3</v>
      </c>
      <c r="D60" s="361">
        <v>500</v>
      </c>
      <c r="E60" s="361"/>
      <c r="F60" s="361"/>
      <c r="G60" s="361"/>
      <c r="H60" s="361"/>
      <c r="I60" s="361"/>
      <c r="J60" s="361"/>
      <c r="K60" s="361"/>
      <c r="L60" s="358">
        <f t="shared" si="12"/>
        <v>3</v>
      </c>
      <c r="M60" s="359">
        <f t="shared" si="13"/>
        <v>500</v>
      </c>
    </row>
    <row r="61" spans="1:13" ht="10.25" customHeight="1" thickBot="1" x14ac:dyDescent="0.3">
      <c r="A61" s="363" t="s">
        <v>1522</v>
      </c>
      <c r="B61" s="364">
        <v>1</v>
      </c>
      <c r="C61" s="364">
        <v>0.05</v>
      </c>
      <c r="D61" s="364">
        <v>100</v>
      </c>
      <c r="E61" s="364"/>
      <c r="F61" s="364"/>
      <c r="G61" s="364"/>
      <c r="H61" s="364"/>
      <c r="I61" s="364"/>
      <c r="J61" s="364"/>
      <c r="K61" s="364"/>
      <c r="L61" s="358">
        <f t="shared" si="12"/>
        <v>0.05</v>
      </c>
      <c r="M61" s="359">
        <f t="shared" si="13"/>
        <v>100</v>
      </c>
    </row>
    <row r="62" spans="1:13" ht="10.25" customHeight="1" thickBot="1" x14ac:dyDescent="0.3">
      <c r="A62" s="360" t="s">
        <v>1148</v>
      </c>
      <c r="B62" s="361">
        <v>1</v>
      </c>
      <c r="C62" s="361">
        <v>5</v>
      </c>
      <c r="D62" s="361">
        <v>1000</v>
      </c>
      <c r="E62" s="361"/>
      <c r="F62" s="361"/>
      <c r="G62" s="361"/>
      <c r="H62" s="361"/>
      <c r="I62" s="361"/>
      <c r="J62" s="361"/>
      <c r="K62" s="361"/>
      <c r="L62" s="358">
        <f t="shared" si="12"/>
        <v>5</v>
      </c>
      <c r="M62" s="359">
        <f t="shared" si="13"/>
        <v>1000</v>
      </c>
    </row>
    <row r="63" spans="1:13" ht="10.25" customHeight="1" thickBot="1" x14ac:dyDescent="0.3">
      <c r="A63" s="363" t="s">
        <v>1318</v>
      </c>
      <c r="B63" s="364">
        <v>1</v>
      </c>
      <c r="C63" s="364">
        <v>0.5</v>
      </c>
      <c r="D63" s="364">
        <v>500</v>
      </c>
      <c r="E63" s="364"/>
      <c r="F63" s="364"/>
      <c r="G63" s="364"/>
      <c r="H63" s="364"/>
      <c r="I63" s="364"/>
      <c r="J63" s="364"/>
      <c r="K63" s="364"/>
      <c r="L63" s="358">
        <f t="shared" si="12"/>
        <v>0.5</v>
      </c>
      <c r="M63" s="359">
        <f t="shared" si="13"/>
        <v>500</v>
      </c>
    </row>
    <row r="64" spans="1:13" ht="10.25" customHeight="1" thickBot="1" x14ac:dyDescent="0.3">
      <c r="A64" s="610" t="s">
        <v>1523</v>
      </c>
      <c r="B64" s="367">
        <v>1</v>
      </c>
      <c r="C64" s="367">
        <v>0.03</v>
      </c>
      <c r="D64" s="367">
        <v>50</v>
      </c>
      <c r="E64" s="367"/>
      <c r="F64" s="367" t="s">
        <v>1524</v>
      </c>
      <c r="G64" s="367" t="s">
        <v>1525</v>
      </c>
      <c r="H64" s="367" t="s">
        <v>1499</v>
      </c>
      <c r="I64" s="367"/>
      <c r="J64" s="367" t="s">
        <v>1526</v>
      </c>
      <c r="K64" s="367" t="s">
        <v>1527</v>
      </c>
      <c r="L64" s="358">
        <f t="shared" si="12"/>
        <v>0.03</v>
      </c>
      <c r="M64" s="359">
        <f t="shared" si="13"/>
        <v>50</v>
      </c>
    </row>
    <row r="65" spans="1:13" ht="10.25" customHeight="1" thickBot="1" x14ac:dyDescent="0.3">
      <c r="A65" s="369"/>
      <c r="B65" s="369"/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</row>
    <row r="66" spans="1:13" ht="10.25" customHeight="1" thickBot="1" x14ac:dyDescent="0.3">
      <c r="A66" s="349" t="s">
        <v>1082</v>
      </c>
      <c r="B66" s="350"/>
      <c r="C66" s="350"/>
      <c r="D66" s="350"/>
      <c r="E66" s="350"/>
      <c r="F66" s="370"/>
      <c r="G66" s="350" t="s">
        <v>1078</v>
      </c>
      <c r="H66" s="350"/>
      <c r="I66" s="350"/>
      <c r="J66" s="371" t="s">
        <v>1079</v>
      </c>
      <c r="K66" s="370">
        <f>M66/2</f>
        <v>0</v>
      </c>
      <c r="L66" s="352">
        <f>SUM(L68:L77)</f>
        <v>0</v>
      </c>
      <c r="M66" s="352">
        <f>SUM(M68:M77)</f>
        <v>0</v>
      </c>
    </row>
    <row r="67" spans="1:13" s="353" customFormat="1" ht="10.25" customHeight="1" thickBot="1" x14ac:dyDescent="0.35">
      <c r="A67" s="354" t="s">
        <v>317</v>
      </c>
      <c r="B67" s="355" t="s">
        <v>1066</v>
      </c>
      <c r="C67" s="355" t="s">
        <v>499</v>
      </c>
      <c r="D67" s="355" t="s">
        <v>1067</v>
      </c>
      <c r="E67" s="355" t="s">
        <v>1068</v>
      </c>
      <c r="F67" s="355" t="s">
        <v>1069</v>
      </c>
      <c r="G67" s="355" t="s">
        <v>1070</v>
      </c>
      <c r="H67" s="355" t="s">
        <v>1071</v>
      </c>
      <c r="I67" s="355" t="s">
        <v>1072</v>
      </c>
      <c r="J67" s="355" t="s">
        <v>1073</v>
      </c>
      <c r="K67" s="355" t="s">
        <v>1074</v>
      </c>
      <c r="L67" s="355" t="s">
        <v>1075</v>
      </c>
      <c r="M67" s="356" t="s">
        <v>1076</v>
      </c>
    </row>
    <row r="68" spans="1:13" ht="10.25" customHeight="1" x14ac:dyDescent="0.25">
      <c r="A68" s="357"/>
      <c r="B68" s="358"/>
      <c r="C68" s="358"/>
      <c r="D68" s="358"/>
      <c r="E68" s="358"/>
      <c r="F68" s="358"/>
      <c r="G68" s="358"/>
      <c r="H68" s="358"/>
      <c r="I68" s="358"/>
      <c r="J68" s="358"/>
      <c r="K68" s="358"/>
      <c r="L68" s="358">
        <f t="shared" ref="L68:L77" si="14">C68*B68</f>
        <v>0</v>
      </c>
      <c r="M68" s="359">
        <f t="shared" ref="M68:M77" si="15">D68*B68</f>
        <v>0</v>
      </c>
    </row>
    <row r="69" spans="1:13" ht="10.25" customHeight="1" x14ac:dyDescent="0.25">
      <c r="A69" s="360"/>
      <c r="B69" s="361"/>
      <c r="C69" s="361"/>
      <c r="D69" s="361"/>
      <c r="E69" s="361"/>
      <c r="F69" s="361"/>
      <c r="G69" s="361"/>
      <c r="H69" s="361"/>
      <c r="I69" s="361"/>
      <c r="J69" s="361"/>
      <c r="K69" s="361"/>
      <c r="L69" s="361">
        <f t="shared" si="14"/>
        <v>0</v>
      </c>
      <c r="M69" s="362">
        <f t="shared" si="15"/>
        <v>0</v>
      </c>
    </row>
    <row r="70" spans="1:13" ht="10.25" customHeight="1" x14ac:dyDescent="0.25">
      <c r="A70" s="363"/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64">
        <f t="shared" si="14"/>
        <v>0</v>
      </c>
      <c r="M70" s="365">
        <f t="shared" si="15"/>
        <v>0</v>
      </c>
    </row>
    <row r="71" spans="1:13" ht="10.25" customHeight="1" x14ac:dyDescent="0.25">
      <c r="A71" s="360"/>
      <c r="B71" s="361"/>
      <c r="C71" s="361"/>
      <c r="D71" s="361"/>
      <c r="E71" s="361"/>
      <c r="F71" s="361"/>
      <c r="G71" s="361"/>
      <c r="H71" s="361"/>
      <c r="I71" s="361"/>
      <c r="J71" s="361"/>
      <c r="K71" s="361"/>
      <c r="L71" s="361">
        <f t="shared" si="14"/>
        <v>0</v>
      </c>
      <c r="M71" s="362">
        <f t="shared" si="15"/>
        <v>0</v>
      </c>
    </row>
    <row r="72" spans="1:13" ht="10.25" customHeight="1" x14ac:dyDescent="0.25">
      <c r="A72" s="363"/>
      <c r="B72" s="364"/>
      <c r="C72" s="364"/>
      <c r="D72" s="364"/>
      <c r="E72" s="364"/>
      <c r="F72" s="364"/>
      <c r="G72" s="364"/>
      <c r="H72" s="364"/>
      <c r="I72" s="364"/>
      <c r="J72" s="364"/>
      <c r="K72" s="364"/>
      <c r="L72" s="364">
        <f t="shared" si="14"/>
        <v>0</v>
      </c>
      <c r="M72" s="365">
        <f t="shared" si="15"/>
        <v>0</v>
      </c>
    </row>
    <row r="73" spans="1:13" ht="10.25" customHeight="1" x14ac:dyDescent="0.25">
      <c r="A73" s="360"/>
      <c r="B73" s="361"/>
      <c r="C73" s="361"/>
      <c r="D73" s="361"/>
      <c r="E73" s="361"/>
      <c r="F73" s="361"/>
      <c r="G73" s="361"/>
      <c r="H73" s="361"/>
      <c r="I73" s="361"/>
      <c r="J73" s="361"/>
      <c r="K73" s="361"/>
      <c r="L73" s="361">
        <f t="shared" si="14"/>
        <v>0</v>
      </c>
      <c r="M73" s="362">
        <f t="shared" si="15"/>
        <v>0</v>
      </c>
    </row>
    <row r="74" spans="1:13" ht="10.25" customHeight="1" x14ac:dyDescent="0.25">
      <c r="A74" s="363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>
        <f t="shared" si="14"/>
        <v>0</v>
      </c>
      <c r="M74" s="365">
        <f t="shared" si="15"/>
        <v>0</v>
      </c>
    </row>
    <row r="75" spans="1:13" ht="10.25" customHeight="1" x14ac:dyDescent="0.25">
      <c r="A75" s="360"/>
      <c r="B75" s="361"/>
      <c r="C75" s="361"/>
      <c r="D75" s="361"/>
      <c r="E75" s="361"/>
      <c r="F75" s="361"/>
      <c r="G75" s="361"/>
      <c r="H75" s="361"/>
      <c r="I75" s="361"/>
      <c r="J75" s="361"/>
      <c r="K75" s="361"/>
      <c r="L75" s="361">
        <f t="shared" si="14"/>
        <v>0</v>
      </c>
      <c r="M75" s="362">
        <f t="shared" si="15"/>
        <v>0</v>
      </c>
    </row>
    <row r="76" spans="1:13" ht="10.25" customHeight="1" x14ac:dyDescent="0.25">
      <c r="A76" s="363"/>
      <c r="B76" s="364"/>
      <c r="C76" s="364"/>
      <c r="D76" s="364"/>
      <c r="E76" s="364"/>
      <c r="F76" s="364"/>
      <c r="G76" s="364"/>
      <c r="H76" s="364"/>
      <c r="I76" s="364"/>
      <c r="J76" s="364"/>
      <c r="K76" s="364"/>
      <c r="L76" s="364">
        <f t="shared" si="14"/>
        <v>0</v>
      </c>
      <c r="M76" s="365">
        <f t="shared" si="15"/>
        <v>0</v>
      </c>
    </row>
    <row r="77" spans="1:13" ht="10.25" customHeight="1" thickBot="1" x14ac:dyDescent="0.3">
      <c r="A77" s="366"/>
      <c r="B77" s="367"/>
      <c r="C77" s="367"/>
      <c r="D77" s="367"/>
      <c r="E77" s="367"/>
      <c r="F77" s="367"/>
      <c r="G77" s="367"/>
      <c r="H77" s="367"/>
      <c r="I77" s="367"/>
      <c r="J77" s="367"/>
      <c r="K77" s="367"/>
      <c r="L77" s="367">
        <f t="shared" si="14"/>
        <v>0</v>
      </c>
      <c r="M77" s="368">
        <f t="shared" si="15"/>
        <v>0</v>
      </c>
    </row>
    <row r="79" spans="1:13" ht="12" x14ac:dyDescent="0.3">
      <c r="A79" s="668" t="s">
        <v>1597</v>
      </c>
      <c r="B79" s="669" t="s">
        <v>1621</v>
      </c>
      <c r="C79" s="668"/>
      <c r="D79" s="670"/>
      <c r="E79" s="670"/>
      <c r="F79" s="670"/>
      <c r="G79" s="663"/>
      <c r="H79" s="663"/>
      <c r="I79" s="663"/>
      <c r="J79" s="663"/>
      <c r="K79" s="663"/>
    </row>
    <row r="80" spans="1:13" ht="12" x14ac:dyDescent="0.3">
      <c r="A80" s="671" t="s">
        <v>1577</v>
      </c>
      <c r="B80" s="671" t="s">
        <v>1622</v>
      </c>
      <c r="C80" s="671"/>
      <c r="D80" s="320"/>
      <c r="E80" s="320"/>
      <c r="F80" s="320"/>
      <c r="G80" s="58"/>
      <c r="H80" s="58"/>
      <c r="I80" s="58"/>
      <c r="J80" s="58"/>
      <c r="K80" s="58"/>
    </row>
    <row r="81" spans="1:11" x14ac:dyDescent="0.25">
      <c r="A81" s="671" t="s">
        <v>1569</v>
      </c>
      <c r="B81" s="671"/>
      <c r="C81" s="671"/>
      <c r="D81" s="671"/>
      <c r="E81" s="671"/>
      <c r="F81" s="671"/>
      <c r="G81" s="658"/>
      <c r="H81" s="658"/>
      <c r="I81" s="658"/>
      <c r="J81" s="658"/>
      <c r="K81" s="658"/>
    </row>
    <row r="82" spans="1:11" x14ac:dyDescent="0.25">
      <c r="A82" s="671" t="s">
        <v>1602</v>
      </c>
      <c r="B82" s="671">
        <v>90</v>
      </c>
      <c r="C82" s="671"/>
      <c r="D82" s="671"/>
      <c r="E82" s="671"/>
      <c r="F82" s="671"/>
      <c r="G82" s="658"/>
      <c r="H82" s="658"/>
      <c r="I82" s="658"/>
      <c r="J82" s="658"/>
      <c r="K82" s="658"/>
    </row>
    <row r="83" spans="1:11" x14ac:dyDescent="0.25">
      <c r="A83" s="671" t="s">
        <v>1574</v>
      </c>
      <c r="B83" s="671">
        <v>80</v>
      </c>
      <c r="C83" s="671"/>
      <c r="D83" s="671"/>
      <c r="E83" s="671"/>
      <c r="F83" s="671"/>
      <c r="G83" s="658"/>
      <c r="H83" s="658"/>
      <c r="I83" s="658"/>
      <c r="J83" s="658"/>
      <c r="K83" s="658"/>
    </row>
    <row r="84" spans="1:11" ht="12" x14ac:dyDescent="0.3">
      <c r="A84" s="671" t="s">
        <v>1575</v>
      </c>
      <c r="B84" s="671" t="s">
        <v>1624</v>
      </c>
      <c r="C84" s="671"/>
      <c r="D84" s="320"/>
      <c r="E84" s="320"/>
      <c r="F84" s="320"/>
      <c r="G84" s="58"/>
      <c r="H84" s="58"/>
      <c r="I84" s="58"/>
      <c r="J84" s="58"/>
      <c r="K84" s="58"/>
    </row>
    <row r="85" spans="1:11" ht="12" x14ac:dyDescent="0.3">
      <c r="A85" s="671" t="s">
        <v>1579</v>
      </c>
      <c r="B85" s="671" t="s">
        <v>1625</v>
      </c>
      <c r="C85" s="671"/>
      <c r="D85" s="320"/>
      <c r="E85" s="320"/>
      <c r="F85" s="320"/>
      <c r="G85" s="58"/>
      <c r="H85" s="58"/>
      <c r="I85" s="58"/>
      <c r="J85" s="58"/>
      <c r="K85" s="58"/>
    </row>
    <row r="87" spans="1:11" x14ac:dyDescent="0.25">
      <c r="A87" s="661" t="s">
        <v>1597</v>
      </c>
      <c r="B87" s="662" t="s">
        <v>1623</v>
      </c>
      <c r="C87" s="661"/>
      <c r="D87" s="663"/>
      <c r="E87" s="663"/>
      <c r="F87" s="663"/>
      <c r="G87" s="663"/>
      <c r="H87" s="663"/>
      <c r="I87" s="663"/>
      <c r="J87" s="663"/>
      <c r="K87" s="663"/>
    </row>
    <row r="88" spans="1:11" x14ac:dyDescent="0.25">
      <c r="A88" s="658" t="s">
        <v>1577</v>
      </c>
      <c r="B88" s="658" t="s">
        <v>1622</v>
      </c>
      <c r="C88" s="658"/>
      <c r="D88" s="58"/>
      <c r="E88" s="58"/>
      <c r="F88" s="58"/>
      <c r="G88" s="58"/>
      <c r="H88" s="58"/>
      <c r="I88" s="58"/>
      <c r="J88" s="58"/>
      <c r="K88" s="58"/>
    </row>
    <row r="89" spans="1:11" x14ac:dyDescent="0.25">
      <c r="A89" s="658" t="s">
        <v>1569</v>
      </c>
      <c r="B89" s="658"/>
      <c r="C89" s="658"/>
      <c r="D89" s="658"/>
      <c r="E89" s="658"/>
      <c r="F89" s="658"/>
      <c r="G89" s="658"/>
      <c r="H89" s="658"/>
      <c r="I89" s="658"/>
      <c r="J89" s="658"/>
      <c r="K89" s="658"/>
    </row>
    <row r="90" spans="1:11" x14ac:dyDescent="0.25">
      <c r="A90" s="658" t="s">
        <v>1602</v>
      </c>
      <c r="B90" s="658">
        <v>90</v>
      </c>
      <c r="C90" s="658"/>
      <c r="D90" s="658"/>
      <c r="E90" s="658"/>
      <c r="F90" s="658"/>
      <c r="G90" s="658"/>
      <c r="H90" s="658"/>
      <c r="I90" s="658"/>
      <c r="J90" s="658"/>
      <c r="K90" s="658"/>
    </row>
    <row r="91" spans="1:11" x14ac:dyDescent="0.25">
      <c r="A91" s="658" t="s">
        <v>1574</v>
      </c>
      <c r="B91" s="658">
        <v>80</v>
      </c>
      <c r="C91" s="658"/>
      <c r="D91" s="658"/>
      <c r="E91" s="658"/>
      <c r="F91" s="658"/>
      <c r="G91" s="658"/>
      <c r="H91" s="658"/>
      <c r="I91" s="658"/>
      <c r="J91" s="658"/>
      <c r="K91" s="658"/>
    </row>
    <row r="92" spans="1:11" x14ac:dyDescent="0.25">
      <c r="A92" s="658" t="s">
        <v>1575</v>
      </c>
      <c r="B92" s="658" t="s">
        <v>1624</v>
      </c>
      <c r="C92" s="658"/>
      <c r="D92" s="58"/>
      <c r="E92" s="58"/>
      <c r="F92" s="58"/>
      <c r="G92" s="58"/>
      <c r="H92" s="58"/>
      <c r="I92" s="58"/>
      <c r="J92" s="58"/>
      <c r="K92" s="58"/>
    </row>
    <row r="93" spans="1:11" x14ac:dyDescent="0.25">
      <c r="A93" s="658" t="s">
        <v>1579</v>
      </c>
      <c r="B93" s="659" t="s">
        <v>1626</v>
      </c>
      <c r="C93" s="658"/>
      <c r="D93" s="58"/>
      <c r="E93" s="58"/>
      <c r="F93" s="58"/>
      <c r="G93" s="58"/>
      <c r="H93" s="58"/>
      <c r="I93" s="58"/>
      <c r="J93" s="58"/>
      <c r="K93" s="58"/>
    </row>
    <row r="94" spans="1:11" x14ac:dyDescent="0.25">
      <c r="A94" s="660"/>
      <c r="B94" s="658"/>
      <c r="C94" s="658"/>
      <c r="D94" s="658"/>
      <c r="E94" s="658"/>
      <c r="F94" s="658"/>
      <c r="G94" s="658"/>
      <c r="H94" s="658"/>
      <c r="I94" s="658"/>
      <c r="J94" s="658"/>
      <c r="K94" s="658"/>
    </row>
    <row r="95" spans="1:11" x14ac:dyDescent="0.25">
      <c r="A95" s="661" t="s">
        <v>1595</v>
      </c>
      <c r="B95" s="662" t="s">
        <v>1631</v>
      </c>
      <c r="C95" s="661"/>
      <c r="D95" s="661"/>
      <c r="E95" s="661"/>
      <c r="F95" s="661"/>
      <c r="G95" s="661"/>
      <c r="H95" s="661"/>
      <c r="I95" s="661"/>
      <c r="J95" s="661"/>
      <c r="K95" s="661"/>
    </row>
    <row r="96" spans="1:11" x14ac:dyDescent="0.25">
      <c r="A96" s="658" t="s">
        <v>1577</v>
      </c>
      <c r="B96" s="658" t="s">
        <v>1638</v>
      </c>
      <c r="C96" s="658"/>
      <c r="D96" s="658"/>
      <c r="E96" s="658"/>
      <c r="F96" s="658"/>
      <c r="G96" s="658"/>
      <c r="H96" s="658"/>
      <c r="I96" s="658"/>
      <c r="J96" s="658"/>
      <c r="K96" s="658"/>
    </row>
    <row r="97" spans="1:11" x14ac:dyDescent="0.25">
      <c r="A97" s="658" t="s">
        <v>1570</v>
      </c>
      <c r="B97" s="659" t="s">
        <v>1632</v>
      </c>
      <c r="C97" s="658"/>
      <c r="D97" s="658"/>
      <c r="E97" s="658"/>
      <c r="F97" s="658"/>
      <c r="G97" s="658"/>
      <c r="H97" s="658"/>
      <c r="I97" s="658"/>
      <c r="J97" s="658"/>
      <c r="K97" s="658"/>
    </row>
    <row r="98" spans="1:11" x14ac:dyDescent="0.25">
      <c r="A98" s="658" t="s">
        <v>1566</v>
      </c>
      <c r="B98" s="658">
        <v>20</v>
      </c>
      <c r="C98" s="658"/>
      <c r="D98" s="658"/>
      <c r="E98" s="658"/>
      <c r="F98" s="658"/>
      <c r="G98" s="658"/>
      <c r="H98" s="658"/>
      <c r="I98" s="658"/>
      <c r="J98" s="658"/>
      <c r="K98" s="658"/>
    </row>
    <row r="99" spans="1:11" x14ac:dyDescent="0.25">
      <c r="A99" s="658" t="s">
        <v>1567</v>
      </c>
      <c r="B99" s="658">
        <v>110</v>
      </c>
      <c r="C99" s="658"/>
      <c r="D99" s="658"/>
      <c r="E99" s="658"/>
      <c r="F99" s="658"/>
      <c r="G99" s="658"/>
      <c r="H99" s="658"/>
      <c r="I99" s="658"/>
      <c r="J99" s="658"/>
      <c r="K99" s="658"/>
    </row>
    <row r="100" spans="1:11" x14ac:dyDescent="0.25">
      <c r="A100" s="658" t="s">
        <v>1568</v>
      </c>
      <c r="B100" s="658">
        <v>15</v>
      </c>
      <c r="C100" s="658"/>
      <c r="D100" s="658"/>
      <c r="E100" s="658"/>
      <c r="F100" s="658"/>
      <c r="G100" s="658"/>
      <c r="H100" s="658"/>
      <c r="I100" s="658"/>
      <c r="J100" s="658"/>
      <c r="K100" s="658"/>
    </row>
    <row r="101" spans="1:11" x14ac:dyDescent="0.25">
      <c r="A101" s="658" t="s">
        <v>1569</v>
      </c>
      <c r="B101" s="658" t="s">
        <v>1641</v>
      </c>
      <c r="C101" s="658"/>
      <c r="D101" s="658"/>
      <c r="E101" s="658"/>
      <c r="F101" s="658"/>
      <c r="G101" s="658"/>
      <c r="H101" s="658"/>
      <c r="I101" s="658"/>
      <c r="J101" s="658"/>
      <c r="K101" s="658"/>
    </row>
    <row r="102" spans="1:11" x14ac:dyDescent="0.25">
      <c r="A102" s="658" t="s">
        <v>1572</v>
      </c>
      <c r="B102" s="658" t="s">
        <v>1633</v>
      </c>
      <c r="C102" s="658"/>
      <c r="D102" s="658"/>
      <c r="E102" s="658"/>
      <c r="F102" s="658"/>
      <c r="G102" s="658"/>
      <c r="H102" s="658"/>
      <c r="I102" s="658"/>
      <c r="J102" s="658"/>
      <c r="K102" s="658"/>
    </row>
    <row r="103" spans="1:11" x14ac:dyDescent="0.25">
      <c r="A103" s="658" t="s">
        <v>1574</v>
      </c>
      <c r="B103" s="658">
        <v>50</v>
      </c>
      <c r="C103" s="658"/>
      <c r="D103" s="658"/>
      <c r="E103" s="658"/>
      <c r="F103" s="658"/>
      <c r="G103" s="658"/>
      <c r="H103" s="658"/>
      <c r="I103" s="658"/>
      <c r="J103" s="658"/>
      <c r="K103" s="658"/>
    </row>
    <row r="104" spans="1:11" x14ac:dyDescent="0.25">
      <c r="A104" s="658" t="s">
        <v>1575</v>
      </c>
      <c r="B104" s="658" t="s">
        <v>1634</v>
      </c>
      <c r="C104" s="658"/>
      <c r="D104" s="658"/>
      <c r="E104" s="658"/>
      <c r="F104" s="658"/>
      <c r="G104" s="658"/>
      <c r="H104" s="658"/>
      <c r="I104" s="658"/>
      <c r="J104" s="658"/>
      <c r="K104" s="658"/>
    </row>
    <row r="105" spans="1:11" x14ac:dyDescent="0.25">
      <c r="A105" s="658" t="s">
        <v>1579</v>
      </c>
      <c r="B105" s="658" t="s">
        <v>1637</v>
      </c>
      <c r="C105" s="658"/>
      <c r="D105" s="658"/>
      <c r="E105" s="658"/>
      <c r="F105" s="658"/>
      <c r="G105" s="658"/>
      <c r="H105" s="658"/>
      <c r="I105" s="658"/>
      <c r="J105" s="658"/>
      <c r="K105" s="658"/>
    </row>
    <row r="106" spans="1:11" x14ac:dyDescent="0.25">
      <c r="A106" s="660" t="s">
        <v>1580</v>
      </c>
      <c r="B106" s="660" t="s">
        <v>1635</v>
      </c>
      <c r="C106" s="658"/>
      <c r="D106" s="658"/>
      <c r="E106" s="658"/>
      <c r="F106" s="658" t="s">
        <v>1639</v>
      </c>
      <c r="G106" s="658"/>
      <c r="H106" s="658"/>
      <c r="I106" s="658"/>
      <c r="J106" s="658"/>
      <c r="K106" s="658"/>
    </row>
    <row r="107" spans="1:11" x14ac:dyDescent="0.25">
      <c r="A107" s="658" t="s">
        <v>1759</v>
      </c>
      <c r="B107" s="658"/>
      <c r="C107" s="658"/>
      <c r="D107" s="658"/>
      <c r="E107" s="658"/>
      <c r="F107" s="658" t="s">
        <v>1642</v>
      </c>
      <c r="G107" s="658"/>
      <c r="H107" s="658"/>
      <c r="I107" s="658"/>
      <c r="J107" s="658"/>
      <c r="K107" s="658"/>
    </row>
    <row r="108" spans="1:11" x14ac:dyDescent="0.25">
      <c r="A108" s="660" t="s">
        <v>1581</v>
      </c>
      <c r="B108" s="660" t="s">
        <v>1636</v>
      </c>
      <c r="C108" s="658"/>
      <c r="D108" s="658"/>
      <c r="E108" s="658"/>
      <c r="F108" s="658" t="s">
        <v>1760</v>
      </c>
      <c r="G108" s="658"/>
      <c r="H108" s="658"/>
      <c r="I108" s="658"/>
      <c r="J108" s="658"/>
      <c r="K108" s="658"/>
    </row>
    <row r="109" spans="1:11" x14ac:dyDescent="0.25">
      <c r="A109" s="658" t="s">
        <v>1758</v>
      </c>
      <c r="B109" s="58"/>
      <c r="C109" s="58"/>
      <c r="D109" s="58"/>
      <c r="E109" s="58"/>
      <c r="F109" s="658" t="s">
        <v>1640</v>
      </c>
      <c r="G109" s="58"/>
      <c r="H109" s="58"/>
      <c r="I109" s="58"/>
      <c r="J109" s="58"/>
      <c r="K109" s="58"/>
    </row>
  </sheetData>
  <pageMargins left="0.23622047244094491" right="0.23622047244094491" top="0.35433070866141736" bottom="0.35433070866141736" header="0.31496062992125984" footer="0.31496062992125984"/>
  <pageSetup orientation="portrait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32</vt:i4>
      </vt:variant>
    </vt:vector>
  </HeadingPairs>
  <TitlesOfParts>
    <vt:vector size="47" baseType="lpstr">
      <vt:lpstr>EtatGroupe</vt:lpstr>
      <vt:lpstr>PerA</vt:lpstr>
      <vt:lpstr>PerB</vt:lpstr>
      <vt:lpstr>PerC</vt:lpstr>
      <vt:lpstr>PerD</vt:lpstr>
      <vt:lpstr>EquA</vt:lpstr>
      <vt:lpstr>EquB</vt:lpstr>
      <vt:lpstr>EquC</vt:lpstr>
      <vt:lpstr>EquD</vt:lpstr>
      <vt:lpstr>CC</vt:lpstr>
      <vt:lpstr>NdC</vt:lpstr>
      <vt:lpstr>PN</vt:lpstr>
      <vt:lpstr>Notes</vt:lpstr>
      <vt:lpstr>StatGroupe</vt:lpstr>
      <vt:lpstr>TalentsGroupe</vt:lpstr>
      <vt:lpstr>PerD!_Toc402878126</vt:lpstr>
      <vt:lpstr>année</vt:lpstr>
      <vt:lpstr>gacritm</vt:lpstr>
      <vt:lpstr>PerB!garba</vt:lpstr>
      <vt:lpstr>PerC!garba</vt:lpstr>
      <vt:lpstr>PerD!garba</vt:lpstr>
      <vt:lpstr>garba</vt:lpstr>
      <vt:lpstr>PerB!garc</vt:lpstr>
      <vt:lpstr>PerC!garc</vt:lpstr>
      <vt:lpstr>PerD!garc</vt:lpstr>
      <vt:lpstr>garc</vt:lpstr>
      <vt:lpstr>gavdm</vt:lpstr>
      <vt:lpstr>PerB!gavdn</vt:lpstr>
      <vt:lpstr>PerC!gavdn</vt:lpstr>
      <vt:lpstr>PerD!gavdn</vt:lpstr>
      <vt:lpstr>gavdn</vt:lpstr>
      <vt:lpstr>gavit</vt:lpstr>
      <vt:lpstr>gavitm</vt:lpstr>
      <vt:lpstr>gavom</vt:lpstr>
      <vt:lpstr>PerB!gavon</vt:lpstr>
      <vt:lpstr>PerC!gavon</vt:lpstr>
      <vt:lpstr>PerD!gavon</vt:lpstr>
      <vt:lpstr>gavon</vt:lpstr>
      <vt:lpstr>gavot</vt:lpstr>
      <vt:lpstr>PerB!VDN</vt:lpstr>
      <vt:lpstr>PerC!VDN</vt:lpstr>
      <vt:lpstr>PerD!VDN</vt:lpstr>
      <vt:lpstr>VDN</vt:lpstr>
      <vt:lpstr>PerB!VON</vt:lpstr>
      <vt:lpstr>PerC!VON</vt:lpstr>
      <vt:lpstr>PerD!VON</vt:lpstr>
      <vt:lpstr>VON</vt:lpstr>
    </vt:vector>
  </TitlesOfParts>
  <Company>Logica SA/NV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TangheT</dc:creator>
  <cp:lastModifiedBy>TTA</cp:lastModifiedBy>
  <cp:lastPrinted>2025-08-23T16:21:36Z</cp:lastPrinted>
  <dcterms:created xsi:type="dcterms:W3CDTF">2002-08-28T09:35:44Z</dcterms:created>
  <dcterms:modified xsi:type="dcterms:W3CDTF">2025-09-17T21:10:32Z</dcterms:modified>
</cp:coreProperties>
</file>